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drawings/drawing3.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4.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6D684DA5-DC5F-46C7-92BC-78DAF2D752B9}" xr6:coauthVersionLast="47" xr6:coauthVersionMax="47" xr10:uidLastSave="{00000000-0000-0000-0000-000000000000}"/>
  <bookViews>
    <workbookView xWindow="-120" yWindow="-120" windowWidth="29040" windowHeight="15990" tabRatio="850" xr2:uid="{37CAA820-7E1B-4EE5-8C01-DEA0998376E0}"/>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Gear Sets" sheetId="73" state="hidden" r:id="rId12"/>
    <sheet name="Sockfit" sheetId="60" state="hidden" r:id="rId13"/>
    <sheet name="Socket" sheetId="14" state="hidden" r:id="rId14"/>
    <sheet name="Helm" sheetId="15" state="hidden" r:id="rId15"/>
    <sheet name="Neck" sheetId="16" state="hidden" r:id="rId16"/>
    <sheet name="Shoulder" sheetId="18" state="hidden" r:id="rId17"/>
    <sheet name="Back" sheetId="19" state="hidden" r:id="rId18"/>
    <sheet name="Chest" sheetId="20" state="hidden" r:id="rId19"/>
    <sheet name="Bracers" sheetId="21" state="hidden" r:id="rId20"/>
    <sheet name="Gloves" sheetId="22" state="hidden" r:id="rId21"/>
    <sheet name="Belt" sheetId="23" state="hidden" r:id="rId22"/>
    <sheet name="Legs" sheetId="24" state="hidden" r:id="rId23"/>
    <sheet name="Boots" sheetId="25" state="hidden" r:id="rId24"/>
    <sheet name="Ring" sheetId="26" state="hidden" r:id="rId25"/>
    <sheet name="Trinket" sheetId="27" state="hidden" r:id="rId26"/>
    <sheet name="Ranged" sheetId="31" state="hidden" r:id="rId27"/>
    <sheet name="Weapons" sheetId="30" state="hidden" r:id="rId28"/>
    <sheet name="Weap Enchants" sheetId="29" state="hidden" r:id="rId29"/>
    <sheet name="Races" sheetId="62" state="hidden" r:id="rId30"/>
    <sheet name="ArmoryImport" sheetId="63" state="hidden" r:id="rId31"/>
    <sheet name="ArmoryImportLookUp" sheetId="65" state="hidden" r:id="rId32"/>
    <sheet name="nextstat2" sheetId="58" state="hidden" r:id="rId33"/>
    <sheet name="GearBuilds" sheetId="67" state="hidden" r:id="rId34"/>
    <sheet name="BuffBuilds" sheetId="69" state="hidden" r:id="rId35"/>
    <sheet name="TalentBuilds" sheetId="66" state="hidden" r:id="rId36"/>
    <sheet name="OptionBuilds" sheetId="68" state="hidden" r:id="rId37"/>
    <sheet name="CooldownBuilds" sheetId="72" state="hidden" r:id="rId38"/>
  </sheets>
  <definedNames>
    <definedName name="_xlnm._FilterDatabase" localSheetId="30"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OFFSET(Back!$X$40,0,0,COUNTIF(Back!$X$40:$X$46,"?*"),1)</definedName>
    <definedName name="BackEnchantListRaw">Back!$X$40:$X$46</definedName>
    <definedName name="BackEnchantStats">Back!$A$41:$U$46</definedName>
    <definedName name="BackList">OFFSET(Back!$X$2,0,0,COUNTIF(Back!$X$2:$X$38,"?*"),1)</definedName>
    <definedName name="BackListRaw">Back!$X$2:$X$38</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ListRaw">Belt!$X$2:$X$39</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OFFSET(Boots!$X$36,0,0,COUNTIF(Boots!$X$36:$X$44,"?*"),1)</definedName>
    <definedName name="BootEnchantListRaw">Boots!$X$36:$X$44</definedName>
    <definedName name="BootEnchantStats">Boots!$A$37:$U$44</definedName>
    <definedName name="BootsList">OFFSET(Boots!$X$2,0,0,COUNTIF(Boots!$X$2:$X$34,"?*"),1)</definedName>
    <definedName name="BootsListRaw">Boots!$X$2:$X$34</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OFFSET(Bracers!$AD$32,0,0,COUNTIF(Bracers!$AD$32:$AD$38,"?*"),1)</definedName>
    <definedName name="BracerEnchantListRaw">Bracers!$AD$32:$AD$38</definedName>
    <definedName name="BracerEnchantStats">Bracers!$A$33:$Z$38</definedName>
    <definedName name="BracersList">OFFSET(Bracers!$AD$2,0,0,COUNTIF(Bracers!$AD$2:$AD$30,"?*"),1)</definedName>
    <definedName name="BracersListRaw">Bracers!$AD$2:$AD$30</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OFFSET(Chest!$X$39,0,0,COUNTIF(Chest!$X$39:$X$46,"?*"),1)</definedName>
    <definedName name="ChestEnchantListRaw">Chest!$X$39:$X$46</definedName>
    <definedName name="ChestEnchantStats">Chest!$A$40:$U$46</definedName>
    <definedName name="ChestList">OFFSET(Chest!$X$2,0,0,COUNTIF(Chest!$X$2:$X$37,"?*"),1)</definedName>
    <definedName name="ChestListRaw">Chest!$X$2:$X$37</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ListRaw">Socket!$AB$2:$AB$105</definedName>
    <definedName name="GenSocketStats">Socket!$A$2:$Y$105</definedName>
    <definedName name="GloveEnchantList">OFFSET(Gloves!$X$40,0,0,COUNTIF(Gloves!$X$40:$X$45,"?*"),1)</definedName>
    <definedName name="GloveEnchantListRaw">Gloves!$X$40:$X$45</definedName>
    <definedName name="GloveEnchantStats">Gloves!$A$41:$U$45</definedName>
    <definedName name="Gloves">'Gear &amp; Buffs'!$B$50</definedName>
    <definedName name="GlovesList">OFFSET(Gloves!$X$2,0,0,COUNTIF(Gloves!$X$2:$X$38,"?*"),1)</definedName>
    <definedName name="GlovesListRaw">Gloves!$X$2:$X$38</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OFFSET(Helm!$AC$33,0,0,COUNTIF(Helm!$AC$33:$AC$39,"?*"),1)</definedName>
    <definedName name="HelmEnchantListRaw">Helm!$AC$33:$AC$39</definedName>
    <definedName name="HelmEnchantStats">Helm!$A$34:$Y$39</definedName>
    <definedName name="HelmList">OFFSET(Helm!$AC$2,0,0,COUNTIF(Helm!$AC$2:$AC$31,"?*"),1)</definedName>
    <definedName name="HelmListRaw">Helm!$AC$2:$AC$31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NBup">Weapons!$AX$27</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OFFSET(Legs!$X$40,0,0,COUNTIF(Legs!$X$40:$X$48,"?*"),1)</definedName>
    <definedName name="LegEnchantListRaw">Legs!$X$40:$X$48</definedName>
    <definedName name="LegEnchantStats">Legs!$A$41:$T$48</definedName>
    <definedName name="LegsList">OFFSET(Legs!$X$2,0,0,COUNTIF(Legs!$X$2:$X$38,"?*"),1)</definedName>
    <definedName name="LegsListRaw">Legs!$X$2:$X$38</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OFFSET('Weap Enchants'!$T$1,0,0,COUNTIF('Weap Enchants'!$T$1:$T$12,"?*"),1)</definedName>
    <definedName name="MHEnchantListRaw">'Weap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OFFSET('Weap Enchants'!$T$16,0,0,COUNTIF('Weap Enchants'!$T$16:$T$29,"?*"),1)</definedName>
    <definedName name="MHTempEnchantListRaw">'Weap Enchants'!$T$16:$T$29</definedName>
    <definedName name="MHTempEnchantStats">'Weap Enchants'!$A$17:$Q$29</definedName>
    <definedName name="mhtype">'Gear &amp; Buffs'!$X$10</definedName>
    <definedName name="MHWeaponList">OFFSET(Weapons!$AL$3,0,0,COUNTIF(Weapons!$AL$3:$AL$149,"?*"),1)</definedName>
    <definedName name="MHWeaponListRaw">Weapons!$AL$3:$AL$149</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OFFSET(Neck!$X$2,0,0,COUNTIF(Neck!$X$2:$X$39,"?*"),1)</definedName>
    <definedName name="NeckListRaw">Neck!$X$2:$X$39</definedName>
    <definedName name="NeckStats">Neck!$A$2:$U$38</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OFFSET('Weap Enchants'!$T$33,0,0,COUNTIF('Weap Enchants'!$T$33:$T$44,"?*"),1)</definedName>
    <definedName name="OHEnchantListRaw">'Weap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OFFSET('Weap Enchants'!$T$48,0,0,COUNTIF('Weap Enchants'!$T$48:$T$59,"?*"),1)</definedName>
    <definedName name="OHTempEnchantListRaw">'Weap Enchants'!$T$48:$T$59</definedName>
    <definedName name="OHTempEnchantStats">'Weap Enchants'!$A$49:$Q$59</definedName>
    <definedName name="ohtype">'Gear &amp; Buffs'!$X$16</definedName>
    <definedName name="OHWeaponList">OFFSET(Weapons!$AL$154,0,0,COUNTIF(Weapons!$AL$154:$AL$312,"?*"),1)</definedName>
    <definedName name="OHWeaponListRaw">Weapons!$AL$154:$AL$312</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ListRaw">Ranged!$X$2:$X$53</definedName>
    <definedName name="RangedStats">Ranged!$A$2:$S$52</definedName>
    <definedName name="relent">Talents!$C$20</definedName>
    <definedName name="RingEnchantList">OFFSET(Ring!$Y$60,0,0,COUNTIF(Ring!$Y$60:$Y$63,"?*"),1)</definedName>
    <definedName name="RingEnchantListRaw">Ring!$Y$60:$Y$63</definedName>
    <definedName name="RingEnchantStats">Ring!$A$61:$V$63</definedName>
    <definedName name="RingList">OFFSET(Ring!$Y$2,0,0,COUNTIF(Ring!$Y$2:$Y$58,"?*"),1)</definedName>
    <definedName name="RingListRaw">Ring!$Y$2:$Y$58</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OFFSET(Shoulder!$X$34,0,0,COUNTIF(Shoulder!$X$34:$X$42,"?*"),1)</definedName>
    <definedName name="ShoulderEnchantListRaw">Shoulder!$X$34:$X$42</definedName>
    <definedName name="ShoulderEnchantStats">Shoulder!$A$35:$V$42</definedName>
    <definedName name="ShoulderList">OFFSET(Shoulder!$X$2,0,0,COUNTIF(Shoulder!$X$2:$X$32,"?*"),1)</definedName>
    <definedName name="ShoulderListRaw">Shoulder!$X$2:$X$32</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ListRaw">Trinket!$AB$2:$AB$40</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61" i="4" l="1"/>
  <c r="AC303" i="70"/>
  <c r="AC304" i="70"/>
  <c r="AC305" i="70"/>
  <c r="AC306" i="70"/>
  <c r="AC307" i="70"/>
  <c r="AC308" i="70"/>
  <c r="AC309" i="70"/>
  <c r="AC310" i="70"/>
  <c r="AC311" i="70"/>
  <c r="AC312" i="70"/>
  <c r="AC313" i="70"/>
  <c r="AC314" i="70"/>
  <c r="AC315" i="70"/>
  <c r="AC316" i="70"/>
  <c r="AC317" i="70"/>
  <c r="AC318" i="70"/>
  <c r="AC319" i="70"/>
  <c r="AC320" i="70"/>
  <c r="AC321" i="70"/>
  <c r="AC322" i="70"/>
  <c r="AC323" i="70"/>
  <c r="AC324" i="70"/>
  <c r="AC325" i="70"/>
  <c r="AC326" i="70"/>
  <c r="AC327" i="70"/>
  <c r="AC328" i="70"/>
  <c r="AC329" i="70"/>
  <c r="AC330" i="70"/>
  <c r="AC331" i="70"/>
  <c r="AC332" i="70"/>
  <c r="AC333" i="70"/>
  <c r="AC334" i="70"/>
  <c r="AC335" i="70"/>
  <c r="AC336" i="70"/>
  <c r="AC337" i="70"/>
  <c r="AC338" i="70"/>
  <c r="AC339" i="70"/>
  <c r="AC340" i="70"/>
  <c r="AC341" i="70"/>
  <c r="AC342" i="70"/>
  <c r="AC343" i="70"/>
  <c r="AC344" i="70"/>
  <c r="AC345" i="70"/>
  <c r="AC346" i="70"/>
  <c r="AC347" i="70"/>
  <c r="AC348" i="70"/>
  <c r="AC349" i="70"/>
  <c r="AC350" i="70"/>
  <c r="AC351" i="70"/>
  <c r="AC352" i="70"/>
  <c r="AC353" i="70"/>
  <c r="AC354" i="70"/>
  <c r="AC355" i="70"/>
  <c r="AC356" i="70"/>
  <c r="AC357" i="70"/>
  <c r="AC358" i="70"/>
  <c r="AC359" i="70"/>
  <c r="AC360" i="70"/>
  <c r="AC361" i="70"/>
  <c r="AC362" i="70"/>
  <c r="AC363" i="70"/>
  <c r="AC364" i="70"/>
  <c r="AC365" i="70"/>
  <c r="AC366" i="70"/>
  <c r="AC367" i="70"/>
  <c r="AC368" i="70"/>
  <c r="AC369" i="70"/>
  <c r="AC370" i="70"/>
  <c r="AC371" i="70"/>
  <c r="AC372" i="70"/>
  <c r="AC373" i="70"/>
  <c r="AC374" i="70"/>
  <c r="AC375" i="70"/>
  <c r="AC376" i="70"/>
  <c r="AC377" i="70"/>
  <c r="AC378" i="70"/>
  <c r="AC379" i="70"/>
  <c r="AC380" i="70"/>
  <c r="AC381" i="70"/>
  <c r="AC382" i="70"/>
  <c r="AC383" i="70"/>
  <c r="AC384" i="70"/>
  <c r="AC385" i="70"/>
  <c r="AC386" i="70"/>
  <c r="AC387" i="70"/>
  <c r="AC388" i="70"/>
  <c r="AC389" i="70"/>
  <c r="AC390" i="70"/>
  <c r="AC391" i="70"/>
  <c r="AC392" i="70"/>
  <c r="AC393" i="70"/>
  <c r="AC394" i="70"/>
  <c r="AC395" i="70"/>
  <c r="AC396" i="70"/>
  <c r="AC397" i="70"/>
  <c r="AC398" i="70"/>
  <c r="AC399" i="70"/>
  <c r="AC400" i="70"/>
  <c r="AC401" i="70"/>
  <c r="AC402" i="70"/>
  <c r="AC403" i="70"/>
  <c r="AC404" i="70"/>
  <c r="AC405" i="70"/>
  <c r="AC406" i="70"/>
  <c r="AC407" i="70"/>
  <c r="AC408" i="70"/>
  <c r="AC409" i="70"/>
  <c r="AC410" i="70"/>
  <c r="AC411" i="70"/>
  <c r="AC412" i="70"/>
  <c r="AC413" i="70"/>
  <c r="AC414" i="70"/>
  <c r="AC415" i="70"/>
  <c r="AC416" i="70"/>
  <c r="AC417" i="70"/>
  <c r="AC418" i="70"/>
  <c r="AC419" i="70"/>
  <c r="AC420" i="70"/>
  <c r="AC421" i="70"/>
  <c r="AC422" i="70"/>
  <c r="AC423" i="70"/>
  <c r="AC424" i="70"/>
  <c r="AC425" i="70"/>
  <c r="AC426" i="70"/>
  <c r="AC427" i="70"/>
  <c r="AC428" i="70"/>
  <c r="AC429" i="70"/>
  <c r="AC430" i="70"/>
  <c r="AC431" i="70"/>
  <c r="AC432" i="70"/>
  <c r="AC433" i="70"/>
  <c r="AC434" i="70"/>
  <c r="AC435" i="70"/>
  <c r="AC436" i="70"/>
  <c r="AC437" i="70"/>
  <c r="AC438" i="70"/>
  <c r="AC439" i="70"/>
  <c r="AC440" i="70"/>
  <c r="AC441" i="70"/>
  <c r="AC442" i="70"/>
  <c r="AC443" i="70"/>
  <c r="AC444" i="70"/>
  <c r="AC445" i="70"/>
  <c r="AC446" i="70"/>
  <c r="AC447" i="70"/>
  <c r="AC448" i="70"/>
  <c r="AC449" i="70"/>
  <c r="AC450" i="70"/>
  <c r="AC451" i="70"/>
  <c r="AC452" i="70"/>
  <c r="AC453" i="70"/>
  <c r="AC454" i="70"/>
  <c r="AC455" i="70"/>
  <c r="AC456" i="70"/>
  <c r="AC457" i="70"/>
  <c r="AC458" i="70"/>
  <c r="AC459" i="70"/>
  <c r="AC460" i="70"/>
  <c r="AC461" i="70"/>
  <c r="AC462" i="70"/>
  <c r="AC463" i="70"/>
  <c r="AC464" i="70"/>
  <c r="AC465" i="70"/>
  <c r="AC466" i="70"/>
  <c r="AC467" i="70"/>
  <c r="AC468" i="70"/>
  <c r="AC469" i="70"/>
  <c r="AC470" i="70"/>
  <c r="AC471" i="70"/>
  <c r="AC472" i="70"/>
  <c r="AC473" i="70"/>
  <c r="AC474" i="70"/>
  <c r="AC475" i="70"/>
  <c r="AC476" i="70"/>
  <c r="AC477" i="70"/>
  <c r="AC478" i="70"/>
  <c r="AC479" i="70"/>
  <c r="AC480" i="70"/>
  <c r="AC481" i="70"/>
  <c r="AC482" i="70"/>
  <c r="AC483" i="70"/>
  <c r="AC484" i="70"/>
  <c r="AC485" i="70"/>
  <c r="AC486" i="70"/>
  <c r="AC487" i="70"/>
  <c r="AC488" i="70"/>
  <c r="AC489" i="70"/>
  <c r="AC490" i="70"/>
  <c r="AC491" i="70"/>
  <c r="AC492" i="70"/>
  <c r="AC493" i="70"/>
  <c r="AC494" i="70"/>
  <c r="AC495" i="70"/>
  <c r="AC496" i="70"/>
  <c r="AC497" i="70"/>
  <c r="AC498" i="70"/>
  <c r="AC499" i="70"/>
  <c r="AC500" i="70"/>
  <c r="AC501" i="70"/>
  <c r="AC502" i="70"/>
  <c r="AC503" i="70"/>
  <c r="AC504" i="70"/>
  <c r="AC505" i="70"/>
  <c r="AC506" i="70"/>
  <c r="AC507" i="70"/>
  <c r="AC508" i="70"/>
  <c r="AC509" i="70"/>
  <c r="AC510" i="70"/>
  <c r="AC511" i="70"/>
  <c r="AC512" i="70"/>
  <c r="AC513" i="70"/>
  <c r="AC514" i="70"/>
  <c r="AC515" i="70"/>
  <c r="AC516" i="70"/>
  <c r="AC517" i="70"/>
  <c r="AC518" i="70"/>
  <c r="AC519" i="70"/>
  <c r="AC520" i="70"/>
  <c r="AC521" i="70"/>
  <c r="AC522" i="70"/>
  <c r="AC523" i="70"/>
  <c r="AC524" i="70"/>
  <c r="AC525" i="70"/>
  <c r="AC526" i="70"/>
  <c r="AC527" i="70"/>
  <c r="AC528" i="70"/>
  <c r="AC529" i="70"/>
  <c r="AC530" i="70"/>
  <c r="AC531" i="70"/>
  <c r="AC532" i="70"/>
  <c r="AC533" i="70"/>
  <c r="AC534" i="70"/>
  <c r="AC535" i="70"/>
  <c r="AC536" i="70"/>
  <c r="AC537" i="70"/>
  <c r="AC538" i="70"/>
  <c r="AC539" i="70"/>
  <c r="AC540" i="70"/>
  <c r="AC541" i="70"/>
  <c r="AC542" i="70"/>
  <c r="AC543" i="70"/>
  <c r="AC544" i="70"/>
  <c r="AC545" i="70"/>
  <c r="AC546" i="70"/>
  <c r="AC547" i="70"/>
  <c r="AC548" i="70"/>
  <c r="AC549" i="70"/>
  <c r="AC550" i="70"/>
  <c r="AC551" i="70"/>
  <c r="AC552" i="70"/>
  <c r="AC553" i="70"/>
  <c r="AC554" i="70"/>
  <c r="AC555" i="70"/>
  <c r="AC556" i="70"/>
  <c r="AC557" i="70"/>
  <c r="AC558" i="70"/>
  <c r="AC559" i="70"/>
  <c r="AC560" i="70"/>
  <c r="AC561" i="70"/>
  <c r="AC562" i="70"/>
  <c r="AC563" i="70"/>
  <c r="AC564" i="70"/>
  <c r="AC565" i="70"/>
  <c r="AC566" i="70"/>
  <c r="AC567" i="70"/>
  <c r="AC568" i="70"/>
  <c r="AC569" i="70"/>
  <c r="AC570" i="70"/>
  <c r="AC571" i="70"/>
  <c r="AC572" i="70"/>
  <c r="AC573" i="70"/>
  <c r="AC574" i="70"/>
  <c r="AC575" i="70"/>
  <c r="AC576" i="70"/>
  <c r="AC577" i="70"/>
  <c r="AC578" i="70"/>
  <c r="AC579" i="70"/>
  <c r="AC580" i="70"/>
  <c r="AC581" i="70"/>
  <c r="AC582" i="70"/>
  <c r="AC583" i="70"/>
  <c r="AC584" i="70"/>
  <c r="AC585" i="70"/>
  <c r="AC586" i="70"/>
  <c r="AC587" i="70"/>
  <c r="AC588" i="70"/>
  <c r="AC589" i="70"/>
  <c r="AC590" i="70"/>
  <c r="AC591" i="70"/>
  <c r="AC592" i="70"/>
  <c r="AC593" i="70"/>
  <c r="AC594" i="70"/>
  <c r="AC595" i="70"/>
  <c r="AC596" i="70"/>
  <c r="AC597" i="70"/>
  <c r="AC598" i="70"/>
  <c r="AC599" i="70"/>
  <c r="AC600" i="70"/>
  <c r="AC601" i="70"/>
  <c r="AC602" i="70"/>
  <c r="I12" i="73"/>
  <c r="I11" i="73"/>
  <c r="F11" i="73"/>
  <c r="I10" i="73"/>
  <c r="I8" i="73"/>
  <c r="I7" i="73"/>
  <c r="F7" i="73"/>
  <c r="D7" i="73"/>
  <c r="I6" i="73"/>
  <c r="F6" i="73"/>
  <c r="D6" i="73"/>
  <c r="K4" i="73"/>
  <c r="K3" i="73"/>
  <c r="J4" i="73"/>
  <c r="J3" i="73"/>
  <c r="G7" i="73"/>
  <c r="G10" i="73"/>
  <c r="G8" i="73"/>
  <c r="I9" i="73"/>
  <c r="H6" i="73"/>
  <c r="H11" i="73"/>
  <c r="H9" i="73"/>
  <c r="H7" i="73"/>
  <c r="F9" i="73"/>
  <c r="E11" i="73"/>
  <c r="E9" i="73"/>
  <c r="E7" i="73"/>
  <c r="E6" i="73"/>
  <c r="E5" i="73"/>
  <c r="D11" i="73"/>
  <c r="D9" i="73"/>
  <c r="C13" i="73"/>
  <c r="C12" i="73"/>
  <c r="C11" i="73"/>
  <c r="C10" i="73"/>
  <c r="C9" i="73"/>
  <c r="C7" i="73"/>
  <c r="C6" i="73"/>
  <c r="C8" i="73"/>
  <c r="B7" i="73"/>
  <c r="B6" i="73"/>
  <c r="B11" i="73"/>
  <c r="B9" i="73"/>
  <c r="H5" i="73"/>
  <c r="I5" i="73"/>
  <c r="F5" i="73"/>
  <c r="B5" i="73"/>
  <c r="C5" i="73"/>
  <c r="D5" i="73"/>
  <c r="H14" i="73" l="1" a="1"/>
  <c r="H14" i="73" s="1"/>
  <c r="J14" i="73" a="1"/>
  <c r="J14" i="73" s="1"/>
  <c r="K14" i="73" a="1"/>
  <c r="K14" i="73" s="1"/>
  <c r="C16" i="73" a="1"/>
  <c r="C16" i="73" s="1"/>
  <c r="E16" i="73" a="1"/>
  <c r="E16" i="73" s="1"/>
  <c r="G15" i="73" a="1"/>
  <c r="G15" i="73" s="1"/>
  <c r="I16" i="73" a="1"/>
  <c r="I16" i="73" s="1"/>
  <c r="F14" i="73" a="1"/>
  <c r="F14" i="73" s="1"/>
  <c r="H16" i="73" a="1"/>
  <c r="H16" i="73" s="1"/>
  <c r="D16" i="73" a="1"/>
  <c r="D16" i="73" s="1"/>
  <c r="B16" i="73" a="1"/>
  <c r="B16" i="73" s="1"/>
  <c r="F16" i="73" a="1"/>
  <c r="F16" i="73" s="1"/>
  <c r="C20" i="73" a="1"/>
  <c r="C20" i="73" s="1"/>
  <c r="D14" i="73" a="1"/>
  <c r="D14" i="73" s="1"/>
  <c r="I14" i="73" a="1"/>
  <c r="I14" i="73" s="1"/>
  <c r="Y6" i="16" l="1"/>
  <c r="T49" i="29"/>
  <c r="T34" i="29"/>
  <c r="T17" i="29"/>
  <c r="T2" i="29"/>
  <c r="Y61" i="26"/>
  <c r="X37" i="25"/>
  <c r="X41" i="24"/>
  <c r="X41" i="22"/>
  <c r="AD33" i="21"/>
  <c r="X40" i="20"/>
  <c r="X41" i="19"/>
  <c r="X35" i="18"/>
  <c r="AC34" i="15"/>
  <c r="AC3" i="15"/>
  <c r="AH285" i="30"/>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E152" i="30"/>
  <c r="AE153" i="30" s="1"/>
  <c r="AE154" i="30" s="1"/>
  <c r="AF151" i="30"/>
  <c r="AF2" i="30"/>
  <c r="AE3" i="30"/>
  <c r="AE4" i="30" s="1"/>
  <c r="B7" i="34"/>
  <c r="AS28" i="30" s="1"/>
  <c r="AF153" i="30" l="1"/>
  <c r="AL4" i="30"/>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E5" i="30"/>
  <c r="AE6" i="30" s="1"/>
  <c r="AE155" i="30"/>
  <c r="AE156" i="30" s="1"/>
  <c r="AF154" i="30" l="1"/>
  <c r="AL156" i="30" s="1"/>
  <c r="AL5" i="30"/>
  <c r="R5" i="70"/>
  <c r="S5" i="70" s="1"/>
  <c r="K5" i="70"/>
  <c r="L5" i="70" s="1"/>
  <c r="M5" i="70" s="1"/>
  <c r="E5" i="70"/>
  <c r="F5" i="70" s="1"/>
  <c r="G5" i="70" s="1"/>
  <c r="A6" i="70"/>
  <c r="A7" i="70" s="1"/>
  <c r="X5" i="70"/>
  <c r="V6" i="70" s="1"/>
  <c r="W6" i="70" s="1"/>
  <c r="O5" i="70"/>
  <c r="P5" i="70" s="1"/>
  <c r="I5" i="70"/>
  <c r="D5" i="70"/>
  <c r="AE7" i="30"/>
  <c r="AE8" i="30" s="1"/>
  <c r="AE9" i="30" s="1"/>
  <c r="AF7" i="30"/>
  <c r="AF8" i="30" s="1"/>
  <c r="AE157" i="30"/>
  <c r="AE158" i="30" s="1"/>
  <c r="AE159" i="30" s="1"/>
  <c r="AE160" i="30" s="1"/>
  <c r="B8" i="34"/>
  <c r="M27" i="16"/>
  <c r="AF155" i="30" l="1"/>
  <c r="AF156" i="30" s="1"/>
  <c r="AL6" i="30"/>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157" i="30" l="1"/>
  <c r="V3" i="16"/>
  <c r="AF157" i="30"/>
  <c r="AL7" i="30"/>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E162" i="30"/>
  <c r="AE163" i="30" s="1"/>
  <c r="AE164" i="30" s="1"/>
  <c r="AE12" i="30"/>
  <c r="W3" i="26"/>
  <c r="W4" i="26" s="1"/>
  <c r="W5" i="2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V4" i="16" l="1"/>
  <c r="V5" i="16" s="1"/>
  <c r="V6" i="16" s="1"/>
  <c r="V7" i="16" s="1"/>
  <c r="AF158" i="30"/>
  <c r="AL8" i="30"/>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Z5" i="27"/>
  <c r="AE60" i="30"/>
  <c r="J6" i="70"/>
  <c r="V45" i="20"/>
  <c r="AE267" i="30"/>
  <c r="AE268" i="30" s="1"/>
  <c r="AE13" i="30"/>
  <c r="AE125" i="30"/>
  <c r="AE126" i="30" s="1"/>
  <c r="AE106" i="30"/>
  <c r="AE165" i="30"/>
  <c r="AE166" i="30"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F159" i="30" l="1"/>
  <c r="V8" i="16"/>
  <c r="X6" i="16"/>
  <c r="AE14" i="30"/>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E167" i="30"/>
  <c r="AE168" i="30" s="1"/>
  <c r="AE169" i="30" s="1"/>
  <c r="AE15" i="30"/>
  <c r="V41" i="25"/>
  <c r="V45" i="24"/>
  <c r="V46" i="24" s="1"/>
  <c r="V47" i="24" s="1"/>
  <c r="V6" i="22"/>
  <c r="V7" i="22" s="1"/>
  <c r="V5" i="23"/>
  <c r="V5" i="19"/>
  <c r="V7" i="18"/>
  <c r="V8" i="18" s="1"/>
  <c r="AA6" i="15"/>
  <c r="AA7" i="15" s="1"/>
  <c r="AE289" i="30"/>
  <c r="AE290" i="30" s="1"/>
  <c r="AB7" i="21"/>
  <c r="AB8" i="21" s="1"/>
  <c r="V6" i="25"/>
  <c r="V7" i="20"/>
  <c r="V7" i="31"/>
  <c r="W7" i="26"/>
  <c r="W8" i="26" s="1"/>
  <c r="V7" i="24"/>
  <c r="AF160" i="30" l="1"/>
  <c r="V9" i="16"/>
  <c r="AE218" i="30"/>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AE291" i="30"/>
  <c r="AE292" i="30" s="1"/>
  <c r="V9" i="18"/>
  <c r="V10" i="18" s="1"/>
  <c r="V11" i="18" s="1"/>
  <c r="W9" i="26"/>
  <c r="V8" i="22"/>
  <c r="AA8" i="15"/>
  <c r="V6" i="23"/>
  <c r="V8" i="31"/>
  <c r="V8" i="20"/>
  <c r="AB9" i="21"/>
  <c r="AB10" i="21" s="1"/>
  <c r="V8" i="24"/>
  <c r="V9" i="24" s="1"/>
  <c r="V7" i="25"/>
  <c r="V6" i="19"/>
  <c r="AF161" i="30" l="1"/>
  <c r="AF162" i="30" s="1"/>
  <c r="V10" i="16"/>
  <c r="AE219" i="30"/>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24"/>
  <c r="V11" i="24" s="1"/>
  <c r="V12" i="24" s="1"/>
  <c r="V8" i="25"/>
  <c r="V9" i="22"/>
  <c r="V10" i="22" s="1"/>
  <c r="V11" i="22" s="1"/>
  <c r="V7" i="19"/>
  <c r="V8" i="19" s="1"/>
  <c r="AA9" i="15"/>
  <c r="AA10" i="15" s="1"/>
  <c r="AE293" i="30"/>
  <c r="V9" i="31"/>
  <c r="V12" i="18"/>
  <c r="W10" i="26"/>
  <c r="V7" i="23"/>
  <c r="AB11" i="21"/>
  <c r="AB12" i="21" s="1"/>
  <c r="V9" i="20"/>
  <c r="V11" i="16" l="1"/>
  <c r="V12" i="16" s="1"/>
  <c r="V13" i="16" s="1"/>
  <c r="AF163" i="30"/>
  <c r="AF164" i="30" s="1"/>
  <c r="AF165" i="30" s="1"/>
  <c r="AE220" i="30"/>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V14" i="16" l="1"/>
  <c r="AE221" i="30"/>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V15" i="16" l="1"/>
  <c r="AE222" i="30"/>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V16" i="16" l="1"/>
  <c r="AE224" i="30"/>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V17" i="16" l="1"/>
  <c r="AE232" i="30"/>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V18" i="16" l="1"/>
  <c r="AE233" i="30"/>
  <c r="AE234" i="30" s="1"/>
  <c r="AE235" i="30" s="1"/>
  <c r="AE236"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AE237" i="30" l="1"/>
  <c r="AE238" i="30" s="1"/>
  <c r="V19" i="16"/>
  <c r="Q19" i="70"/>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E239" i="30" l="1"/>
  <c r="AF237" i="30"/>
  <c r="V20" i="16"/>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V21" i="16" l="1"/>
  <c r="V22" i="16" s="1"/>
  <c r="V23" i="16" s="1"/>
  <c r="V24" i="16" s="1"/>
  <c r="AF238" i="30"/>
  <c r="AF239" i="30" s="1"/>
  <c r="AE240" i="30"/>
  <c r="Q21" i="70"/>
  <c r="R21" i="70" s="1"/>
  <c r="S21" i="70" s="1"/>
  <c r="N21" i="70"/>
  <c r="O21" i="70" s="1"/>
  <c r="P21" i="70" s="1"/>
  <c r="K20" i="70"/>
  <c r="L20" i="70" s="1"/>
  <c r="M20" i="70" s="1"/>
  <c r="X21" i="70"/>
  <c r="V22" i="70" s="1"/>
  <c r="W22" i="70" s="1"/>
  <c r="A22" i="70"/>
  <c r="F21" i="70"/>
  <c r="G21" i="70" s="1"/>
  <c r="E22" i="7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E241" i="30" l="1"/>
  <c r="AE242" i="30" s="1"/>
  <c r="V25" i="16"/>
  <c r="V26" i="16" s="1"/>
  <c r="V27" i="16" s="1"/>
  <c r="V28" i="16" s="1"/>
  <c r="V29" i="16" s="1"/>
  <c r="AF240" i="30"/>
  <c r="AF241" i="30" s="1"/>
  <c r="AF242" i="30" s="1"/>
  <c r="AF243" i="30" s="1"/>
  <c r="AL180" i="30"/>
  <c r="AL164" i="30"/>
  <c r="AL167" i="30"/>
  <c r="AL159" i="30"/>
  <c r="AL161" i="30"/>
  <c r="AL170" i="30"/>
  <c r="AL202" i="30"/>
  <c r="AL191" i="30"/>
  <c r="AL193" i="30"/>
  <c r="AL205" i="30"/>
  <c r="AL189" i="30"/>
  <c r="AL174" i="30"/>
  <c r="AL192" i="30"/>
  <c r="AL179" i="30"/>
  <c r="AL203" i="30"/>
  <c r="AL206" i="30"/>
  <c r="AL162" i="30"/>
  <c r="AL175" i="30"/>
  <c r="AL171" i="30"/>
  <c r="AL194" i="30"/>
  <c r="AL158" i="30"/>
  <c r="AL197" i="30"/>
  <c r="AL177" i="30"/>
  <c r="AL168" i="30"/>
  <c r="AL184" i="30"/>
  <c r="AL182" i="30"/>
  <c r="AL160" i="30"/>
  <c r="AL178" i="30"/>
  <c r="AL199" i="30"/>
  <c r="AL176" i="30"/>
  <c r="AL198" i="30"/>
  <c r="AL204" i="30"/>
  <c r="AL190" i="30"/>
  <c r="AL169" i="30"/>
  <c r="AL200" i="30"/>
  <c r="AL163" i="30"/>
  <c r="AL165" i="30"/>
  <c r="AL172" i="30"/>
  <c r="AL195" i="30"/>
  <c r="AL181" i="30"/>
  <c r="AL201" i="30"/>
  <c r="AL173" i="30"/>
  <c r="AL196" i="30"/>
  <c r="AL166" i="30"/>
  <c r="AL188" i="30"/>
  <c r="AL186" i="30"/>
  <c r="AL183" i="30"/>
  <c r="AL187"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V30" i="16" l="1"/>
  <c r="V31" i="16" s="1"/>
  <c r="V32" i="16" s="1"/>
  <c r="V33" i="16" s="1"/>
  <c r="V34" i="16" s="1"/>
  <c r="AE243" i="30"/>
  <c r="AF244" i="30"/>
  <c r="Q23" i="70"/>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AL207" i="30" l="1"/>
  <c r="V35" i="16"/>
  <c r="V36" i="16" s="1"/>
  <c r="V37" i="16" s="1"/>
  <c r="AF245" i="30"/>
  <c r="AF246" i="30" s="1"/>
  <c r="AF247" i="30" s="1"/>
  <c r="AE244" i="30"/>
  <c r="Q24" i="70"/>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AL209" i="30" l="1"/>
  <c r="AL208" i="30"/>
  <c r="AF248" i="30"/>
  <c r="AF249" i="30" s="1"/>
  <c r="AF250" i="30" s="1"/>
  <c r="AF251" i="30" s="1"/>
  <c r="AE245" i="30"/>
  <c r="AE246" i="30" s="1"/>
  <c r="AE247" i="30" s="1"/>
  <c r="AE248" i="30" s="1"/>
  <c r="AE249" i="30" s="1"/>
  <c r="AE250" i="30" s="1"/>
  <c r="Q25" i="70"/>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AL210" i="30" l="1"/>
  <c r="AE251" i="30"/>
  <c r="AE252" i="30" s="1"/>
  <c r="AE253" i="30" s="1"/>
  <c r="AE254" i="30" s="1"/>
  <c r="AE255" i="30" s="1"/>
  <c r="AE256" i="30" s="1"/>
  <c r="AE257" i="30" s="1"/>
  <c r="AE258" i="30" s="1"/>
  <c r="AE259" i="30" s="1"/>
  <c r="AF252" i="30"/>
  <c r="AF253" i="30" s="1"/>
  <c r="AF254" i="30" s="1"/>
  <c r="AF255" i="30" s="1"/>
  <c r="R57" i="29"/>
  <c r="R58" i="29" s="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AL212" i="30" l="1"/>
  <c r="AF256" i="30"/>
  <c r="AF257" i="30" s="1"/>
  <c r="AF258" i="30" s="1"/>
  <c r="AL11" i="30"/>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59" i="29"/>
  <c r="T57" i="29" s="1"/>
  <c r="AF259" i="30" l="1"/>
  <c r="T51" i="29"/>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AF260" i="30" l="1"/>
  <c r="AF261" i="30" s="1"/>
  <c r="AF262" i="30" s="1"/>
  <c r="AF263" i="30"/>
  <c r="AF264" i="30" s="1"/>
  <c r="AF265" i="30" s="1"/>
  <c r="R26" i="29"/>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AL218" i="30" l="1"/>
  <c r="R27" i="29"/>
  <c r="R28" i="29" s="1"/>
  <c r="AF266" i="30"/>
  <c r="T23"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AF267" i="30" l="1"/>
  <c r="R29" i="29"/>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AF268" i="30" l="1"/>
  <c r="T28" i="29"/>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AF269" i="30" l="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L222" i="30" s="1"/>
  <c r="Q33" i="70"/>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AL286" i="30" l="1"/>
  <c r="AL230" i="30"/>
  <c r="AL244" i="30"/>
  <c r="AL306" i="30"/>
  <c r="AL231" i="30"/>
  <c r="AL248" i="30"/>
  <c r="AL290" i="30"/>
  <c r="AL300" i="30"/>
  <c r="AL229" i="30"/>
  <c r="AL241" i="30"/>
  <c r="AL284" i="30"/>
  <c r="AL288" i="30"/>
  <c r="AL305" i="30"/>
  <c r="AL302" i="30"/>
  <c r="AL287" i="30"/>
  <c r="AL282" i="30"/>
  <c r="AL255" i="30"/>
  <c r="AL309" i="30"/>
  <c r="AL308" i="30"/>
  <c r="AL296" i="30"/>
  <c r="AL301" i="30"/>
  <c r="AL240" i="30"/>
  <c r="AL273" i="30"/>
  <c r="AL265" i="30"/>
  <c r="AL271" i="30"/>
  <c r="AL257" i="30"/>
  <c r="AL258" i="30"/>
  <c r="AL312" i="30"/>
  <c r="AL253" i="30"/>
  <c r="AL266" i="30"/>
  <c r="AL237" i="30"/>
  <c r="AL304" i="30"/>
  <c r="AL247" i="30"/>
  <c r="AL277" i="30"/>
  <c r="AL281" i="30"/>
  <c r="AL256" i="30"/>
  <c r="AL283" i="30"/>
  <c r="AL269" i="30"/>
  <c r="AL274" i="30"/>
  <c r="AL233" i="30"/>
  <c r="AL228" i="30"/>
  <c r="AL303" i="30"/>
  <c r="AL294" i="30"/>
  <c r="AL267" i="30"/>
  <c r="AL252" i="30"/>
  <c r="AL310" i="30"/>
  <c r="AL243" i="30"/>
  <c r="AL239" i="30"/>
  <c r="AL298" i="30"/>
  <c r="AL275" i="30"/>
  <c r="AL263" i="30"/>
  <c r="AL289" i="30"/>
  <c r="AL251" i="30"/>
  <c r="AL225" i="30"/>
  <c r="AL268" i="30"/>
  <c r="AL295" i="30"/>
  <c r="AL259" i="30"/>
  <c r="AL262" i="30"/>
  <c r="AL242" i="30"/>
  <c r="AL297" i="30"/>
  <c r="AL279" i="30"/>
  <c r="AL264" i="30"/>
  <c r="AL254" i="30"/>
  <c r="AL278" i="30"/>
  <c r="AL291" i="30"/>
  <c r="AL236" i="30"/>
  <c r="AL245" i="30"/>
  <c r="AL238" i="30"/>
  <c r="AL307" i="30"/>
  <c r="AL227" i="30"/>
  <c r="AL276" i="30"/>
  <c r="AL261" i="30"/>
  <c r="AL246" i="30"/>
  <c r="AL311" i="30"/>
  <c r="AL250" i="30"/>
  <c r="AL249" i="30"/>
  <c r="AL280" i="30"/>
  <c r="AL260" i="30"/>
  <c r="AL272" i="30"/>
  <c r="AL232" i="30"/>
  <c r="AL292" i="30"/>
  <c r="AL285" i="30"/>
  <c r="AL235" i="30"/>
  <c r="AL299" i="30"/>
  <c r="AL293" i="30"/>
  <c r="AL270" i="30"/>
  <c r="AL216" i="30"/>
  <c r="AL213" i="30"/>
  <c r="AL214" i="30"/>
  <c r="AL215" i="30"/>
  <c r="AL221" i="30"/>
  <c r="AL219" i="30"/>
  <c r="AL217" i="30"/>
  <c r="AL224" i="30"/>
  <c r="AL223" i="30"/>
  <c r="AL226" i="30"/>
  <c r="Q34" i="70"/>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7"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8"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9"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7" i="16"/>
  <c r="X21" i="16"/>
  <c r="X18" i="16"/>
  <c r="X19" i="16"/>
  <c r="X28" i="16"/>
  <c r="X30" i="16"/>
  <c r="X16" i="16"/>
  <c r="X24" i="16"/>
  <c r="X10" i="16"/>
  <c r="X17" i="16"/>
  <c r="X37" i="16"/>
  <c r="X34" i="16"/>
  <c r="X11" i="16"/>
  <c r="X26" i="16"/>
  <c r="X33" i="16"/>
  <c r="X35" i="16"/>
  <c r="X38" i="16"/>
  <c r="X13" i="16"/>
  <c r="X29" i="16"/>
  <c r="X15" i="16"/>
  <c r="X31" i="16"/>
  <c r="X32" i="16"/>
  <c r="X36" i="16"/>
  <c r="X25" i="16"/>
  <c r="X14" i="16"/>
  <c r="X12" i="16"/>
  <c r="X20" i="16"/>
  <c r="X23"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5" i="16"/>
  <c r="K28" i="16"/>
  <c r="A37" i="16"/>
  <c r="D37" i="16"/>
  <c r="E37" i="16"/>
  <c r="F37" i="16"/>
  <c r="G37" i="16"/>
  <c r="H37" i="16"/>
  <c r="I37" i="16"/>
  <c r="J37" i="16"/>
  <c r="K37" i="16"/>
  <c r="L37" i="16"/>
  <c r="M37" i="16"/>
  <c r="N37" i="16"/>
  <c r="O37" i="16"/>
  <c r="Q37" i="16"/>
  <c r="R37"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9" i="16"/>
  <c r="X22"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U6" i="16" s="1"/>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B34" i="10"/>
  <c r="F59" i="70"/>
  <c r="G59" i="70" s="1"/>
  <c r="E60" i="70" s="1"/>
  <c r="U42" i="24"/>
  <c r="U43" i="24"/>
  <c r="U44" i="24"/>
  <c r="U45" i="24"/>
  <c r="U46" i="24"/>
  <c r="U47" i="24"/>
  <c r="U41" i="24"/>
  <c r="J33" i="70"/>
  <c r="H34" i="70" s="1"/>
  <c r="D58" i="70"/>
  <c r="B59" i="70" s="1"/>
  <c r="C59" i="70" s="1"/>
  <c r="U27"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3" i="16"/>
  <c r="U24" i="16"/>
  <c r="U30" i="16"/>
  <c r="U19" i="16"/>
  <c r="U21" i="16"/>
  <c r="U16" i="16"/>
  <c r="U18"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2" i="16"/>
  <c r="U8" i="16"/>
  <c r="U31" i="16"/>
  <c r="U28" i="16"/>
  <c r="U26" i="16"/>
  <c r="U7" i="16"/>
  <c r="U14" i="16"/>
  <c r="U5" i="16"/>
  <c r="U13" i="16"/>
  <c r="U9" i="16"/>
  <c r="U12" i="16"/>
  <c r="U37" i="16"/>
  <c r="U25" i="16"/>
  <c r="U11" i="16"/>
  <c r="U20" i="16"/>
  <c r="U36" i="16"/>
  <c r="U23" i="16"/>
  <c r="U10"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2" i="16"/>
  <c r="U34" i="16"/>
  <c r="X45" i="14"/>
  <c r="Y45" i="14" s="1"/>
  <c r="X44" i="14"/>
  <c r="Y44" i="14" s="1"/>
  <c r="V40" i="26"/>
  <c r="V50" i="26"/>
  <c r="U40" i="26"/>
  <c r="U50" i="26"/>
  <c r="V27" i="26"/>
  <c r="U27" i="26"/>
  <c r="V20" i="26"/>
  <c r="V28" i="26"/>
  <c r="U20" i="26"/>
  <c r="U28" i="26"/>
  <c r="V3" i="26"/>
  <c r="V2" i="26"/>
  <c r="U3" i="26"/>
  <c r="U2" i="26"/>
  <c r="U29" i="16"/>
  <c r="U6" i="19"/>
  <c r="U17" i="16"/>
  <c r="Z19" i="21"/>
  <c r="Z8" i="21"/>
  <c r="Z3" i="21"/>
  <c r="Z24" i="21"/>
  <c r="U35" i="16"/>
  <c r="Z12" i="21"/>
  <c r="Z9" i="21"/>
  <c r="U15" i="19"/>
  <c r="Z20" i="21"/>
  <c r="Z7" i="21"/>
  <c r="U35" i="19"/>
  <c r="AF62" i="5"/>
  <c r="U15"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Q51" i="10" s="1"/>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F6" i="4" l="1"/>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548" i="70"/>
  <c r="F547" i="70"/>
  <c r="G547" i="70" s="1"/>
  <c r="E548" i="70" s="1"/>
  <c r="I281" i="70"/>
  <c r="J281" i="70" s="1"/>
  <c r="H282" i="70" s="1"/>
  <c r="Q548" i="70" l="1"/>
  <c r="R548" i="70" s="1"/>
  <c r="S548" i="70" s="1"/>
  <c r="N548" i="70"/>
  <c r="O548" i="70" s="1"/>
  <c r="P548" i="70" s="1"/>
  <c r="K547" i="70"/>
  <c r="L547" i="70" s="1"/>
  <c r="M547" i="70" s="1"/>
  <c r="B547" i="70"/>
  <c r="C547" i="70" s="1"/>
  <c r="D547"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D303" i="70"/>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D304" i="70"/>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D305" i="70"/>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D306" i="70"/>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D307" i="70"/>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D308" i="70"/>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D309" i="70"/>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D310" i="70"/>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D311" i="70"/>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D312" i="70"/>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D313" i="70"/>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D314" i="70"/>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D315" i="70"/>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D316" i="70"/>
  <c r="X602" i="70"/>
  <c r="I317" i="70"/>
  <c r="J317" i="70" s="1"/>
  <c r="H318" i="70" s="1"/>
  <c r="P604" i="70" l="1"/>
  <c r="L602" i="70"/>
  <c r="M602" i="70" s="1"/>
  <c r="M603" i="70" s="1"/>
  <c r="F602" i="70"/>
  <c r="G602" i="70" s="1"/>
  <c r="G603" i="70" s="1"/>
  <c r="Q22" i="10"/>
  <c r="B602" i="70"/>
  <c r="AD317" i="70"/>
  <c r="I318" i="70"/>
  <c r="J318" i="70" s="1"/>
  <c r="H319" i="70" s="1"/>
  <c r="C602" i="70" l="1"/>
  <c r="D602" i="70" s="1"/>
  <c r="D603" i="70" s="1"/>
  <c r="AD318" i="70"/>
  <c r="I319" i="70"/>
  <c r="J319" i="70" s="1"/>
  <c r="H320" i="70" s="1"/>
  <c r="AD319" i="70" l="1"/>
  <c r="I320" i="70"/>
  <c r="J320" i="70" s="1"/>
  <c r="H321" i="70" s="1"/>
  <c r="AD320" i="70" l="1"/>
  <c r="I321" i="70"/>
  <c r="J321" i="70" s="1"/>
  <c r="H322" i="70" s="1"/>
  <c r="AD321" i="70" l="1"/>
  <c r="I322" i="70"/>
  <c r="J322" i="70" s="1"/>
  <c r="H323" i="70" s="1"/>
  <c r="AD322" i="70" l="1"/>
  <c r="I323" i="70"/>
  <c r="J323" i="70" s="1"/>
  <c r="H324" i="70" s="1"/>
  <c r="AD323" i="70" l="1"/>
  <c r="I324" i="70"/>
  <c r="J324" i="70" s="1"/>
  <c r="H325" i="70" s="1"/>
  <c r="AD324" i="70" l="1"/>
  <c r="I325" i="70"/>
  <c r="J325" i="70" s="1"/>
  <c r="H326" i="70" s="1"/>
  <c r="AD325" i="70" l="1"/>
  <c r="I326" i="70"/>
  <c r="J326" i="70" s="1"/>
  <c r="H327" i="70" s="1"/>
  <c r="AD326" i="70" l="1"/>
  <c r="I327" i="70"/>
  <c r="J327" i="70" s="1"/>
  <c r="H328" i="70" s="1"/>
  <c r="AD327" i="70" l="1"/>
  <c r="I328" i="70"/>
  <c r="J328" i="70" s="1"/>
  <c r="H329" i="70" s="1"/>
  <c r="AD328" i="70" l="1"/>
  <c r="I329" i="70"/>
  <c r="J329" i="70" s="1"/>
  <c r="H330" i="70" s="1"/>
  <c r="AD329" i="70" l="1"/>
  <c r="I330" i="70"/>
  <c r="J330" i="70" s="1"/>
  <c r="H331" i="70" s="1"/>
  <c r="AD330" i="70" l="1"/>
  <c r="I331" i="70"/>
  <c r="J331" i="70" s="1"/>
  <c r="H332" i="70" s="1"/>
  <c r="AD331" i="70" l="1"/>
  <c r="I332" i="70"/>
  <c r="J332" i="70" s="1"/>
  <c r="H333" i="70" s="1"/>
  <c r="AD332" i="70" l="1"/>
  <c r="I333" i="70"/>
  <c r="J333" i="70" s="1"/>
  <c r="H334" i="70" s="1"/>
  <c r="AD333" i="70" l="1"/>
  <c r="I334" i="70"/>
  <c r="J334" i="70" s="1"/>
  <c r="H335" i="70" s="1"/>
  <c r="AD334" i="70" l="1"/>
  <c r="I335" i="70"/>
  <c r="J335" i="70" s="1"/>
  <c r="H336" i="70" s="1"/>
  <c r="AD335" i="70" l="1"/>
  <c r="I336" i="70"/>
  <c r="J336" i="70" s="1"/>
  <c r="H337" i="70" s="1"/>
  <c r="AD336" i="70" l="1"/>
  <c r="I337" i="70"/>
  <c r="J337" i="70" s="1"/>
  <c r="H338" i="70" s="1"/>
  <c r="AD337" i="70" l="1"/>
  <c r="I338" i="70"/>
  <c r="J338" i="70" s="1"/>
  <c r="H339" i="70" s="1"/>
  <c r="AD338" i="70" l="1"/>
  <c r="I339" i="70"/>
  <c r="J339" i="70" s="1"/>
  <c r="H340" i="70" s="1"/>
  <c r="AD339" i="70" l="1"/>
  <c r="I340" i="70"/>
  <c r="J340" i="70" s="1"/>
  <c r="H341" i="70" s="1"/>
  <c r="AD340" i="70" l="1"/>
  <c r="I341" i="70"/>
  <c r="J341" i="70" s="1"/>
  <c r="H342" i="70" s="1"/>
  <c r="AD341" i="70" l="1"/>
  <c r="I342" i="70"/>
  <c r="J342" i="70" s="1"/>
  <c r="H343" i="70" s="1"/>
  <c r="AD342" i="70" l="1"/>
  <c r="I343" i="70"/>
  <c r="J343" i="70" s="1"/>
  <c r="H344" i="70" s="1"/>
  <c r="AD343" i="70" l="1"/>
  <c r="I344" i="70"/>
  <c r="J344" i="70" s="1"/>
  <c r="H345" i="70" s="1"/>
  <c r="AD344" i="70" l="1"/>
  <c r="I345" i="70"/>
  <c r="J345" i="70" s="1"/>
  <c r="H346" i="70" s="1"/>
  <c r="AD345" i="70" l="1"/>
  <c r="I346" i="70"/>
  <c r="J346" i="70" s="1"/>
  <c r="H347" i="70" s="1"/>
  <c r="AD346" i="70" l="1"/>
  <c r="I347" i="70"/>
  <c r="J347" i="70" s="1"/>
  <c r="H348" i="70" s="1"/>
  <c r="AD347" i="70" l="1"/>
  <c r="I348" i="70"/>
  <c r="J348" i="70" s="1"/>
  <c r="H349" i="70" s="1"/>
  <c r="AD348" i="70" l="1"/>
  <c r="I349" i="70"/>
  <c r="J349" i="70" s="1"/>
  <c r="H350" i="70" s="1"/>
  <c r="AD349" i="70" l="1"/>
  <c r="I350" i="70"/>
  <c r="J350" i="70" s="1"/>
  <c r="H351" i="70" s="1"/>
  <c r="AD350" i="70" l="1"/>
  <c r="I351" i="70"/>
  <c r="J351" i="70" s="1"/>
  <c r="H352" i="70" s="1"/>
  <c r="AD351" i="70" l="1"/>
  <c r="I352" i="70"/>
  <c r="J352" i="70" s="1"/>
  <c r="H353" i="70" s="1"/>
  <c r="AD352" i="70" l="1"/>
  <c r="I353" i="70"/>
  <c r="J353" i="70" s="1"/>
  <c r="H354" i="70" s="1"/>
  <c r="AD353" i="70" l="1"/>
  <c r="I354" i="70"/>
  <c r="J354" i="70" s="1"/>
  <c r="H355" i="70" s="1"/>
  <c r="AD354" i="70" l="1"/>
  <c r="I355" i="70"/>
  <c r="J355" i="70" s="1"/>
  <c r="H356" i="70" s="1"/>
  <c r="AD355" i="70" l="1"/>
  <c r="I356" i="70"/>
  <c r="J356" i="70" s="1"/>
  <c r="H357" i="70" s="1"/>
  <c r="AD356" i="70" l="1"/>
  <c r="I357" i="70"/>
  <c r="J357" i="70" s="1"/>
  <c r="H358" i="70" s="1"/>
  <c r="AD357" i="70" l="1"/>
  <c r="I358" i="70"/>
  <c r="J358" i="70" s="1"/>
  <c r="H359" i="70" s="1"/>
  <c r="AD358" i="70" l="1"/>
  <c r="I359" i="70"/>
  <c r="J359" i="70" s="1"/>
  <c r="H360" i="70" s="1"/>
  <c r="AD359" i="70" l="1"/>
  <c r="I360" i="70"/>
  <c r="J360" i="70" s="1"/>
  <c r="H361" i="70" s="1"/>
  <c r="AD360" i="70" l="1"/>
  <c r="I361" i="70"/>
  <c r="J361" i="70" s="1"/>
  <c r="H362" i="70" s="1"/>
  <c r="AD361" i="70" l="1"/>
  <c r="I362" i="70"/>
  <c r="J362" i="70" s="1"/>
  <c r="H363" i="70" s="1"/>
  <c r="AD362" i="70" l="1"/>
  <c r="I363" i="70"/>
  <c r="J363" i="70" s="1"/>
  <c r="H364" i="70" s="1"/>
  <c r="AD363" i="70" l="1"/>
  <c r="I364" i="70"/>
  <c r="J364" i="70" s="1"/>
  <c r="H365" i="70" s="1"/>
  <c r="AD364" i="70" l="1"/>
  <c r="I365" i="70"/>
  <c r="J365" i="70" s="1"/>
  <c r="H366" i="70" s="1"/>
  <c r="AD365" i="70" l="1"/>
  <c r="I366" i="70"/>
  <c r="J366" i="70" s="1"/>
  <c r="H367" i="70" s="1"/>
  <c r="AD366" i="70" l="1"/>
  <c r="I367" i="70"/>
  <c r="J367" i="70" s="1"/>
  <c r="H368" i="70" s="1"/>
  <c r="AD367" i="70" l="1"/>
  <c r="I368" i="70"/>
  <c r="J368" i="70" s="1"/>
  <c r="H369" i="70" s="1"/>
  <c r="AD368" i="70" l="1"/>
  <c r="I369" i="70"/>
  <c r="J369" i="70" s="1"/>
  <c r="H370" i="70" s="1"/>
  <c r="AD369" i="70" l="1"/>
  <c r="I370" i="70"/>
  <c r="J370" i="70" s="1"/>
  <c r="H371" i="70" s="1"/>
  <c r="AD370" i="70" l="1"/>
  <c r="I371" i="70"/>
  <c r="J371" i="70" s="1"/>
  <c r="H372" i="70" s="1"/>
  <c r="AD371" i="70" l="1"/>
  <c r="I372" i="70"/>
  <c r="J372" i="70" s="1"/>
  <c r="H373" i="70" s="1"/>
  <c r="AD372" i="70" l="1"/>
  <c r="I373" i="70"/>
  <c r="J373" i="70" s="1"/>
  <c r="H374" i="70" s="1"/>
  <c r="AD373" i="70" l="1"/>
  <c r="I374" i="70"/>
  <c r="J374" i="70" s="1"/>
  <c r="H375" i="70" s="1"/>
  <c r="AD374" i="70" l="1"/>
  <c r="I375" i="70"/>
  <c r="J375" i="70" s="1"/>
  <c r="H376" i="70" s="1"/>
  <c r="AD375" i="70" l="1"/>
  <c r="I376" i="70"/>
  <c r="J376" i="70" s="1"/>
  <c r="H377" i="70" s="1"/>
  <c r="AD376" i="70" l="1"/>
  <c r="I377" i="70"/>
  <c r="J377" i="70" s="1"/>
  <c r="H378" i="70" s="1"/>
  <c r="AD377" i="70" l="1"/>
  <c r="I378" i="70"/>
  <c r="J378" i="70" s="1"/>
  <c r="H379" i="70" s="1"/>
  <c r="AD378" i="70" l="1"/>
  <c r="I379" i="70"/>
  <c r="J379" i="70" s="1"/>
  <c r="H380" i="70" s="1"/>
  <c r="AD379" i="70" l="1"/>
  <c r="I380" i="70"/>
  <c r="J380" i="70" s="1"/>
  <c r="H381" i="70" s="1"/>
  <c r="AD380" i="70" l="1"/>
  <c r="I381" i="70"/>
  <c r="J381" i="70" s="1"/>
  <c r="H382" i="70" s="1"/>
  <c r="AD381" i="70" l="1"/>
  <c r="I382" i="70"/>
  <c r="J382" i="70" s="1"/>
  <c r="H383" i="70" s="1"/>
  <c r="AD382" i="70" l="1"/>
  <c r="I383" i="70"/>
  <c r="J383" i="70" s="1"/>
  <c r="H384" i="70" s="1"/>
  <c r="AD383" i="70" l="1"/>
  <c r="I384" i="70"/>
  <c r="J384" i="70" s="1"/>
  <c r="H385" i="70" s="1"/>
  <c r="AD384" i="70" l="1"/>
  <c r="I385" i="70"/>
  <c r="J385" i="70" s="1"/>
  <c r="H386" i="70" s="1"/>
  <c r="AD385" i="70" l="1"/>
  <c r="I386" i="70"/>
  <c r="J386" i="70" s="1"/>
  <c r="H387" i="70" s="1"/>
  <c r="AD386" i="70" l="1"/>
  <c r="I387" i="70"/>
  <c r="J387" i="70" s="1"/>
  <c r="H388" i="70" s="1"/>
  <c r="AD387" i="70" l="1"/>
  <c r="I388" i="70"/>
  <c r="J388" i="70" s="1"/>
  <c r="H389" i="70" s="1"/>
  <c r="AD388" i="70" l="1"/>
  <c r="I389" i="70"/>
  <c r="J389" i="70" s="1"/>
  <c r="H390" i="70" s="1"/>
  <c r="AD389" i="70" l="1"/>
  <c r="I390" i="70"/>
  <c r="J390" i="70" s="1"/>
  <c r="H391" i="70" s="1"/>
  <c r="AD390" i="70" l="1"/>
  <c r="I391" i="70"/>
  <c r="J391" i="70" s="1"/>
  <c r="H392" i="70" s="1"/>
  <c r="AD391" i="70" l="1"/>
  <c r="I392" i="70"/>
  <c r="J392" i="70" s="1"/>
  <c r="H393" i="70" s="1"/>
  <c r="AD392" i="70" l="1"/>
  <c r="I393" i="70"/>
  <c r="J393" i="70" s="1"/>
  <c r="H394" i="70" s="1"/>
  <c r="AD393" i="70" l="1"/>
  <c r="I394" i="70"/>
  <c r="J394" i="70" s="1"/>
  <c r="H395" i="70" s="1"/>
  <c r="AD394" i="70" l="1"/>
  <c r="I395" i="70"/>
  <c r="J395" i="70" s="1"/>
  <c r="H396" i="70" s="1"/>
  <c r="AD395" i="70" l="1"/>
  <c r="I396" i="70"/>
  <c r="J396" i="70" s="1"/>
  <c r="H397" i="70" s="1"/>
  <c r="AD396" i="70" l="1"/>
  <c r="I397" i="70"/>
  <c r="J397" i="70" s="1"/>
  <c r="H398" i="70" s="1"/>
  <c r="AD397" i="70" l="1"/>
  <c r="I398" i="70"/>
  <c r="J398" i="70" s="1"/>
  <c r="H399" i="70" s="1"/>
  <c r="AD398" i="70" l="1"/>
  <c r="I399" i="70"/>
  <c r="J399" i="70" s="1"/>
  <c r="H400" i="70" s="1"/>
  <c r="AD399" i="70" l="1"/>
  <c r="I400" i="70"/>
  <c r="J400" i="70" s="1"/>
  <c r="H401" i="70" s="1"/>
  <c r="AD400" i="70" l="1"/>
  <c r="I401" i="70"/>
  <c r="J401" i="70" s="1"/>
  <c r="H402" i="70" s="1"/>
  <c r="AD401" i="70" l="1"/>
  <c r="I402" i="70"/>
  <c r="J402" i="70" s="1"/>
  <c r="H403" i="70" s="1"/>
  <c r="AD402" i="70" l="1"/>
  <c r="I403" i="70"/>
  <c r="J403" i="70" s="1"/>
  <c r="H404" i="70" s="1"/>
  <c r="AD403" i="70" l="1"/>
  <c r="I404" i="70"/>
  <c r="J404" i="70" s="1"/>
  <c r="H405" i="70" s="1"/>
  <c r="AD404" i="70" l="1"/>
  <c r="I405" i="70"/>
  <c r="J405" i="70" s="1"/>
  <c r="H406" i="70" s="1"/>
  <c r="AD405" i="70" l="1"/>
  <c r="I406" i="70"/>
  <c r="J406" i="70" s="1"/>
  <c r="H407" i="70" s="1"/>
  <c r="AD406" i="70" l="1"/>
  <c r="I407" i="70"/>
  <c r="J407" i="70" s="1"/>
  <c r="H408" i="70" s="1"/>
  <c r="AD407" i="70" l="1"/>
  <c r="I408" i="70"/>
  <c r="J408" i="70" s="1"/>
  <c r="H409" i="70" s="1"/>
  <c r="AD408" i="70" l="1"/>
  <c r="I409" i="70"/>
  <c r="J409" i="70" s="1"/>
  <c r="H410" i="70" s="1"/>
  <c r="AD409" i="70" l="1"/>
  <c r="I410" i="70"/>
  <c r="J410" i="70" s="1"/>
  <c r="H411" i="70" s="1"/>
  <c r="AD410" i="70" l="1"/>
  <c r="I411" i="70"/>
  <c r="J411" i="70" s="1"/>
  <c r="H412" i="70" s="1"/>
  <c r="AD411" i="70" l="1"/>
  <c r="I412" i="70"/>
  <c r="J412" i="70" s="1"/>
  <c r="H413" i="70" s="1"/>
  <c r="AD412" i="70" l="1"/>
  <c r="I413" i="70"/>
  <c r="J413" i="70" s="1"/>
  <c r="H414" i="70" s="1"/>
  <c r="AD413" i="70" l="1"/>
  <c r="I414" i="70"/>
  <c r="J414" i="70" s="1"/>
  <c r="H415" i="70" s="1"/>
  <c r="AD414" i="70" l="1"/>
  <c r="I415" i="70"/>
  <c r="J415" i="70" s="1"/>
  <c r="H416" i="70" s="1"/>
  <c r="AD415" i="70" l="1"/>
  <c r="I416" i="70"/>
  <c r="J416" i="70" s="1"/>
  <c r="H417" i="70" s="1"/>
  <c r="AD416" i="70" l="1"/>
  <c r="I417" i="70"/>
  <c r="J417" i="70" s="1"/>
  <c r="H418" i="70" s="1"/>
  <c r="AD417" i="70" l="1"/>
  <c r="I418" i="70"/>
  <c r="J418" i="70" s="1"/>
  <c r="H419" i="70" s="1"/>
  <c r="AD418" i="70" l="1"/>
  <c r="I419" i="70"/>
  <c r="J419" i="70" s="1"/>
  <c r="H420" i="70" s="1"/>
  <c r="AD419" i="70" l="1"/>
  <c r="I420" i="70"/>
  <c r="J420" i="70" s="1"/>
  <c r="H421" i="70" s="1"/>
  <c r="AD420" i="70" l="1"/>
  <c r="I421" i="70"/>
  <c r="J421" i="70" s="1"/>
  <c r="H422" i="70" s="1"/>
  <c r="AD421" i="70" l="1"/>
  <c r="I422" i="70"/>
  <c r="J422" i="70" s="1"/>
  <c r="H423" i="70" s="1"/>
  <c r="AD422" i="70" l="1"/>
  <c r="I423" i="70"/>
  <c r="J423" i="70" s="1"/>
  <c r="H424" i="70" s="1"/>
  <c r="AD423" i="70" l="1"/>
  <c r="I424" i="70"/>
  <c r="J424" i="70" s="1"/>
  <c r="H425" i="70" s="1"/>
  <c r="AD424" i="70" l="1"/>
  <c r="I425" i="70"/>
  <c r="J425" i="70" s="1"/>
  <c r="H426" i="70" s="1"/>
  <c r="AD425" i="70" l="1"/>
  <c r="I426" i="70"/>
  <c r="J426" i="70" s="1"/>
  <c r="H427" i="70" s="1"/>
  <c r="AD426" i="70" l="1"/>
  <c r="I427" i="70"/>
  <c r="J427" i="70" s="1"/>
  <c r="H428" i="70" s="1"/>
  <c r="AD427" i="70" l="1"/>
  <c r="I428" i="70"/>
  <c r="J428" i="70" s="1"/>
  <c r="H429" i="70" s="1"/>
  <c r="AD428" i="70" l="1"/>
  <c r="I429" i="70"/>
  <c r="J429" i="70" s="1"/>
  <c r="H430" i="70" s="1"/>
  <c r="AD429" i="70" l="1"/>
  <c r="I430" i="70"/>
  <c r="J430" i="70" s="1"/>
  <c r="H431" i="70" s="1"/>
  <c r="AD430" i="70" l="1"/>
  <c r="I431" i="70"/>
  <c r="J431" i="70" s="1"/>
  <c r="H432" i="70" s="1"/>
  <c r="AD431" i="70" l="1"/>
  <c r="I432" i="70"/>
  <c r="J432" i="70" s="1"/>
  <c r="H433" i="70" s="1"/>
  <c r="AD432" i="70" l="1"/>
  <c r="I433" i="70"/>
  <c r="J433" i="70" s="1"/>
  <c r="H434" i="70" s="1"/>
  <c r="AD433" i="70" l="1"/>
  <c r="I434" i="70"/>
  <c r="J434" i="70" s="1"/>
  <c r="H435" i="70" s="1"/>
  <c r="AD434" i="70" l="1"/>
  <c r="I435" i="70"/>
  <c r="J435" i="70" s="1"/>
  <c r="H436" i="70" s="1"/>
  <c r="AD435" i="70" l="1"/>
  <c r="I436" i="70"/>
  <c r="J436" i="70" s="1"/>
  <c r="H437" i="70" s="1"/>
  <c r="AD436" i="70" l="1"/>
  <c r="I437" i="70"/>
  <c r="J437" i="70" s="1"/>
  <c r="H438" i="70" s="1"/>
  <c r="AD437" i="70" l="1"/>
  <c r="I438" i="70"/>
  <c r="J438" i="70" s="1"/>
  <c r="H439" i="70" s="1"/>
  <c r="AD438" i="70" l="1"/>
  <c r="I439" i="70"/>
  <c r="J439" i="70" s="1"/>
  <c r="H440" i="70" s="1"/>
  <c r="AD439" i="70" l="1"/>
  <c r="I440" i="70"/>
  <c r="J440" i="70" s="1"/>
  <c r="H441" i="70" s="1"/>
  <c r="AD440" i="70" l="1"/>
  <c r="I441" i="70"/>
  <c r="J441" i="70" s="1"/>
  <c r="H442" i="70" s="1"/>
  <c r="AD441" i="70" l="1"/>
  <c r="I442" i="70"/>
  <c r="J442" i="70" s="1"/>
  <c r="H443" i="70" s="1"/>
  <c r="AD442" i="70" l="1"/>
  <c r="I443" i="70"/>
  <c r="J443" i="70" s="1"/>
  <c r="H444" i="70" s="1"/>
  <c r="AD443" i="70" l="1"/>
  <c r="I444" i="70"/>
  <c r="J444" i="70" s="1"/>
  <c r="H445" i="70" s="1"/>
  <c r="AD444" i="70" l="1"/>
  <c r="I445" i="70"/>
  <c r="J445" i="70" s="1"/>
  <c r="H446" i="70" s="1"/>
  <c r="AD445" i="70" l="1"/>
  <c r="I446" i="70"/>
  <c r="J446" i="70" s="1"/>
  <c r="H447" i="70" s="1"/>
  <c r="AD446" i="70" l="1"/>
  <c r="I447" i="70"/>
  <c r="J447" i="70" s="1"/>
  <c r="H448" i="70" s="1"/>
  <c r="AD447" i="70" l="1"/>
  <c r="I448" i="70"/>
  <c r="J448" i="70" s="1"/>
  <c r="H449" i="70" s="1"/>
  <c r="AD448" i="70" l="1"/>
  <c r="I449" i="70"/>
  <c r="J449" i="70" s="1"/>
  <c r="H450" i="70" s="1"/>
  <c r="AD449" i="70" l="1"/>
  <c r="I450" i="70"/>
  <c r="J450" i="70" s="1"/>
  <c r="H451" i="70" s="1"/>
  <c r="AD450" i="70" l="1"/>
  <c r="I451" i="70"/>
  <c r="J451" i="70" s="1"/>
  <c r="H452" i="70" s="1"/>
  <c r="AD451" i="70" l="1"/>
  <c r="I452" i="70"/>
  <c r="J452" i="70" s="1"/>
  <c r="H453" i="70" s="1"/>
  <c r="AD452" i="70" l="1"/>
  <c r="I453" i="70"/>
  <c r="J453" i="70" s="1"/>
  <c r="H454" i="70" s="1"/>
  <c r="AD453" i="70" l="1"/>
  <c r="I454" i="70"/>
  <c r="J454" i="70" s="1"/>
  <c r="H455" i="70" s="1"/>
  <c r="AD454" i="70" l="1"/>
  <c r="I455" i="70"/>
  <c r="J455" i="70" s="1"/>
  <c r="H456" i="70" s="1"/>
  <c r="AD455" i="70" l="1"/>
  <c r="I456" i="70"/>
  <c r="J456" i="70" s="1"/>
  <c r="H457" i="70" s="1"/>
  <c r="AD456" i="70" l="1"/>
  <c r="I457" i="70"/>
  <c r="J457" i="70" s="1"/>
  <c r="H458" i="70" s="1"/>
  <c r="AD457" i="70" l="1"/>
  <c r="I458" i="70"/>
  <c r="J458" i="70" s="1"/>
  <c r="H459" i="70" s="1"/>
  <c r="AD458" i="70" l="1"/>
  <c r="I459" i="70"/>
  <c r="J459" i="70" s="1"/>
  <c r="H460" i="70" s="1"/>
  <c r="AD459" i="70" l="1"/>
  <c r="I460" i="70"/>
  <c r="J460" i="70" s="1"/>
  <c r="H461" i="70" s="1"/>
  <c r="AD460" i="70" l="1"/>
  <c r="I461" i="70"/>
  <c r="J461" i="70" s="1"/>
  <c r="H462" i="70" s="1"/>
  <c r="AD461" i="70" l="1"/>
  <c r="I462" i="70"/>
  <c r="J462" i="70" s="1"/>
  <c r="H463" i="70" s="1"/>
  <c r="AD462" i="70" l="1"/>
  <c r="I463" i="70"/>
  <c r="J463" i="70" s="1"/>
  <c r="H464" i="70" s="1"/>
  <c r="AD463" i="70" l="1"/>
  <c r="I464" i="70"/>
  <c r="J464" i="70" s="1"/>
  <c r="H465" i="70" s="1"/>
  <c r="AD464" i="70" l="1"/>
  <c r="I465" i="70"/>
  <c r="J465" i="70" s="1"/>
  <c r="H466" i="70" s="1"/>
  <c r="AD465" i="70" l="1"/>
  <c r="I466" i="70"/>
  <c r="J466" i="70" s="1"/>
  <c r="H467" i="70" s="1"/>
  <c r="AD466" i="70" l="1"/>
  <c r="I467" i="70"/>
  <c r="J467" i="70" s="1"/>
  <c r="H468" i="70" s="1"/>
  <c r="AD467" i="70" l="1"/>
  <c r="I468" i="70"/>
  <c r="J468" i="70" s="1"/>
  <c r="H469" i="70" s="1"/>
  <c r="AD468" i="70" l="1"/>
  <c r="I469" i="70"/>
  <c r="J469" i="70" s="1"/>
  <c r="H470" i="70" s="1"/>
  <c r="AD469" i="70" l="1"/>
  <c r="I470" i="70"/>
  <c r="J470" i="70" s="1"/>
  <c r="H471" i="70" s="1"/>
  <c r="AD470" i="70" l="1"/>
  <c r="I471" i="70"/>
  <c r="J471" i="70" s="1"/>
  <c r="H472" i="70" s="1"/>
  <c r="AD471" i="70" l="1"/>
  <c r="I472" i="70"/>
  <c r="J472" i="70" s="1"/>
  <c r="H473" i="70" s="1"/>
  <c r="AD472" i="70" l="1"/>
  <c r="I473" i="70"/>
  <c r="J473" i="70" s="1"/>
  <c r="H474" i="70" s="1"/>
  <c r="AD473" i="70" l="1"/>
  <c r="I474" i="70"/>
  <c r="J474" i="70" s="1"/>
  <c r="H475" i="70" s="1"/>
  <c r="AD474" i="70" l="1"/>
  <c r="I475" i="70"/>
  <c r="J475" i="70" s="1"/>
  <c r="H476" i="70" s="1"/>
  <c r="AD475" i="70" l="1"/>
  <c r="I476" i="70"/>
  <c r="J476" i="70" s="1"/>
  <c r="H477" i="70" s="1"/>
  <c r="AD476" i="70" l="1"/>
  <c r="I477" i="70"/>
  <c r="J477" i="70" s="1"/>
  <c r="H478" i="70" s="1"/>
  <c r="AD477" i="70" l="1"/>
  <c r="I478" i="70"/>
  <c r="J478" i="70" s="1"/>
  <c r="H479" i="70" s="1"/>
  <c r="AD478" i="70" l="1"/>
  <c r="I479" i="70"/>
  <c r="J479" i="70" s="1"/>
  <c r="H480" i="70" s="1"/>
  <c r="AD479" i="70" l="1"/>
  <c r="I480" i="70"/>
  <c r="J480" i="70" s="1"/>
  <c r="H481" i="70" s="1"/>
  <c r="AD480" i="70" l="1"/>
  <c r="I481" i="70"/>
  <c r="J481" i="70" s="1"/>
  <c r="H482" i="70" s="1"/>
  <c r="AD481" i="70" l="1"/>
  <c r="I482" i="70"/>
  <c r="J482" i="70" s="1"/>
  <c r="H483" i="70" s="1"/>
  <c r="AD482" i="70" l="1"/>
  <c r="I483" i="70"/>
  <c r="J483" i="70" s="1"/>
  <c r="H484" i="70" s="1"/>
  <c r="AD483" i="70" l="1"/>
  <c r="I484" i="70"/>
  <c r="J484" i="70" s="1"/>
  <c r="H485" i="70" s="1"/>
  <c r="AD484" i="70" l="1"/>
  <c r="I485" i="70"/>
  <c r="J485" i="70" s="1"/>
  <c r="H486" i="70" s="1"/>
  <c r="AD485" i="70" l="1"/>
  <c r="I486" i="70"/>
  <c r="J486" i="70" s="1"/>
  <c r="H487" i="70" s="1"/>
  <c r="AD486" i="70" l="1"/>
  <c r="I487" i="70"/>
  <c r="J487" i="70" s="1"/>
  <c r="H488" i="70" s="1"/>
  <c r="AD487" i="70" l="1"/>
  <c r="I488" i="70"/>
  <c r="J488" i="70" s="1"/>
  <c r="H489" i="70" s="1"/>
  <c r="AD488" i="70" l="1"/>
  <c r="I489" i="70"/>
  <c r="J489" i="70" s="1"/>
  <c r="H490" i="70" s="1"/>
  <c r="AD489" i="70" l="1"/>
  <c r="I490" i="70"/>
  <c r="J490" i="70" s="1"/>
  <c r="H491" i="70" s="1"/>
  <c r="AD490" i="70" l="1"/>
  <c r="I491" i="70"/>
  <c r="J491" i="70" s="1"/>
  <c r="H492" i="70" s="1"/>
  <c r="AD491" i="70" l="1"/>
  <c r="I492" i="70"/>
  <c r="J492" i="70" s="1"/>
  <c r="H493" i="70" s="1"/>
  <c r="AD492" i="70" l="1"/>
  <c r="I493" i="70"/>
  <c r="J493" i="70" s="1"/>
  <c r="H494" i="70" s="1"/>
  <c r="AD493" i="70" l="1"/>
  <c r="I494" i="70"/>
  <c r="J494" i="70" s="1"/>
  <c r="H495" i="70" s="1"/>
  <c r="AD494" i="70" l="1"/>
  <c r="I495" i="70"/>
  <c r="J495" i="70" s="1"/>
  <c r="H496" i="70" s="1"/>
  <c r="AD495" i="70" l="1"/>
  <c r="I496" i="70"/>
  <c r="J496" i="70" s="1"/>
  <c r="H497" i="70" s="1"/>
  <c r="AD496" i="70" l="1"/>
  <c r="I497" i="70"/>
  <c r="J497" i="70" s="1"/>
  <c r="H498" i="70" s="1"/>
  <c r="AD497" i="70" l="1"/>
  <c r="I498" i="70"/>
  <c r="J498" i="70" s="1"/>
  <c r="H499" i="70" s="1"/>
  <c r="AD498" i="70" l="1"/>
  <c r="I499" i="70"/>
  <c r="J499" i="70" s="1"/>
  <c r="H500" i="70" s="1"/>
  <c r="AD499" i="70" l="1"/>
  <c r="I500" i="70"/>
  <c r="J500" i="70" s="1"/>
  <c r="H501" i="70" s="1"/>
  <c r="AD500" i="70" l="1"/>
  <c r="I501" i="70"/>
  <c r="J501" i="70" s="1"/>
  <c r="H502" i="70" s="1"/>
  <c r="AD501" i="70" l="1"/>
  <c r="I502" i="70"/>
  <c r="J502" i="70" s="1"/>
  <c r="H503" i="70" s="1"/>
  <c r="AD502" i="70" l="1"/>
  <c r="I503" i="70"/>
  <c r="J503" i="70" s="1"/>
  <c r="H504" i="70" s="1"/>
  <c r="AD503" i="70" l="1"/>
  <c r="I504" i="70"/>
  <c r="J504" i="70" s="1"/>
  <c r="H505" i="70" s="1"/>
  <c r="AD504" i="70" l="1"/>
  <c r="I505" i="70"/>
  <c r="J505" i="70" s="1"/>
  <c r="H506" i="70" s="1"/>
  <c r="AD505" i="70" l="1"/>
  <c r="I506" i="70"/>
  <c r="J506" i="70" s="1"/>
  <c r="H507" i="70" s="1"/>
  <c r="AD506" i="70" l="1"/>
  <c r="I507" i="70"/>
  <c r="J507" i="70" s="1"/>
  <c r="H508" i="70" s="1"/>
  <c r="AD507" i="70" l="1"/>
  <c r="I508" i="70"/>
  <c r="J508" i="70" s="1"/>
  <c r="H509" i="70" s="1"/>
  <c r="AD508" i="70" l="1"/>
  <c r="I509" i="70"/>
  <c r="J509" i="70" s="1"/>
  <c r="H510" i="70" s="1"/>
  <c r="AD509" i="70" l="1"/>
  <c r="I510" i="70"/>
  <c r="J510" i="70" s="1"/>
  <c r="H511" i="70" s="1"/>
  <c r="AD510" i="70" l="1"/>
  <c r="I511" i="70"/>
  <c r="J511" i="70" s="1"/>
  <c r="H512" i="70" s="1"/>
  <c r="AD511" i="70" l="1"/>
  <c r="I512" i="70"/>
  <c r="J512" i="70" s="1"/>
  <c r="H513" i="70" s="1"/>
  <c r="AD512" i="70" l="1"/>
  <c r="I513" i="70"/>
  <c r="J513" i="70" s="1"/>
  <c r="H514" i="70" s="1"/>
  <c r="AD513" i="70" l="1"/>
  <c r="I514" i="70"/>
  <c r="J514" i="70" s="1"/>
  <c r="H515" i="70" s="1"/>
  <c r="AD514" i="70" l="1"/>
  <c r="I515" i="70"/>
  <c r="J515" i="70" s="1"/>
  <c r="H516" i="70" s="1"/>
  <c r="AD515" i="70" l="1"/>
  <c r="I516" i="70"/>
  <c r="J516" i="70" s="1"/>
  <c r="H517" i="70" s="1"/>
  <c r="AD516" i="70" l="1"/>
  <c r="I517" i="70"/>
  <c r="J517" i="70" s="1"/>
  <c r="H518" i="70" s="1"/>
  <c r="AD517" i="70" l="1"/>
  <c r="I518" i="70"/>
  <c r="J518" i="70" s="1"/>
  <c r="H519" i="70" s="1"/>
  <c r="AD518" i="70" l="1"/>
  <c r="I519" i="70"/>
  <c r="J519" i="70" s="1"/>
  <c r="H520" i="70" s="1"/>
  <c r="AD519" i="70" l="1"/>
  <c r="I520" i="70"/>
  <c r="J520" i="70" s="1"/>
  <c r="H521" i="70" s="1"/>
  <c r="AD520" i="70" l="1"/>
  <c r="I521" i="70"/>
  <c r="J521" i="70" s="1"/>
  <c r="H522" i="70" s="1"/>
  <c r="AD521" i="70" l="1"/>
  <c r="I522" i="70"/>
  <c r="J522" i="70" s="1"/>
  <c r="H523" i="70" s="1"/>
  <c r="AD522" i="70" l="1"/>
  <c r="I523" i="70"/>
  <c r="J523" i="70" s="1"/>
  <c r="H524" i="70" s="1"/>
  <c r="AD523" i="70" l="1"/>
  <c r="I524" i="70"/>
  <c r="J524" i="70" s="1"/>
  <c r="H525" i="70" s="1"/>
  <c r="AD524" i="70" l="1"/>
  <c r="I525" i="70"/>
  <c r="J525" i="70" s="1"/>
  <c r="H526" i="70" s="1"/>
  <c r="AD525" i="70" l="1"/>
  <c r="I526" i="70"/>
  <c r="J526" i="70" s="1"/>
  <c r="H527" i="70" s="1"/>
  <c r="AD526" i="70" l="1"/>
  <c r="I527" i="70"/>
  <c r="J527" i="70" s="1"/>
  <c r="H528" i="70" s="1"/>
  <c r="AD527" i="70" l="1"/>
  <c r="I528" i="70"/>
  <c r="J528" i="70" s="1"/>
  <c r="H529" i="70" s="1"/>
  <c r="AD528" i="70" l="1"/>
  <c r="I529" i="70"/>
  <c r="J529" i="70" s="1"/>
  <c r="H530" i="70" s="1"/>
  <c r="AD529" i="70" l="1"/>
  <c r="I530" i="70"/>
  <c r="J530" i="70" s="1"/>
  <c r="H531" i="70" s="1"/>
  <c r="AD530" i="70" l="1"/>
  <c r="I531" i="70"/>
  <c r="J531" i="70" s="1"/>
  <c r="H532" i="70" s="1"/>
  <c r="AD531" i="70" l="1"/>
  <c r="I532" i="70"/>
  <c r="J532" i="70" s="1"/>
  <c r="H533" i="70" s="1"/>
  <c r="AD532" i="70" l="1"/>
  <c r="I533" i="70"/>
  <c r="J533" i="70" s="1"/>
  <c r="H534" i="70" s="1"/>
  <c r="AD533" i="70" l="1"/>
  <c r="I534" i="70"/>
  <c r="J534" i="70" s="1"/>
  <c r="H535" i="70" s="1"/>
  <c r="AD534" i="70" l="1"/>
  <c r="I535" i="70"/>
  <c r="J535" i="70" s="1"/>
  <c r="H536" i="70" s="1"/>
  <c r="AD535" i="70" l="1"/>
  <c r="I536" i="70"/>
  <c r="J536" i="70" s="1"/>
  <c r="H537" i="70" s="1"/>
  <c r="AD536" i="70" l="1"/>
  <c r="I537" i="70"/>
  <c r="J537" i="70" s="1"/>
  <c r="H538" i="70" s="1"/>
  <c r="AD537" i="70" l="1"/>
  <c r="I538" i="70"/>
  <c r="J538" i="70" s="1"/>
  <c r="H539" i="70" s="1"/>
  <c r="AD538" i="70" l="1"/>
  <c r="I539" i="70"/>
  <c r="J539" i="70" s="1"/>
  <c r="H540" i="70" s="1"/>
  <c r="AD539" i="70" l="1"/>
  <c r="I540" i="70"/>
  <c r="J540" i="70" s="1"/>
  <c r="H541" i="70" s="1"/>
  <c r="AD540" i="70" l="1"/>
  <c r="I541" i="70"/>
  <c r="J541" i="70" s="1"/>
  <c r="H542" i="70" s="1"/>
  <c r="AD541" i="70" l="1"/>
  <c r="I542" i="70"/>
  <c r="J542" i="70" s="1"/>
  <c r="H543" i="70" s="1"/>
  <c r="AD542" i="70" l="1"/>
  <c r="I543" i="70"/>
  <c r="J543" i="70" s="1"/>
  <c r="H544" i="70" s="1"/>
  <c r="AD543" i="70" l="1"/>
  <c r="I544" i="70"/>
  <c r="J544" i="70" s="1"/>
  <c r="H545" i="70" s="1"/>
  <c r="AD544" i="70" l="1"/>
  <c r="I545" i="70"/>
  <c r="J545" i="70" s="1"/>
  <c r="H546" i="70" s="1"/>
  <c r="AD545" i="70" l="1"/>
  <c r="I546" i="70"/>
  <c r="J546" i="70" s="1"/>
  <c r="H547" i="70" s="1"/>
  <c r="AD546" i="70" l="1"/>
  <c r="I547" i="70"/>
  <c r="J547" i="70" s="1"/>
  <c r="H548" i="70" s="1"/>
  <c r="AD547" i="70" l="1"/>
  <c r="I548" i="70"/>
  <c r="J548" i="70" s="1"/>
  <c r="H549" i="70" s="1"/>
  <c r="AD548" i="70" l="1"/>
  <c r="I549" i="70"/>
  <c r="J549" i="70" s="1"/>
  <c r="H550" i="70" s="1"/>
  <c r="AD549" i="70" l="1"/>
  <c r="I550" i="70"/>
  <c r="J550" i="70" s="1"/>
  <c r="H551" i="70" s="1"/>
  <c r="AD550" i="70" l="1"/>
  <c r="I551" i="70"/>
  <c r="J551" i="70" s="1"/>
  <c r="H552" i="70" s="1"/>
  <c r="AD551" i="70" l="1"/>
  <c r="I552" i="70"/>
  <c r="J552" i="70" s="1"/>
  <c r="H553" i="70" s="1"/>
  <c r="AD552" i="70" l="1"/>
  <c r="I553" i="70"/>
  <c r="J553" i="70" s="1"/>
  <c r="H554" i="70" s="1"/>
  <c r="AD553" i="70" l="1"/>
  <c r="I554" i="70"/>
  <c r="J554" i="70" s="1"/>
  <c r="H555" i="70" s="1"/>
  <c r="AD554" i="70" l="1"/>
  <c r="I555" i="70"/>
  <c r="J555" i="70" s="1"/>
  <c r="H556" i="70" s="1"/>
  <c r="AD555" i="70" l="1"/>
  <c r="I556" i="70"/>
  <c r="J556" i="70" s="1"/>
  <c r="H557" i="70" s="1"/>
  <c r="AD556" i="70" l="1"/>
  <c r="I557" i="70"/>
  <c r="J557" i="70" s="1"/>
  <c r="H558" i="70" s="1"/>
  <c r="AD557" i="70" l="1"/>
  <c r="I558" i="70"/>
  <c r="J558" i="70" s="1"/>
  <c r="H559" i="70" s="1"/>
  <c r="AD558" i="70" l="1"/>
  <c r="I559" i="70"/>
  <c r="J559" i="70" s="1"/>
  <c r="H560" i="70" s="1"/>
  <c r="AD559" i="70" l="1"/>
  <c r="I560" i="70"/>
  <c r="J560" i="70" s="1"/>
  <c r="H561" i="70" s="1"/>
  <c r="AD560" i="70" l="1"/>
  <c r="I561" i="70"/>
  <c r="J561" i="70" s="1"/>
  <c r="H562" i="70" s="1"/>
  <c r="AD561" i="70" l="1"/>
  <c r="I562" i="70"/>
  <c r="J562" i="70" s="1"/>
  <c r="H563" i="70" s="1"/>
  <c r="AD562" i="70" l="1"/>
  <c r="I563" i="70"/>
  <c r="J563" i="70" s="1"/>
  <c r="H564" i="70" s="1"/>
  <c r="AD563" i="70" l="1"/>
  <c r="I564" i="70"/>
  <c r="J564" i="70" s="1"/>
  <c r="H565" i="70" s="1"/>
  <c r="AD564" i="70" l="1"/>
  <c r="I565" i="70"/>
  <c r="J565" i="70" s="1"/>
  <c r="H566" i="70" s="1"/>
  <c r="AD565" i="70" l="1"/>
  <c r="I566" i="70"/>
  <c r="J566" i="70" s="1"/>
  <c r="H567" i="70" s="1"/>
  <c r="AD566" i="70" l="1"/>
  <c r="I567" i="70"/>
  <c r="J567" i="70" s="1"/>
  <c r="H568" i="70" s="1"/>
  <c r="AD567" i="70" l="1"/>
  <c r="I568" i="70"/>
  <c r="J568" i="70" s="1"/>
  <c r="H569" i="70" s="1"/>
  <c r="AD568" i="70" l="1"/>
  <c r="I569" i="70"/>
  <c r="J569" i="70" s="1"/>
  <c r="H570" i="70" s="1"/>
  <c r="AD569" i="70" l="1"/>
  <c r="I570" i="70"/>
  <c r="J570" i="70" s="1"/>
  <c r="H571" i="70" s="1"/>
  <c r="AD570" i="70" l="1"/>
  <c r="I571" i="70"/>
  <c r="J571" i="70" s="1"/>
  <c r="H572" i="70" s="1"/>
  <c r="AD571" i="70" l="1"/>
  <c r="I572" i="70"/>
  <c r="J572" i="70" s="1"/>
  <c r="H573" i="70" s="1"/>
  <c r="AD572" i="70" l="1"/>
  <c r="I573" i="70"/>
  <c r="J573" i="70" s="1"/>
  <c r="H574" i="70" s="1"/>
  <c r="AD573" i="70" l="1"/>
  <c r="I574" i="70"/>
  <c r="J574" i="70" s="1"/>
  <c r="H575" i="70" s="1"/>
  <c r="AD574" i="70" l="1"/>
  <c r="I575" i="70"/>
  <c r="J575" i="70" s="1"/>
  <c r="H576" i="70" s="1"/>
  <c r="AD575" i="70" l="1"/>
  <c r="I576" i="70"/>
  <c r="J576" i="70" s="1"/>
  <c r="H577" i="70" s="1"/>
  <c r="AD576" i="70" l="1"/>
  <c r="I577" i="70"/>
  <c r="J577" i="70" s="1"/>
  <c r="H578" i="70" s="1"/>
  <c r="AD577" i="70" l="1"/>
  <c r="I578" i="70"/>
  <c r="J578" i="70" s="1"/>
  <c r="H579" i="70" s="1"/>
  <c r="AD578" i="70" l="1"/>
  <c r="I579" i="70"/>
  <c r="J579" i="70" s="1"/>
  <c r="H580" i="70" s="1"/>
  <c r="AD579" i="70" l="1"/>
  <c r="I580" i="70"/>
  <c r="J580" i="70" s="1"/>
  <c r="H581" i="70" s="1"/>
  <c r="AD580" i="70" l="1"/>
  <c r="I581" i="70"/>
  <c r="J581" i="70" s="1"/>
  <c r="H582" i="70" s="1"/>
  <c r="AD581" i="70" l="1"/>
  <c r="I582" i="70"/>
  <c r="J582" i="70" s="1"/>
  <c r="H583" i="70" s="1"/>
  <c r="AD582" i="70" l="1"/>
  <c r="I583" i="70"/>
  <c r="J583" i="70" s="1"/>
  <c r="H584" i="70" s="1"/>
  <c r="AD583" i="70" l="1"/>
  <c r="I584" i="70"/>
  <c r="J584" i="70" s="1"/>
  <c r="H585" i="70" s="1"/>
  <c r="AD584" i="70" l="1"/>
  <c r="I585" i="70"/>
  <c r="J585" i="70" s="1"/>
  <c r="H586" i="70" s="1"/>
  <c r="AD585" i="70" l="1"/>
  <c r="I586" i="70"/>
  <c r="J586" i="70" s="1"/>
  <c r="H587" i="70" s="1"/>
  <c r="AD586" i="70" l="1"/>
  <c r="I587" i="70"/>
  <c r="J587" i="70" s="1"/>
  <c r="H588" i="70" s="1"/>
  <c r="AD587" i="70" l="1"/>
  <c r="I588" i="70"/>
  <c r="J588" i="70" s="1"/>
  <c r="H589" i="70" s="1"/>
  <c r="AD588" i="70" l="1"/>
  <c r="I589" i="70"/>
  <c r="J589" i="70" s="1"/>
  <c r="H590" i="70" s="1"/>
  <c r="AD589" i="70" l="1"/>
  <c r="I590" i="70"/>
  <c r="J590" i="70" s="1"/>
  <c r="H591" i="70" s="1"/>
  <c r="AD590" i="70" l="1"/>
  <c r="I591" i="70"/>
  <c r="J591" i="70" s="1"/>
  <c r="H592" i="70" s="1"/>
  <c r="AD591" i="70" l="1"/>
  <c r="I592" i="70"/>
  <c r="J592" i="70" s="1"/>
  <c r="H593" i="70" s="1"/>
  <c r="AD592" i="70" l="1"/>
  <c r="I593" i="70"/>
  <c r="J593" i="70" s="1"/>
  <c r="H594" i="70" s="1"/>
  <c r="AD593" i="70" l="1"/>
  <c r="I594" i="70"/>
  <c r="J594" i="70" s="1"/>
  <c r="H595" i="70" s="1"/>
  <c r="AD594" i="70" l="1"/>
  <c r="I595" i="70"/>
  <c r="J595" i="70" s="1"/>
  <c r="H596" i="70" s="1"/>
  <c r="AD595" i="70" l="1"/>
  <c r="I596" i="70"/>
  <c r="J596" i="70" s="1"/>
  <c r="H597" i="70" s="1"/>
  <c r="AD596" i="70" l="1"/>
  <c r="I597" i="70"/>
  <c r="J597" i="70" s="1"/>
  <c r="H598" i="70" s="1"/>
  <c r="AD597" i="70" l="1"/>
  <c r="I598" i="70"/>
  <c r="J598" i="70" s="1"/>
  <c r="H599" i="70" s="1"/>
  <c r="AD598" i="70" l="1"/>
  <c r="I599" i="70"/>
  <c r="J599" i="70" s="1"/>
  <c r="H600" i="70" s="1"/>
  <c r="AD599" i="70" l="1"/>
  <c r="I600" i="70"/>
  <c r="J600" i="70" s="1"/>
  <c r="H601" i="70" s="1"/>
  <c r="AD600" i="70" l="1"/>
  <c r="I601" i="70"/>
  <c r="J601" i="70" s="1"/>
  <c r="H602" i="70" s="1"/>
  <c r="AD601" i="70" l="1"/>
  <c r="AO3" i="70"/>
  <c r="AR3" i="70"/>
  <c r="AT3" i="70"/>
  <c r="AP3" i="70"/>
  <c r="AS3" i="70"/>
  <c r="AQ3" i="70"/>
  <c r="AC3" i="70" l="1"/>
  <c r="AD3" i="70" s="1"/>
  <c r="Z3" i="70"/>
  <c r="T3" i="70"/>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I602" i="70"/>
  <c r="J602" i="70" s="1"/>
  <c r="J603" i="70" s="1"/>
  <c r="Y3" i="70"/>
  <c r="U4" i="70" l="1"/>
  <c r="AD602" i="70"/>
  <c r="AC4" i="70" l="1"/>
  <c r="AD4" i="70" s="1"/>
  <c r="U5" i="70"/>
  <c r="AC5" i="70" s="1"/>
  <c r="Y4" i="70"/>
  <c r="Z4" i="70"/>
  <c r="Z5" i="70" l="1"/>
  <c r="Y5" i="70"/>
  <c r="U6" i="70"/>
  <c r="AC6" i="70" s="1"/>
  <c r="Z6" i="70" l="1"/>
  <c r="AD6" i="70"/>
  <c r="AD5" i="70"/>
  <c r="Y6" i="70"/>
  <c r="U7" i="70"/>
  <c r="AC7" i="70" s="1"/>
  <c r="Z7" i="70" l="1"/>
  <c r="AD7" i="70"/>
  <c r="Y7" i="70"/>
  <c r="U8" i="70"/>
  <c r="AC8" i="70" s="1"/>
  <c r="Z8" i="70" l="1"/>
  <c r="AD8" i="70"/>
  <c r="U9" i="70"/>
  <c r="AC9" i="70" s="1"/>
  <c r="Y8" i="70"/>
  <c r="Z9" i="70" l="1"/>
  <c r="AD9" i="70"/>
  <c r="U10" i="70"/>
  <c r="AC10" i="70" s="1"/>
  <c r="Y9" i="70"/>
  <c r="Z10" i="70" l="1"/>
  <c r="AD10" i="70"/>
  <c r="U11" i="70"/>
  <c r="AC11" i="70" s="1"/>
  <c r="Y10" i="70"/>
  <c r="Z11" i="70" l="1"/>
  <c r="AD11" i="70"/>
  <c r="Y11" i="70"/>
  <c r="U12" i="70"/>
  <c r="AC12" i="70" s="1"/>
  <c r="Z12" i="70" l="1"/>
  <c r="AD12" i="70"/>
  <c r="U13" i="70"/>
  <c r="AC13" i="70" s="1"/>
  <c r="Y12" i="70"/>
  <c r="Z13" i="70" l="1"/>
  <c r="AD13" i="70"/>
  <c r="U14" i="70"/>
  <c r="AC14" i="70" s="1"/>
  <c r="Y13" i="70"/>
  <c r="Z14" i="70" l="1"/>
  <c r="AD14" i="70"/>
  <c r="U15" i="70"/>
  <c r="AC15" i="70" s="1"/>
  <c r="Y14" i="70"/>
  <c r="Z15" i="70" l="1"/>
  <c r="AD15" i="70"/>
  <c r="Y15" i="70"/>
  <c r="U16" i="70"/>
  <c r="AC16" i="70" s="1"/>
  <c r="Z16" i="70" l="1"/>
  <c r="AD16" i="70"/>
  <c r="U17" i="70"/>
  <c r="AC17" i="70" s="1"/>
  <c r="Y16" i="70"/>
  <c r="Z17" i="70" l="1"/>
  <c r="AD17" i="70"/>
  <c r="U18" i="70"/>
  <c r="AC18" i="70" s="1"/>
  <c r="Y17" i="70"/>
  <c r="Z18" i="70" l="1"/>
  <c r="AD18" i="70"/>
  <c r="Y18" i="70"/>
  <c r="U19" i="70"/>
  <c r="AC19" i="70" s="1"/>
  <c r="Z19" i="70" l="1"/>
  <c r="AD19" i="70"/>
  <c r="U20" i="70"/>
  <c r="AC20" i="70" s="1"/>
  <c r="Y19" i="70"/>
  <c r="Z20" i="70" l="1"/>
  <c r="AD20" i="70"/>
  <c r="Y20" i="70"/>
  <c r="U21" i="70"/>
  <c r="AC21" i="70" s="1"/>
  <c r="Z21" i="70" l="1"/>
  <c r="AD21" i="70"/>
  <c r="U22" i="70"/>
  <c r="AC22" i="70" s="1"/>
  <c r="Y21" i="70"/>
  <c r="Z22" i="70" l="1"/>
  <c r="AD22" i="70"/>
  <c r="U23" i="70"/>
  <c r="AC23" i="70" s="1"/>
  <c r="Y22" i="70"/>
  <c r="Z23" i="70" l="1"/>
  <c r="AD23" i="70"/>
  <c r="U24" i="70"/>
  <c r="AC24" i="70" s="1"/>
  <c r="Y23" i="70"/>
  <c r="Z24" i="70" l="1"/>
  <c r="AD24" i="70"/>
  <c r="U25" i="70"/>
  <c r="AC25" i="70" s="1"/>
  <c r="Y24" i="70"/>
  <c r="Z25" i="70" l="1"/>
  <c r="AD25" i="70"/>
  <c r="Y25" i="70"/>
  <c r="U26" i="70"/>
  <c r="AC26" i="70" s="1"/>
  <c r="Z26" i="70" l="1"/>
  <c r="AD26" i="70"/>
  <c r="Y26" i="70"/>
  <c r="U27" i="70"/>
  <c r="AC27" i="70" s="1"/>
  <c r="Z27" i="70" l="1"/>
  <c r="AD27" i="70"/>
  <c r="U28" i="70"/>
  <c r="AC28" i="70" s="1"/>
  <c r="Y27" i="70"/>
  <c r="Z28" i="70" l="1"/>
  <c r="AD28" i="70"/>
  <c r="U29" i="70"/>
  <c r="AC29" i="70" s="1"/>
  <c r="Y28" i="70"/>
  <c r="Z29" i="70" l="1"/>
  <c r="AD29" i="70"/>
  <c r="U30" i="70"/>
  <c r="AC30" i="70" s="1"/>
  <c r="Y29" i="70"/>
  <c r="Z30" i="70" l="1"/>
  <c r="AD30" i="70"/>
  <c r="U31" i="70"/>
  <c r="AC31" i="70" s="1"/>
  <c r="Y30" i="70"/>
  <c r="Z31" i="70" l="1"/>
  <c r="AD31" i="70"/>
  <c r="Y31" i="70"/>
  <c r="U32" i="70"/>
  <c r="AC32" i="70" s="1"/>
  <c r="Z32" i="70" l="1"/>
  <c r="AD32" i="70"/>
  <c r="U33" i="70"/>
  <c r="AC33" i="70" s="1"/>
  <c r="Y32" i="70"/>
  <c r="Z33" i="70" l="1"/>
  <c r="AD33" i="70"/>
  <c r="Y33" i="70"/>
  <c r="AA33" i="70"/>
  <c r="U34" i="70"/>
  <c r="AC34" i="70" s="1"/>
  <c r="Z34" i="70" l="1"/>
  <c r="AD34" i="70"/>
  <c r="AA34" i="70"/>
  <c r="Y34" i="70"/>
  <c r="U35" i="70"/>
  <c r="AC35" i="70" s="1"/>
  <c r="Z35" i="70" l="1"/>
  <c r="AD35" i="70"/>
  <c r="U36" i="70"/>
  <c r="AC36" i="70" s="1"/>
  <c r="Y35" i="70"/>
  <c r="AA35" i="70"/>
  <c r="Z36" i="70" l="1"/>
  <c r="AD36" i="70"/>
  <c r="AA36" i="70"/>
  <c r="Y36" i="70"/>
  <c r="U37" i="70"/>
  <c r="AC37" i="70" s="1"/>
  <c r="Z37" i="70" l="1"/>
  <c r="AD37" i="70"/>
  <c r="Y37" i="70"/>
  <c r="AA37" i="70"/>
  <c r="U38" i="70"/>
  <c r="AC38" i="70" s="1"/>
  <c r="Z38" i="70" l="1"/>
  <c r="AD38" i="70"/>
  <c r="Y38" i="70"/>
  <c r="AA38" i="70"/>
  <c r="U39" i="70"/>
  <c r="AC39" i="70" s="1"/>
  <c r="Z39" i="70" l="1"/>
  <c r="AD39" i="70"/>
  <c r="U40" i="70"/>
  <c r="AC40" i="70" s="1"/>
  <c r="AA39" i="70"/>
  <c r="Y39" i="70"/>
  <c r="Z40" i="70" l="1"/>
  <c r="AD40" i="70"/>
  <c r="Y40" i="70"/>
  <c r="AA40" i="70"/>
  <c r="U41" i="70"/>
  <c r="AC41" i="70" s="1"/>
  <c r="Z41" i="70" l="1"/>
  <c r="AD41" i="70"/>
  <c r="AA41" i="70"/>
  <c r="Y41" i="70"/>
  <c r="U42" i="70"/>
  <c r="AC42" i="70" s="1"/>
  <c r="Z42" i="70" l="1"/>
  <c r="AD42" i="70"/>
  <c r="Y42" i="70"/>
  <c r="AA42" i="70"/>
  <c r="U43" i="70"/>
  <c r="AC43" i="70" s="1"/>
  <c r="Z43" i="70" l="1"/>
  <c r="AD43" i="70"/>
  <c r="U44" i="70"/>
  <c r="AC44" i="70" s="1"/>
  <c r="Y43" i="70"/>
  <c r="AA43" i="70"/>
  <c r="Z44" i="70" l="1"/>
  <c r="AD44" i="70"/>
  <c r="AA44" i="70"/>
  <c r="U45" i="70"/>
  <c r="AC45" i="70" s="1"/>
  <c r="Y44" i="70"/>
  <c r="Z45" i="70" l="1"/>
  <c r="AD45" i="70"/>
  <c r="AA45" i="70"/>
  <c r="Y45" i="70"/>
  <c r="U46" i="70"/>
  <c r="AC46" i="70" s="1"/>
  <c r="Z46" i="70" l="1"/>
  <c r="AD46" i="70"/>
  <c r="Y46" i="70"/>
  <c r="AA46" i="70"/>
  <c r="U47" i="70"/>
  <c r="AC47" i="70" s="1"/>
  <c r="Z47" i="70" l="1"/>
  <c r="AD47" i="70"/>
  <c r="U48" i="70"/>
  <c r="AC48" i="70" s="1"/>
  <c r="Y47" i="70"/>
  <c r="AA47" i="70"/>
  <c r="Z48" i="70" l="1"/>
  <c r="AD48" i="70"/>
  <c r="Y48" i="70"/>
  <c r="AA48" i="70"/>
  <c r="U49" i="70"/>
  <c r="AC49" i="70" s="1"/>
  <c r="Z49" i="70" l="1"/>
  <c r="AD49" i="70"/>
  <c r="Y49" i="70"/>
  <c r="AA49" i="70"/>
  <c r="U50" i="70"/>
  <c r="AC50" i="70" s="1"/>
  <c r="Z50" i="70" l="1"/>
  <c r="AD50" i="70"/>
  <c r="Y50" i="70"/>
  <c r="AA50" i="70"/>
  <c r="U51" i="70"/>
  <c r="AC51" i="70" s="1"/>
  <c r="Z51" i="70" l="1"/>
  <c r="AD51" i="70"/>
  <c r="U52" i="70"/>
  <c r="AC52" i="70" s="1"/>
  <c r="AA51" i="70"/>
  <c r="Y51" i="70"/>
  <c r="Z52" i="70" l="1"/>
  <c r="AD52" i="70"/>
  <c r="U53" i="70"/>
  <c r="AC53" i="70" s="1"/>
  <c r="Y52" i="70"/>
  <c r="AA52" i="70"/>
  <c r="Z53" i="70" l="1"/>
  <c r="AD53" i="70"/>
  <c r="AA53" i="70"/>
  <c r="Y53" i="70"/>
  <c r="U54" i="70"/>
  <c r="AC54" i="70" s="1"/>
  <c r="Z54" i="70" l="1"/>
  <c r="AD54" i="70"/>
  <c r="Y54" i="70"/>
  <c r="U55" i="70"/>
  <c r="AC55" i="70" s="1"/>
  <c r="AA54" i="70"/>
  <c r="Z55" i="70" l="1"/>
  <c r="AD55" i="70"/>
  <c r="U56" i="70"/>
  <c r="AC56" i="70" s="1"/>
  <c r="AA55" i="70"/>
  <c r="Y55" i="70"/>
  <c r="Z56" i="70" l="1"/>
  <c r="AD56" i="70"/>
  <c r="U57" i="70"/>
  <c r="AC57" i="70" s="1"/>
  <c r="AA56" i="70"/>
  <c r="Y56" i="70"/>
  <c r="Z57" i="70" l="1"/>
  <c r="AD57" i="70"/>
  <c r="U58" i="70"/>
  <c r="AC58" i="70" s="1"/>
  <c r="Y57" i="70"/>
  <c r="AA57" i="70"/>
  <c r="Z58" i="70" l="1"/>
  <c r="AD58" i="70"/>
  <c r="Y58" i="70"/>
  <c r="AA58" i="70"/>
  <c r="U59" i="70"/>
  <c r="AC59" i="70" s="1"/>
  <c r="Z59" i="70" l="1"/>
  <c r="AD59" i="70"/>
  <c r="U60" i="70"/>
  <c r="AC60" i="70" s="1"/>
  <c r="Y59" i="70"/>
  <c r="AA59" i="70"/>
  <c r="Z60" i="70" l="1"/>
  <c r="AD60" i="70"/>
  <c r="Y60" i="70"/>
  <c r="AA60" i="70"/>
  <c r="U61" i="70"/>
  <c r="AC61" i="70" s="1"/>
  <c r="Z61" i="70" l="1"/>
  <c r="AD61" i="70"/>
  <c r="Y61" i="70"/>
  <c r="AA61" i="70"/>
  <c r="U62" i="70"/>
  <c r="AC62" i="70" s="1"/>
  <c r="Z62" i="70" l="1"/>
  <c r="AD62" i="70"/>
  <c r="Y62" i="70"/>
  <c r="AA62" i="70"/>
  <c r="U63" i="70"/>
  <c r="AC63" i="70" s="1"/>
  <c r="Z63" i="70" l="1"/>
  <c r="AD63" i="70"/>
  <c r="U64" i="70"/>
  <c r="Y64" i="70" s="1"/>
  <c r="AA63" i="70"/>
  <c r="Y63" i="70"/>
  <c r="AA64" i="70" l="1"/>
  <c r="U65" i="70"/>
  <c r="AC65" i="70" s="1"/>
  <c r="AD65" i="70" s="1"/>
  <c r="AC64" i="70"/>
  <c r="Z65" i="70"/>
  <c r="Z64" i="70"/>
  <c r="AD64" i="70"/>
  <c r="U66" i="70"/>
  <c r="AC66" i="70" s="1"/>
  <c r="AA65" i="70" l="1"/>
  <c r="Y65" i="70"/>
  <c r="Z66" i="70"/>
  <c r="AD66" i="70"/>
  <c r="U67" i="70"/>
  <c r="AC67" i="70" s="1"/>
  <c r="Y66" i="70"/>
  <c r="AA66" i="70"/>
  <c r="Z67" i="70" l="1"/>
  <c r="AD67" i="70"/>
  <c r="U68" i="70"/>
  <c r="AC68" i="70" s="1"/>
  <c r="Y67" i="70"/>
  <c r="AA67" i="70"/>
  <c r="Z68" i="70" l="1"/>
  <c r="AD68" i="70"/>
  <c r="AA68" i="70"/>
  <c r="Y68" i="70"/>
  <c r="U69" i="70"/>
  <c r="AC69" i="70" s="1"/>
  <c r="Z69" i="70" l="1"/>
  <c r="AD69" i="70"/>
  <c r="U70" i="70"/>
  <c r="AC70" i="70" s="1"/>
  <c r="AA69" i="70"/>
  <c r="Y69" i="70"/>
  <c r="Z70" i="70" l="1"/>
  <c r="AD70" i="70"/>
  <c r="U71" i="70"/>
  <c r="AC71" i="70" s="1"/>
  <c r="Y70" i="70"/>
  <c r="AA70" i="70"/>
  <c r="Z71" i="70" l="1"/>
  <c r="AD71" i="70"/>
  <c r="Y71" i="70"/>
  <c r="AA71" i="70"/>
  <c r="U72" i="70"/>
  <c r="AC72" i="70" s="1"/>
  <c r="Z72" i="70" l="1"/>
  <c r="AD72" i="70"/>
  <c r="U73" i="70"/>
  <c r="AC73" i="70" s="1"/>
  <c r="AA72" i="70"/>
  <c r="Y72" i="70"/>
  <c r="Z73" i="70" l="1"/>
  <c r="AD73" i="70"/>
  <c r="U74" i="70"/>
  <c r="AC74" i="70" s="1"/>
  <c r="Y73" i="70"/>
  <c r="AA73" i="70"/>
  <c r="Z74" i="70" l="1"/>
  <c r="AD74" i="70"/>
  <c r="U75" i="70"/>
  <c r="AC75" i="70" s="1"/>
  <c r="Y74" i="70"/>
  <c r="AA74" i="70"/>
  <c r="Z75" i="70" l="1"/>
  <c r="AD75" i="70"/>
  <c r="U76" i="70"/>
  <c r="AC76" i="70" s="1"/>
  <c r="Y75" i="70"/>
  <c r="AA75" i="70"/>
  <c r="Z76" i="70" l="1"/>
  <c r="AD76" i="70"/>
  <c r="AA76" i="70"/>
  <c r="Y76" i="70"/>
  <c r="U77" i="70"/>
  <c r="AC77" i="70" s="1"/>
  <c r="Z77" i="70" l="1"/>
  <c r="AD77" i="70"/>
  <c r="Y77" i="70"/>
  <c r="AA77" i="70"/>
  <c r="U78" i="70"/>
  <c r="AC78" i="70" s="1"/>
  <c r="Z78" i="70" l="1"/>
  <c r="AD78" i="70"/>
  <c r="U79" i="70"/>
  <c r="AC79" i="70" s="1"/>
  <c r="Y78" i="70"/>
  <c r="AA78" i="70"/>
  <c r="Z79" i="70" l="1"/>
  <c r="AD79" i="70"/>
  <c r="Y79" i="70"/>
  <c r="AA79" i="70"/>
  <c r="U80" i="70"/>
  <c r="AC80" i="70" s="1"/>
  <c r="Z80" i="70" l="1"/>
  <c r="AD80" i="70"/>
  <c r="U81" i="70"/>
  <c r="AC81" i="70" s="1"/>
  <c r="Y80" i="70"/>
  <c r="AA80" i="70"/>
  <c r="Z81" i="70" l="1"/>
  <c r="AD81" i="70"/>
  <c r="Y81" i="70"/>
  <c r="AA81" i="70"/>
  <c r="U82" i="70"/>
  <c r="AC82" i="70" s="1"/>
  <c r="Z82" i="70" l="1"/>
  <c r="AD82" i="70"/>
  <c r="U83" i="70"/>
  <c r="AC83" i="70" s="1"/>
  <c r="AA82" i="70"/>
  <c r="Y82" i="70"/>
  <c r="Z83" i="70" l="1"/>
  <c r="AD83" i="70"/>
  <c r="Y83" i="70"/>
  <c r="AA83" i="70"/>
  <c r="U84" i="70"/>
  <c r="AC84" i="70" s="1"/>
  <c r="Z84" i="70" l="1"/>
  <c r="AD84" i="70"/>
  <c r="Y84" i="70"/>
  <c r="AA84" i="70"/>
  <c r="U85" i="70"/>
  <c r="AC85" i="70" s="1"/>
  <c r="Z85" i="70" l="1"/>
  <c r="AD85" i="70"/>
  <c r="U86" i="70"/>
  <c r="AC86" i="70" s="1"/>
  <c r="AA85" i="70"/>
  <c r="Y85" i="70"/>
  <c r="Z86" i="70" l="1"/>
  <c r="AD86" i="70"/>
  <c r="Y86" i="70"/>
  <c r="AA86" i="70"/>
  <c r="U87" i="70"/>
  <c r="AC87" i="70" s="1"/>
  <c r="Z87" i="70" l="1"/>
  <c r="AD87" i="70"/>
  <c r="AA87" i="70"/>
  <c r="Y87" i="70"/>
  <c r="U88" i="70"/>
  <c r="AC88" i="70" s="1"/>
  <c r="Z88" i="70" l="1"/>
  <c r="AD88" i="70"/>
  <c r="Y88" i="70"/>
  <c r="AA88" i="70"/>
  <c r="U89" i="70"/>
  <c r="AC89" i="70" s="1"/>
  <c r="Z89" i="70" l="1"/>
  <c r="AD89" i="70"/>
  <c r="U90" i="70"/>
  <c r="AC90" i="70" s="1"/>
  <c r="AA89" i="70"/>
  <c r="Y89" i="70"/>
  <c r="Z90" i="70" l="1"/>
  <c r="AD90" i="70"/>
  <c r="Y90" i="70"/>
  <c r="AA90" i="70"/>
  <c r="U91" i="70"/>
  <c r="AC91" i="70" s="1"/>
  <c r="Z91" i="70" l="1"/>
  <c r="AD91" i="70"/>
  <c r="U92" i="70"/>
  <c r="AC92" i="70" s="1"/>
  <c r="Y91" i="70"/>
  <c r="AA91" i="70"/>
  <c r="Z92" i="70" l="1"/>
  <c r="AD92" i="70"/>
  <c r="U93" i="70"/>
  <c r="AC93" i="70" s="1"/>
  <c r="Y92" i="70"/>
  <c r="AA92" i="70"/>
  <c r="Z93" i="70" l="1"/>
  <c r="AD93" i="70"/>
  <c r="AA93" i="70"/>
  <c r="Y93" i="70"/>
  <c r="U94" i="70"/>
  <c r="AC94" i="70" s="1"/>
  <c r="Z94" i="70" l="1"/>
  <c r="AD94" i="70"/>
  <c r="Y94" i="70"/>
  <c r="AA94" i="70"/>
  <c r="U95" i="70"/>
  <c r="AC95" i="70" s="1"/>
  <c r="Z95" i="70" l="1"/>
  <c r="AD95" i="70"/>
  <c r="AA95" i="70"/>
  <c r="Y95" i="70"/>
  <c r="U96" i="70"/>
  <c r="AC96" i="70" s="1"/>
  <c r="Z96" i="70" l="1"/>
  <c r="AD96" i="70"/>
  <c r="Y96" i="70"/>
  <c r="AA96" i="70"/>
  <c r="U97" i="70"/>
  <c r="AC97" i="70" s="1"/>
  <c r="Z97" i="70" l="1"/>
  <c r="AD97" i="70"/>
  <c r="AA97" i="70"/>
  <c r="Y97" i="70"/>
  <c r="U98" i="70"/>
  <c r="AC98" i="70" s="1"/>
  <c r="Z98" i="70" l="1"/>
  <c r="AD98" i="70"/>
  <c r="AA98" i="70"/>
  <c r="Y98" i="70"/>
  <c r="U99" i="70"/>
  <c r="AC99" i="70" s="1"/>
  <c r="Z99" i="70" l="1"/>
  <c r="AD99" i="70"/>
  <c r="AA99" i="70"/>
  <c r="Y99" i="70"/>
  <c r="U100" i="70"/>
  <c r="AC100" i="70" s="1"/>
  <c r="Z100" i="70" l="1"/>
  <c r="AD100" i="70"/>
  <c r="Y100" i="70"/>
  <c r="AA100" i="70"/>
  <c r="U101" i="70"/>
  <c r="AC101" i="70" s="1"/>
  <c r="Z101" i="70" l="1"/>
  <c r="AD101" i="70"/>
  <c r="U102" i="70"/>
  <c r="AC102" i="70" s="1"/>
  <c r="AA101" i="70"/>
  <c r="Y101" i="70"/>
  <c r="Z102" i="70" l="1"/>
  <c r="AD102" i="70"/>
  <c r="U103" i="70"/>
  <c r="AC103" i="70" s="1"/>
  <c r="Y102" i="70"/>
  <c r="AA102" i="70"/>
  <c r="Z103" i="70" l="1"/>
  <c r="AD103" i="70"/>
  <c r="U104" i="70"/>
  <c r="AC104" i="70" s="1"/>
  <c r="AA103" i="70"/>
  <c r="Y103" i="70"/>
  <c r="Z104" i="70" l="1"/>
  <c r="AD104" i="70"/>
  <c r="Y104" i="70"/>
  <c r="AA104" i="70"/>
  <c r="U105" i="70"/>
  <c r="AC105" i="70" s="1"/>
  <c r="Z105" i="70" l="1"/>
  <c r="AD105" i="70"/>
  <c r="AA105" i="70"/>
  <c r="Y105" i="70"/>
  <c r="U106" i="70"/>
  <c r="AC106" i="70" s="1"/>
  <c r="Z106" i="70" l="1"/>
  <c r="AD106" i="70"/>
  <c r="Y106" i="70"/>
  <c r="AA106" i="70"/>
  <c r="U107" i="70"/>
  <c r="AC107" i="70" s="1"/>
  <c r="Z107" i="70" l="1"/>
  <c r="AD107" i="70"/>
  <c r="AA107" i="70"/>
  <c r="Y107" i="70"/>
  <c r="U108" i="70"/>
  <c r="AC108" i="70" s="1"/>
  <c r="Z108" i="70" l="1"/>
  <c r="AD108" i="70"/>
  <c r="Y108" i="70"/>
  <c r="AA108" i="70"/>
  <c r="U109" i="70"/>
  <c r="AC109" i="70" s="1"/>
  <c r="Z109" i="70" l="1"/>
  <c r="AD109" i="70"/>
  <c r="U110" i="70"/>
  <c r="AC110" i="70" s="1"/>
  <c r="AA109" i="70"/>
  <c r="Y109" i="70"/>
  <c r="Z110" i="70" l="1"/>
  <c r="AD110" i="70"/>
  <c r="U111" i="70"/>
  <c r="AC111" i="70" s="1"/>
  <c r="Y110" i="70"/>
  <c r="AA110" i="70"/>
  <c r="Z111" i="70" l="1"/>
  <c r="AD111" i="70"/>
  <c r="U112" i="70"/>
  <c r="AC112" i="70" s="1"/>
  <c r="AA111" i="70"/>
  <c r="Y111" i="70"/>
  <c r="Z112" i="70" l="1"/>
  <c r="AD112" i="70"/>
  <c r="Y112" i="70"/>
  <c r="AA112" i="70"/>
  <c r="U113" i="70"/>
  <c r="AC113" i="70" s="1"/>
  <c r="Z113" i="70" l="1"/>
  <c r="AD113" i="70"/>
  <c r="AA113" i="70"/>
  <c r="Y113" i="70"/>
  <c r="U114" i="70"/>
  <c r="AC114" i="70" s="1"/>
  <c r="Z114" i="70" l="1"/>
  <c r="AD114" i="70"/>
  <c r="U115" i="70"/>
  <c r="AC115" i="70" s="1"/>
  <c r="Y114" i="70"/>
  <c r="AA114" i="70"/>
  <c r="Z115" i="70" l="1"/>
  <c r="AD115" i="70"/>
  <c r="U116" i="70"/>
  <c r="AC116" i="70" s="1"/>
  <c r="AA115" i="70"/>
  <c r="Y115" i="70"/>
  <c r="Z116" i="70" l="1"/>
  <c r="AD116" i="70"/>
  <c r="U117" i="70"/>
  <c r="AC117" i="70" s="1"/>
  <c r="Y116" i="70"/>
  <c r="AA116" i="70"/>
  <c r="Z117" i="70" l="1"/>
  <c r="AD117" i="70"/>
  <c r="AA117" i="70"/>
  <c r="Y117" i="70"/>
  <c r="U118" i="70"/>
  <c r="AC118" i="70" s="1"/>
  <c r="Z118" i="70" l="1"/>
  <c r="AD118" i="70"/>
  <c r="AA118" i="70"/>
  <c r="Y118" i="70"/>
  <c r="U119" i="70"/>
  <c r="AC119" i="70" s="1"/>
  <c r="Z119" i="70" l="1"/>
  <c r="AD119" i="70"/>
  <c r="AA119" i="70"/>
  <c r="Y119" i="70"/>
  <c r="U120" i="70"/>
  <c r="AC120" i="70" s="1"/>
  <c r="Z120" i="70" l="1"/>
  <c r="AD120" i="70"/>
  <c r="U121" i="70"/>
  <c r="AC121" i="70" s="1"/>
  <c r="Y120" i="70"/>
  <c r="AA120" i="70"/>
  <c r="Z121" i="70" l="1"/>
  <c r="AD121" i="70"/>
  <c r="U122" i="70"/>
  <c r="AC122" i="70" s="1"/>
  <c r="AA121" i="70"/>
  <c r="Y121" i="70"/>
  <c r="Z122" i="70" l="1"/>
  <c r="AD122" i="70"/>
  <c r="Y122" i="70"/>
  <c r="AA122" i="70"/>
  <c r="U123" i="70"/>
  <c r="AC123" i="70" s="1"/>
  <c r="Z123" i="70" l="1"/>
  <c r="AD123" i="70"/>
  <c r="Y123" i="70"/>
  <c r="AA123" i="70"/>
  <c r="U124" i="70"/>
  <c r="AC124" i="70" s="1"/>
  <c r="Z124" i="70" l="1"/>
  <c r="AD124" i="70"/>
  <c r="AA124" i="70"/>
  <c r="Y124" i="70"/>
  <c r="U125" i="70"/>
  <c r="AC125" i="70" s="1"/>
  <c r="Z125" i="70" l="1"/>
  <c r="AD125" i="70"/>
  <c r="Y125" i="70"/>
  <c r="AA125" i="70"/>
  <c r="U126" i="70"/>
  <c r="AC126" i="70" s="1"/>
  <c r="Z126" i="70" l="1"/>
  <c r="AD126" i="70"/>
  <c r="AA126" i="70"/>
  <c r="Y126" i="70"/>
  <c r="U127" i="70"/>
  <c r="AC127" i="70" s="1"/>
  <c r="Z127" i="70" l="1"/>
  <c r="AD127" i="70"/>
  <c r="U128" i="70"/>
  <c r="AC128" i="70" s="1"/>
  <c r="Y127" i="70"/>
  <c r="AA127" i="70"/>
  <c r="Z128" i="70" l="1"/>
  <c r="AD128" i="70"/>
  <c r="U129" i="70"/>
  <c r="AC129" i="70" s="1"/>
  <c r="AA128" i="70"/>
  <c r="Y128" i="70"/>
  <c r="Z129" i="70" l="1"/>
  <c r="AD129" i="70"/>
  <c r="Y129" i="70"/>
  <c r="AA129" i="70"/>
  <c r="U130" i="70"/>
  <c r="AC130" i="70" s="1"/>
  <c r="Z130" i="70" l="1"/>
  <c r="AD130" i="70"/>
  <c r="AA130" i="70"/>
  <c r="Y130" i="70"/>
  <c r="U131" i="70"/>
  <c r="AC131" i="70" s="1"/>
  <c r="Z131" i="70" l="1"/>
  <c r="AD131" i="70"/>
  <c r="Y131" i="70"/>
  <c r="AA131" i="70"/>
  <c r="U132" i="70"/>
  <c r="AC132" i="70" s="1"/>
  <c r="Z132" i="70" l="1"/>
  <c r="AD132" i="70"/>
  <c r="AA132" i="70"/>
  <c r="Y132" i="70"/>
  <c r="U133" i="70"/>
  <c r="AC133" i="70" s="1"/>
  <c r="Z133" i="70" l="1"/>
  <c r="AD133" i="70"/>
  <c r="Y133" i="70"/>
  <c r="AA133" i="70"/>
  <c r="U134" i="70"/>
  <c r="AC134" i="70" s="1"/>
  <c r="Z134" i="70" l="1"/>
  <c r="AD134" i="70"/>
  <c r="Y134" i="70"/>
  <c r="AA134" i="70"/>
  <c r="U135" i="70"/>
  <c r="AC135" i="70" s="1"/>
  <c r="Z135" i="70" l="1"/>
  <c r="AD135" i="70"/>
  <c r="Y135" i="70"/>
  <c r="AA135" i="70"/>
  <c r="U136" i="70"/>
  <c r="AC136" i="70" s="1"/>
  <c r="Z136" i="70" l="1"/>
  <c r="AD136" i="70"/>
  <c r="Y136" i="70"/>
  <c r="AA136" i="70"/>
  <c r="U137" i="70"/>
  <c r="AC137" i="70" s="1"/>
  <c r="Z137" i="70" l="1"/>
  <c r="AD137" i="70"/>
  <c r="Y137" i="70"/>
  <c r="AA137" i="70"/>
  <c r="U138" i="70"/>
  <c r="AC138" i="70" s="1"/>
  <c r="Z138" i="70" l="1"/>
  <c r="AD138" i="70"/>
  <c r="Y138" i="70"/>
  <c r="AA138" i="70"/>
  <c r="U139" i="70"/>
  <c r="AC139" i="70" s="1"/>
  <c r="Z139" i="70" l="1"/>
  <c r="AD139" i="70"/>
  <c r="AA139" i="70"/>
  <c r="Y139" i="70"/>
  <c r="U140" i="70"/>
  <c r="AC140" i="70" s="1"/>
  <c r="Z140" i="70" l="1"/>
  <c r="AD140" i="70"/>
  <c r="AA140" i="70"/>
  <c r="Y140" i="70"/>
  <c r="U141" i="70"/>
  <c r="AC141" i="70" s="1"/>
  <c r="Z141" i="70" l="1"/>
  <c r="AD141" i="70"/>
  <c r="AA141" i="70"/>
  <c r="Y141" i="70"/>
  <c r="U142" i="70"/>
  <c r="AC142" i="70" s="1"/>
  <c r="Z142" i="70" l="1"/>
  <c r="AD142" i="70"/>
  <c r="U143" i="70"/>
  <c r="AC143" i="70" s="1"/>
  <c r="Y142" i="70"/>
  <c r="AA142" i="70"/>
  <c r="Z143" i="70" l="1"/>
  <c r="AD143" i="70"/>
  <c r="AA143" i="70"/>
  <c r="Y143" i="70"/>
  <c r="U144" i="70"/>
  <c r="AC144" i="70" s="1"/>
  <c r="Z144" i="70" l="1"/>
  <c r="AD144" i="70"/>
  <c r="U145" i="70"/>
  <c r="AC145" i="70" s="1"/>
  <c r="Y144" i="70"/>
  <c r="AA144" i="70"/>
  <c r="Z145" i="70" l="1"/>
  <c r="AD145" i="70"/>
  <c r="AA145" i="70"/>
  <c r="Y145" i="70"/>
  <c r="U146" i="70"/>
  <c r="AC146" i="70" s="1"/>
  <c r="Z146" i="70" l="1"/>
  <c r="AD146" i="70"/>
  <c r="AA146" i="70"/>
  <c r="Y146" i="70"/>
  <c r="U147" i="70"/>
  <c r="AC147" i="70" s="1"/>
  <c r="Z147" i="70" l="1"/>
  <c r="AD147" i="70"/>
  <c r="AA147" i="70"/>
  <c r="Y147" i="70"/>
  <c r="U148" i="70"/>
  <c r="AC148" i="70" s="1"/>
  <c r="Z148" i="70" l="1"/>
  <c r="AD148" i="70"/>
  <c r="AA148" i="70"/>
  <c r="Y148" i="70"/>
  <c r="U149" i="70"/>
  <c r="AC149" i="70" s="1"/>
  <c r="Z149" i="70" l="1"/>
  <c r="AD149" i="70"/>
  <c r="Y149" i="70"/>
  <c r="AA149" i="70"/>
  <c r="U150" i="70"/>
  <c r="AC150" i="70" s="1"/>
  <c r="Z150" i="70" l="1"/>
  <c r="AD150" i="70"/>
  <c r="U151" i="70"/>
  <c r="AC151" i="70" s="1"/>
  <c r="Y150" i="70"/>
  <c r="AA150" i="70"/>
  <c r="Z151" i="70" l="1"/>
  <c r="AD151" i="70"/>
  <c r="AA151" i="70"/>
  <c r="Y151" i="70"/>
  <c r="U152" i="70"/>
  <c r="AC152" i="70" s="1"/>
  <c r="Z152" i="70" l="1"/>
  <c r="AD152" i="70"/>
  <c r="U153" i="70"/>
  <c r="AC153" i="70" s="1"/>
  <c r="Y152" i="70"/>
  <c r="AA152" i="70"/>
  <c r="Z153" i="70" l="1"/>
  <c r="AD153" i="70"/>
  <c r="U154" i="70"/>
  <c r="AC154" i="70" s="1"/>
  <c r="Y153" i="70"/>
  <c r="AA153" i="70"/>
  <c r="Z154" i="70" l="1"/>
  <c r="AD154" i="70"/>
  <c r="U155" i="70"/>
  <c r="AC155" i="70" s="1"/>
  <c r="AA154" i="70"/>
  <c r="Y154" i="70"/>
  <c r="Z155" i="70" l="1"/>
  <c r="AD155" i="70"/>
  <c r="U156" i="70"/>
  <c r="AC156" i="70" s="1"/>
  <c r="AA155" i="70"/>
  <c r="Y155" i="70"/>
  <c r="Z156" i="70" l="1"/>
  <c r="AD156" i="70"/>
  <c r="U157" i="70"/>
  <c r="AC157" i="70" s="1"/>
  <c r="AA156" i="70"/>
  <c r="Y156" i="70"/>
  <c r="Z157" i="70" l="1"/>
  <c r="AD157" i="70"/>
  <c r="U158" i="70"/>
  <c r="AC158" i="70" s="1"/>
  <c r="Y157" i="70"/>
  <c r="AA157" i="70"/>
  <c r="Z158" i="70" l="1"/>
  <c r="AD158" i="70"/>
  <c r="U159" i="70"/>
  <c r="AC159" i="70" s="1"/>
  <c r="AA158" i="70"/>
  <c r="Y158" i="70"/>
  <c r="Z159" i="70" l="1"/>
  <c r="AD159" i="70"/>
  <c r="U160" i="70"/>
  <c r="AC160" i="70" s="1"/>
  <c r="AA159" i="70"/>
  <c r="Y159" i="70"/>
  <c r="Z160" i="70" l="1"/>
  <c r="AD160" i="70"/>
  <c r="U161" i="70"/>
  <c r="AC161" i="70" s="1"/>
  <c r="AA160" i="70"/>
  <c r="Y160" i="70"/>
  <c r="Z161" i="70" l="1"/>
  <c r="AD161" i="70"/>
  <c r="U162" i="70"/>
  <c r="AC162" i="70" s="1"/>
  <c r="Y161" i="70"/>
  <c r="AA161" i="70"/>
  <c r="Z162" i="70" l="1"/>
  <c r="AD162" i="70"/>
  <c r="U163" i="70"/>
  <c r="AC163" i="70" s="1"/>
  <c r="AA162" i="70"/>
  <c r="Y162" i="70"/>
  <c r="Z163" i="70" l="1"/>
  <c r="AD163" i="70"/>
  <c r="U164" i="70"/>
  <c r="AC164" i="70" s="1"/>
  <c r="AA163" i="70"/>
  <c r="Y163" i="70"/>
  <c r="Z164" i="70" l="1"/>
  <c r="AD164" i="70"/>
  <c r="U165" i="70"/>
  <c r="AC165" i="70" s="1"/>
  <c r="AA164" i="70"/>
  <c r="Y164" i="70"/>
  <c r="Z165" i="70" l="1"/>
  <c r="AD165" i="70"/>
  <c r="U166" i="70"/>
  <c r="AC166" i="70" s="1"/>
  <c r="Y165" i="70"/>
  <c r="AA165" i="70"/>
  <c r="Z166" i="70" l="1"/>
  <c r="AD166" i="70"/>
  <c r="U167" i="70"/>
  <c r="AC167" i="70" s="1"/>
  <c r="AA166" i="70"/>
  <c r="Y166" i="70"/>
  <c r="Z167" i="70" l="1"/>
  <c r="AD167" i="70"/>
  <c r="U168" i="70"/>
  <c r="AC168" i="70" s="1"/>
  <c r="Y167" i="70"/>
  <c r="AA167" i="70"/>
  <c r="Z168" i="70" l="1"/>
  <c r="AD168" i="70"/>
  <c r="U169" i="70"/>
  <c r="AC169" i="70" s="1"/>
  <c r="AA168" i="70"/>
  <c r="Y168" i="70"/>
  <c r="Z169" i="70" l="1"/>
  <c r="AD169" i="70"/>
  <c r="U170" i="70"/>
  <c r="AC170" i="70" s="1"/>
  <c r="Y169" i="70"/>
  <c r="AA169" i="70"/>
  <c r="Z170" i="70" l="1"/>
  <c r="AD170" i="70"/>
  <c r="U171" i="70"/>
  <c r="AC171" i="70" s="1"/>
  <c r="AA170" i="70"/>
  <c r="Y170" i="70"/>
  <c r="Z171" i="70" l="1"/>
  <c r="AD171" i="70"/>
  <c r="U172" i="70"/>
  <c r="AC172" i="70" s="1"/>
  <c r="AA171" i="70"/>
  <c r="Y171" i="70"/>
  <c r="Z172" i="70" l="1"/>
  <c r="AD172" i="70"/>
  <c r="U173" i="70"/>
  <c r="AC173" i="70" s="1"/>
  <c r="AA172" i="70"/>
  <c r="Y172" i="70"/>
  <c r="Z173" i="70" l="1"/>
  <c r="AD173" i="70"/>
  <c r="U174" i="70"/>
  <c r="AC174" i="70" s="1"/>
  <c r="Y173" i="70"/>
  <c r="AA173" i="70"/>
  <c r="Z174" i="70" l="1"/>
  <c r="AD174" i="70"/>
  <c r="U175" i="70"/>
  <c r="AC175" i="70" s="1"/>
  <c r="AA174" i="70"/>
  <c r="Y174" i="70"/>
  <c r="Z175" i="70" l="1"/>
  <c r="AD175" i="70"/>
  <c r="U176" i="70"/>
  <c r="AC176" i="70" s="1"/>
  <c r="AA175" i="70"/>
  <c r="Y175" i="70"/>
  <c r="Z176" i="70" l="1"/>
  <c r="AD176" i="70"/>
  <c r="U177" i="70"/>
  <c r="AC177" i="70" s="1"/>
  <c r="AA176" i="70"/>
  <c r="Y176" i="70"/>
  <c r="Z177" i="70" l="1"/>
  <c r="AD177" i="70"/>
  <c r="U178" i="70"/>
  <c r="AC178" i="70" s="1"/>
  <c r="Y177" i="70"/>
  <c r="AA177" i="70"/>
  <c r="Z178" i="70" l="1"/>
  <c r="AD178" i="70"/>
  <c r="U179" i="70"/>
  <c r="AC179" i="70" s="1"/>
  <c r="AA178" i="70"/>
  <c r="Y178" i="70"/>
  <c r="Z179" i="70" l="1"/>
  <c r="AD179" i="70"/>
  <c r="U180" i="70"/>
  <c r="AC180" i="70" s="1"/>
  <c r="AA179" i="70"/>
  <c r="Y179" i="70"/>
  <c r="Z180" i="70" l="1"/>
  <c r="AD180" i="70"/>
  <c r="U181" i="70"/>
  <c r="AC181" i="70" s="1"/>
  <c r="Y180" i="70"/>
  <c r="AA180" i="70"/>
  <c r="Z181" i="70" l="1"/>
  <c r="AD181" i="70"/>
  <c r="U182" i="70"/>
  <c r="AC182" i="70" s="1"/>
  <c r="Y181" i="70"/>
  <c r="AA181" i="70"/>
  <c r="Z182" i="70" l="1"/>
  <c r="AD182" i="70"/>
  <c r="U183" i="70"/>
  <c r="AC183" i="70" s="1"/>
  <c r="AA182" i="70"/>
  <c r="Y182" i="70"/>
  <c r="Z183" i="70" l="1"/>
  <c r="AD183" i="70"/>
  <c r="U184" i="70"/>
  <c r="AC184" i="70" s="1"/>
  <c r="Y183" i="70"/>
  <c r="Z184" i="70" l="1"/>
  <c r="AD184" i="70"/>
  <c r="U185" i="70"/>
  <c r="AC185" i="70" s="1"/>
  <c r="Y184" i="70"/>
  <c r="Z185" i="70" l="1"/>
  <c r="AD185" i="70"/>
  <c r="U186" i="70"/>
  <c r="AC186" i="70" s="1"/>
  <c r="Y185" i="70"/>
  <c r="Z186" i="70" l="1"/>
  <c r="AD186" i="70"/>
  <c r="U187" i="70"/>
  <c r="AC187" i="70" s="1"/>
  <c r="Y186" i="70"/>
  <c r="Z187" i="70" l="1"/>
  <c r="AD187" i="70"/>
  <c r="Y187" i="70"/>
  <c r="U188" i="70"/>
  <c r="AC188" i="70" s="1"/>
  <c r="Z188" i="70" l="1"/>
  <c r="AD188" i="70"/>
  <c r="Y188" i="70"/>
  <c r="U189" i="70"/>
  <c r="AC189" i="70" s="1"/>
  <c r="Z189" i="70" l="1"/>
  <c r="AD189" i="70"/>
  <c r="U190" i="70"/>
  <c r="AC190" i="70" s="1"/>
  <c r="Y189" i="70"/>
  <c r="Z190" i="70" l="1"/>
  <c r="AD190" i="70"/>
  <c r="Y190" i="70"/>
  <c r="U191" i="70"/>
  <c r="AC191" i="70" s="1"/>
  <c r="Z191" i="70" l="1"/>
  <c r="AD191" i="70"/>
  <c r="Y191" i="70"/>
  <c r="U192" i="70"/>
  <c r="AC192" i="70" s="1"/>
  <c r="Z192" i="70" l="1"/>
  <c r="AD192" i="70"/>
  <c r="Y192" i="70"/>
  <c r="U193" i="70"/>
  <c r="AC193" i="70" s="1"/>
  <c r="Z193" i="70" l="1"/>
  <c r="AD193" i="70"/>
  <c r="Y193" i="70"/>
  <c r="U194" i="70"/>
  <c r="AC194" i="70" s="1"/>
  <c r="Z194" i="70" l="1"/>
  <c r="AD194" i="70"/>
  <c r="U195" i="70"/>
  <c r="AC195" i="70" s="1"/>
  <c r="Y194" i="70"/>
  <c r="Z195" i="70" l="1"/>
  <c r="AD195" i="70"/>
  <c r="Y195" i="70"/>
  <c r="U196" i="70"/>
  <c r="AC196" i="70" s="1"/>
  <c r="Z196" i="70" l="1"/>
  <c r="AD196" i="70"/>
  <c r="U197" i="70"/>
  <c r="AC197" i="70" s="1"/>
  <c r="Y196" i="70"/>
  <c r="Z197" i="70" l="1"/>
  <c r="AD197" i="70"/>
  <c r="U198" i="70"/>
  <c r="AC198" i="70" s="1"/>
  <c r="Y197" i="70"/>
  <c r="Z198" i="70" l="1"/>
  <c r="AD198" i="70"/>
  <c r="Y198" i="70"/>
  <c r="U199" i="70"/>
  <c r="AC199" i="70" s="1"/>
  <c r="Z199" i="70" l="1"/>
  <c r="AD199" i="70"/>
  <c r="U200" i="70"/>
  <c r="AC200" i="70" s="1"/>
  <c r="Y199" i="70"/>
  <c r="Z200" i="70" l="1"/>
  <c r="AD200" i="70"/>
  <c r="U201" i="70"/>
  <c r="AC201" i="70" s="1"/>
  <c r="Y200" i="70"/>
  <c r="Z201" i="70" l="1"/>
  <c r="AD201" i="70"/>
  <c r="U202" i="70"/>
  <c r="AC202" i="70" s="1"/>
  <c r="Y201" i="70"/>
  <c r="Z202" i="70" l="1"/>
  <c r="AD202" i="70"/>
  <c r="U203" i="70"/>
  <c r="AC203" i="70" s="1"/>
  <c r="Y202" i="70"/>
  <c r="Z203" i="70" l="1"/>
  <c r="AD203" i="70"/>
  <c r="Y203" i="70"/>
  <c r="U204" i="70"/>
  <c r="AC204" i="70" s="1"/>
  <c r="Z204" i="70" l="1"/>
  <c r="AD204" i="70"/>
  <c r="U205" i="70"/>
  <c r="AC205" i="70" s="1"/>
  <c r="Y204" i="70"/>
  <c r="Z205" i="70" l="1"/>
  <c r="AD205" i="70"/>
  <c r="U206" i="70"/>
  <c r="AC206" i="70" s="1"/>
  <c r="Y205" i="70"/>
  <c r="Z206" i="70" l="1"/>
  <c r="AD206" i="70"/>
  <c r="Y206" i="70"/>
  <c r="U207" i="70"/>
  <c r="AC207" i="70" s="1"/>
  <c r="Z207" i="70" l="1"/>
  <c r="AD207" i="70"/>
  <c r="U208" i="70"/>
  <c r="AC208" i="70" s="1"/>
  <c r="Y207" i="70"/>
  <c r="Z208" i="70" l="1"/>
  <c r="AD208" i="70"/>
  <c r="U209" i="70"/>
  <c r="AC209" i="70" s="1"/>
  <c r="Y208" i="70"/>
  <c r="Z209" i="70" l="1"/>
  <c r="AD209" i="70"/>
  <c r="U210" i="70"/>
  <c r="AC210" i="70" s="1"/>
  <c r="Y209" i="70"/>
  <c r="Z210" i="70" l="1"/>
  <c r="AD210" i="70"/>
  <c r="Y210" i="70"/>
  <c r="U211" i="70"/>
  <c r="AC211" i="70" s="1"/>
  <c r="Z211" i="70" l="1"/>
  <c r="AD211" i="70"/>
  <c r="Y211" i="70"/>
  <c r="U212" i="70"/>
  <c r="AC212" i="70" s="1"/>
  <c r="Z212" i="70" l="1"/>
  <c r="AD212" i="70"/>
  <c r="Y212" i="70"/>
  <c r="U213" i="70"/>
  <c r="AC213" i="70" s="1"/>
  <c r="Z213" i="70" l="1"/>
  <c r="AD213" i="70"/>
  <c r="U214" i="70"/>
  <c r="AC214" i="70" s="1"/>
  <c r="AA213" i="70"/>
  <c r="Y213" i="70"/>
  <c r="Z214" i="70" l="1"/>
  <c r="AD214" i="70"/>
  <c r="AA214" i="70"/>
  <c r="Y214" i="70"/>
  <c r="U215" i="70"/>
  <c r="AC215" i="70" s="1"/>
  <c r="Z215" i="70" l="1"/>
  <c r="AD215" i="70"/>
  <c r="Y215" i="70"/>
  <c r="AA215" i="70"/>
  <c r="U216" i="70"/>
  <c r="AC216" i="70" s="1"/>
  <c r="Z216" i="70" l="1"/>
  <c r="AD216" i="70"/>
  <c r="AA216" i="70"/>
  <c r="Y216" i="70"/>
  <c r="U217" i="70"/>
  <c r="AC217" i="70" s="1"/>
  <c r="Z217" i="70" l="1"/>
  <c r="AD217" i="70"/>
  <c r="U218" i="70"/>
  <c r="AC218" i="70" s="1"/>
  <c r="AA217" i="70"/>
  <c r="Y217" i="70"/>
  <c r="Z218" i="70" l="1"/>
  <c r="AD218" i="70"/>
  <c r="AA218" i="70"/>
  <c r="Y218" i="70"/>
  <c r="U219" i="70"/>
  <c r="AC219" i="70" s="1"/>
  <c r="Z219" i="70" l="1"/>
  <c r="AD219" i="70"/>
  <c r="U220" i="70"/>
  <c r="AC220" i="70" s="1"/>
  <c r="Y219" i="70"/>
  <c r="AA219" i="70"/>
  <c r="Z220" i="70" l="1"/>
  <c r="AD220" i="70"/>
  <c r="AA220" i="70"/>
  <c r="Y220" i="70"/>
  <c r="U221" i="70"/>
  <c r="AC221" i="70" s="1"/>
  <c r="Z221" i="70" l="1"/>
  <c r="AD221" i="70"/>
  <c r="AA221" i="70"/>
  <c r="Y221" i="70"/>
  <c r="U222" i="70"/>
  <c r="AC222" i="70" s="1"/>
  <c r="Z222" i="70" l="1"/>
  <c r="AD222" i="70"/>
  <c r="U223" i="70"/>
  <c r="AC223" i="70" s="1"/>
  <c r="Y222" i="70"/>
  <c r="AA222" i="70"/>
  <c r="Z223" i="70" l="1"/>
  <c r="AD223" i="70"/>
  <c r="U224" i="70"/>
  <c r="AC224" i="70" s="1"/>
  <c r="Y223" i="70"/>
  <c r="AA223" i="70"/>
  <c r="Z224" i="70" l="1"/>
  <c r="AD224" i="70"/>
  <c r="U225" i="70"/>
  <c r="AC225" i="70" s="1"/>
  <c r="AA224" i="70"/>
  <c r="Y224" i="70"/>
  <c r="Z225" i="70" l="1"/>
  <c r="AD225" i="70"/>
  <c r="U226" i="70"/>
  <c r="AC226" i="70" s="1"/>
  <c r="AA225" i="70"/>
  <c r="Y225" i="70"/>
  <c r="Z226" i="70" l="1"/>
  <c r="AD226" i="70"/>
  <c r="U227" i="70"/>
  <c r="AC227" i="70" s="1"/>
  <c r="Y226" i="70"/>
  <c r="AA226" i="70"/>
  <c r="Z227" i="70" l="1"/>
  <c r="AD227" i="70"/>
  <c r="U228" i="70"/>
  <c r="AC228" i="70" s="1"/>
  <c r="Y227" i="70"/>
  <c r="AA227" i="70"/>
  <c r="Z228" i="70" l="1"/>
  <c r="AD228" i="70"/>
  <c r="U229" i="70"/>
  <c r="AC229" i="70" s="1"/>
  <c r="AA228" i="70"/>
  <c r="Y228" i="70"/>
  <c r="Z229" i="70" l="1"/>
  <c r="AD229" i="70"/>
  <c r="U230" i="70"/>
  <c r="AC230" i="70" s="1"/>
  <c r="AA229" i="70"/>
  <c r="Y229" i="70"/>
  <c r="Z230" i="70" l="1"/>
  <c r="AD230" i="70"/>
  <c r="U231" i="70"/>
  <c r="AC231" i="70" s="1"/>
  <c r="Y230" i="70"/>
  <c r="AA230" i="70"/>
  <c r="Z231" i="70" l="1"/>
  <c r="AD231" i="70"/>
  <c r="U232" i="70"/>
  <c r="AC232" i="70" s="1"/>
  <c r="AA231" i="70"/>
  <c r="Y231" i="70"/>
  <c r="Z232" i="70" l="1"/>
  <c r="AD232" i="70"/>
  <c r="U233" i="70"/>
  <c r="AC233" i="70" s="1"/>
  <c r="AA232" i="70"/>
  <c r="Y232" i="70"/>
  <c r="Z233" i="70" l="1"/>
  <c r="AD233" i="70"/>
  <c r="U234" i="70"/>
  <c r="AC234" i="70" s="1"/>
  <c r="AA233" i="70"/>
  <c r="Y233" i="70"/>
  <c r="Z234" i="70" l="1"/>
  <c r="AD234" i="70"/>
  <c r="U235" i="70"/>
  <c r="AC235" i="70" s="1"/>
  <c r="AA234" i="70"/>
  <c r="Y234" i="70"/>
  <c r="Z235" i="70" l="1"/>
  <c r="AD235" i="70"/>
  <c r="U236" i="70"/>
  <c r="AC236" i="70" s="1"/>
  <c r="Y235" i="70"/>
  <c r="AA235" i="70"/>
  <c r="Z236" i="70" l="1"/>
  <c r="AD236" i="70"/>
  <c r="U237" i="70"/>
  <c r="AC237" i="70" s="1"/>
  <c r="Y236" i="70"/>
  <c r="AA236" i="70"/>
  <c r="Z237" i="70" l="1"/>
  <c r="AD237" i="70"/>
  <c r="U238" i="70"/>
  <c r="AC238" i="70" s="1"/>
  <c r="AA237" i="70"/>
  <c r="Y237" i="70"/>
  <c r="Z238" i="70" l="1"/>
  <c r="AD238" i="70"/>
  <c r="U239" i="70"/>
  <c r="AC239" i="70" s="1"/>
  <c r="AA238" i="70"/>
  <c r="Y238" i="70"/>
  <c r="Z239" i="70" l="1"/>
  <c r="AD239" i="70"/>
  <c r="U240" i="70"/>
  <c r="AC240" i="70" s="1"/>
  <c r="AA239" i="70"/>
  <c r="Y239" i="70"/>
  <c r="Z240" i="70" l="1"/>
  <c r="AD240" i="70"/>
  <c r="U241" i="70"/>
  <c r="AC241" i="70" s="1"/>
  <c r="AA240" i="70"/>
  <c r="Y240" i="70"/>
  <c r="Z241" i="70" l="1"/>
  <c r="AD241" i="70"/>
  <c r="U242" i="70"/>
  <c r="AC242" i="70" s="1"/>
  <c r="AA241" i="70"/>
  <c r="Y241" i="70"/>
  <c r="Z242" i="70" l="1"/>
  <c r="AD242" i="70"/>
  <c r="U243" i="70"/>
  <c r="AC243" i="70" s="1"/>
  <c r="AA242" i="70"/>
  <c r="Y242" i="70"/>
  <c r="Z243" i="70" l="1"/>
  <c r="AD243" i="70"/>
  <c r="Y243" i="70"/>
  <c r="AA243" i="70"/>
  <c r="U244" i="70"/>
  <c r="AC244" i="70" s="1"/>
  <c r="Z244" i="70" l="1"/>
  <c r="AD244" i="70"/>
  <c r="AA244" i="70"/>
  <c r="Y244" i="70"/>
  <c r="U245" i="70"/>
  <c r="AC245" i="70" s="1"/>
  <c r="Z245" i="70" l="1"/>
  <c r="AD245" i="70"/>
  <c r="U246" i="70"/>
  <c r="AC246" i="70" s="1"/>
  <c r="Y245" i="70"/>
  <c r="AA245" i="70"/>
  <c r="Z246" i="70" l="1"/>
  <c r="AD246" i="70"/>
  <c r="Y246" i="70"/>
  <c r="AA246" i="70"/>
  <c r="U247" i="70"/>
  <c r="AC247" i="70" s="1"/>
  <c r="Z247" i="70" l="1"/>
  <c r="AD247" i="70"/>
  <c r="U248" i="70"/>
  <c r="AC248" i="70" s="1"/>
  <c r="Y247" i="70"/>
  <c r="AA247" i="70"/>
  <c r="Z248" i="70" l="1"/>
  <c r="AD248" i="70"/>
  <c r="Y248" i="70"/>
  <c r="AA248" i="70"/>
  <c r="U249" i="70"/>
  <c r="AC249" i="70" s="1"/>
  <c r="Z249" i="70" l="1"/>
  <c r="AD249" i="70"/>
  <c r="AA249" i="70"/>
  <c r="Y249" i="70"/>
  <c r="U250" i="70"/>
  <c r="AC250" i="70" s="1"/>
  <c r="Z250" i="70" l="1"/>
  <c r="AD250" i="70"/>
  <c r="Y250" i="70"/>
  <c r="AA250" i="70"/>
  <c r="U251" i="70"/>
  <c r="AC251" i="70" s="1"/>
  <c r="Z251" i="70" l="1"/>
  <c r="AD251" i="70"/>
  <c r="U252" i="70"/>
  <c r="AC252" i="70" s="1"/>
  <c r="Y251" i="70"/>
  <c r="AA251" i="70"/>
  <c r="Z252" i="70" l="1"/>
  <c r="AD252" i="70"/>
  <c r="U253" i="70"/>
  <c r="AC253" i="70" s="1"/>
  <c r="AA252" i="70"/>
  <c r="Y252" i="70"/>
  <c r="Z253" i="70" l="1"/>
  <c r="AD253" i="70"/>
  <c r="Y253" i="70"/>
  <c r="AA253" i="70"/>
  <c r="U254" i="70"/>
  <c r="AC254" i="70" s="1"/>
  <c r="Z254" i="70" l="1"/>
  <c r="AD254" i="70"/>
  <c r="U255" i="70"/>
  <c r="AC255" i="70" s="1"/>
  <c r="AA254" i="70"/>
  <c r="Y254" i="70"/>
  <c r="Z255" i="70" l="1"/>
  <c r="AD255" i="70"/>
  <c r="Y255" i="70"/>
  <c r="AA255" i="70"/>
  <c r="U256" i="70"/>
  <c r="AC256" i="70" s="1"/>
  <c r="Z256" i="70" l="1"/>
  <c r="AD256" i="70"/>
  <c r="AA256" i="70"/>
  <c r="Y256" i="70"/>
  <c r="U257" i="70"/>
  <c r="AC257" i="70" s="1"/>
  <c r="Z257" i="70" l="1"/>
  <c r="AD257" i="70"/>
  <c r="U258" i="70"/>
  <c r="AC258" i="70" s="1"/>
  <c r="Y257" i="70"/>
  <c r="AA257" i="70"/>
  <c r="Z258" i="70" l="1"/>
  <c r="AD258" i="70"/>
  <c r="Y258" i="70"/>
  <c r="AA258" i="70"/>
  <c r="U259" i="70"/>
  <c r="AC259" i="70" s="1"/>
  <c r="Z259" i="70" l="1"/>
  <c r="AD259" i="70"/>
  <c r="U260" i="70"/>
  <c r="AC260" i="70" s="1"/>
  <c r="Y259" i="70"/>
  <c r="AA259" i="70"/>
  <c r="Z260" i="70" l="1"/>
  <c r="AD260" i="70"/>
  <c r="U261" i="70"/>
  <c r="AC261" i="70" s="1"/>
  <c r="Y260" i="70"/>
  <c r="AA260" i="70"/>
  <c r="Z261" i="70" l="1"/>
  <c r="AD261" i="70"/>
  <c r="AA261" i="70"/>
  <c r="Y261" i="70"/>
  <c r="U262" i="70"/>
  <c r="AC262" i="70" s="1"/>
  <c r="Z262" i="70" l="1"/>
  <c r="AD262" i="70"/>
  <c r="Y262" i="70"/>
  <c r="AA262" i="70"/>
  <c r="U263" i="70"/>
  <c r="AC263" i="70" s="1"/>
  <c r="Z263" i="70" l="1"/>
  <c r="AD263" i="70"/>
  <c r="U264" i="70"/>
  <c r="AC264" i="70" s="1"/>
  <c r="Y263" i="70"/>
  <c r="AA263" i="70"/>
  <c r="Z264" i="70" l="1"/>
  <c r="AD264" i="70"/>
  <c r="AA264" i="70"/>
  <c r="Y264" i="70"/>
  <c r="U265" i="70"/>
  <c r="AC265" i="70" s="1"/>
  <c r="Z265" i="70" l="1"/>
  <c r="AD265" i="70"/>
  <c r="AA265" i="70"/>
  <c r="Y265" i="70"/>
  <c r="U266" i="70"/>
  <c r="AC266" i="70" s="1"/>
  <c r="Z266" i="70" l="1"/>
  <c r="AD266" i="70"/>
  <c r="U267" i="70"/>
  <c r="AC267" i="70" s="1"/>
  <c r="Y266" i="70"/>
  <c r="AA266" i="70"/>
  <c r="Z267" i="70" l="1"/>
  <c r="AD267" i="70"/>
  <c r="Y267" i="70"/>
  <c r="AA267" i="70"/>
  <c r="U268" i="70"/>
  <c r="AC268" i="70" s="1"/>
  <c r="Z268" i="70" l="1"/>
  <c r="AD268" i="70"/>
  <c r="U269" i="70"/>
  <c r="AC269" i="70" s="1"/>
  <c r="AA268" i="70"/>
  <c r="Y268" i="70"/>
  <c r="Z269" i="70" l="1"/>
  <c r="AD269" i="70"/>
  <c r="Y269" i="70"/>
  <c r="AA269" i="70"/>
  <c r="U270" i="70"/>
  <c r="AC270" i="70" s="1"/>
  <c r="Z270" i="70" l="1"/>
  <c r="AD270" i="70"/>
  <c r="AA270" i="70"/>
  <c r="Y270" i="70"/>
  <c r="U271" i="70"/>
  <c r="AC271" i="70" s="1"/>
  <c r="Z271" i="70" l="1"/>
  <c r="AD271" i="70"/>
  <c r="U272" i="70"/>
  <c r="AC272" i="70" s="1"/>
  <c r="AA271" i="70"/>
  <c r="Y271" i="70"/>
  <c r="Z272" i="70" l="1"/>
  <c r="AD272" i="70"/>
  <c r="AA272" i="70"/>
  <c r="Y272" i="70"/>
  <c r="U273" i="70"/>
  <c r="AC273" i="70" s="1"/>
  <c r="Z273" i="70" l="1"/>
  <c r="AD273" i="70"/>
  <c r="AA273" i="70"/>
  <c r="Y273" i="70"/>
  <c r="U274" i="70"/>
  <c r="AC274" i="70" s="1"/>
  <c r="Z274" i="70" l="1"/>
  <c r="AD274" i="70"/>
  <c r="U275" i="70"/>
  <c r="AC275" i="70" s="1"/>
  <c r="Y274" i="70"/>
  <c r="AA274" i="70"/>
  <c r="Z275" i="70" l="1"/>
  <c r="AD275" i="70"/>
  <c r="U276" i="70"/>
  <c r="AC276" i="70" s="1"/>
  <c r="AA275" i="70"/>
  <c r="Y275" i="70"/>
  <c r="Z276" i="70" l="1"/>
  <c r="AD276" i="70"/>
  <c r="U277" i="70"/>
  <c r="AC277" i="70" s="1"/>
  <c r="AA276" i="70"/>
  <c r="Y276" i="70"/>
  <c r="Z277" i="70" l="1"/>
  <c r="AD277" i="70"/>
  <c r="Y277" i="70"/>
  <c r="AA277" i="70"/>
  <c r="U278" i="70"/>
  <c r="AC278" i="70" s="1"/>
  <c r="Z278" i="70" l="1"/>
  <c r="AD278" i="70"/>
  <c r="AA278" i="70"/>
  <c r="Y278" i="70"/>
  <c r="U279" i="70"/>
  <c r="AC279" i="70" s="1"/>
  <c r="Z279" i="70" l="1"/>
  <c r="AD279" i="70"/>
  <c r="AA279" i="70"/>
  <c r="Y279" i="70"/>
  <c r="U280" i="70"/>
  <c r="AC280" i="70" s="1"/>
  <c r="Z280" i="70" l="1"/>
  <c r="AD280" i="70"/>
  <c r="U281" i="70"/>
  <c r="AC281" i="70" s="1"/>
  <c r="AA280" i="70"/>
  <c r="Y280" i="70"/>
  <c r="Z281" i="70" l="1"/>
  <c r="AD281" i="70"/>
  <c r="U282" i="70"/>
  <c r="AC282" i="70" s="1"/>
  <c r="Y281" i="70"/>
  <c r="AA281" i="70"/>
  <c r="Z282" i="70" l="1"/>
  <c r="AD282" i="70"/>
  <c r="U283" i="70"/>
  <c r="AC283" i="70" s="1"/>
  <c r="AA282" i="70"/>
  <c r="Y282" i="70"/>
  <c r="Z283" i="70" l="1"/>
  <c r="AD283" i="70"/>
  <c r="U284" i="70"/>
  <c r="AC284" i="70" s="1"/>
  <c r="Y283" i="70"/>
  <c r="AA283" i="70"/>
  <c r="Z284" i="70" l="1"/>
  <c r="AD284" i="70"/>
  <c r="U285" i="70"/>
  <c r="AC285" i="70" s="1"/>
  <c r="Y284" i="70"/>
  <c r="AA284" i="70"/>
  <c r="Z285" i="70" l="1"/>
  <c r="AD285" i="70"/>
  <c r="Y285" i="70"/>
  <c r="AA285" i="70"/>
  <c r="U286" i="70"/>
  <c r="AC286" i="70" s="1"/>
  <c r="Z286" i="70" l="1"/>
  <c r="AD286" i="70"/>
  <c r="AA286" i="70"/>
  <c r="Y286" i="70"/>
  <c r="U287" i="70"/>
  <c r="AC287" i="70" s="1"/>
  <c r="Z287" i="70" l="1"/>
  <c r="AD287" i="70"/>
  <c r="AA287" i="70"/>
  <c r="Y287" i="70"/>
  <c r="U288" i="70"/>
  <c r="AC288" i="70" s="1"/>
  <c r="Z288" i="70" l="1"/>
  <c r="AD288" i="70"/>
  <c r="U289" i="70"/>
  <c r="AC289" i="70" s="1"/>
  <c r="AA288" i="70"/>
  <c r="Y288" i="70"/>
  <c r="Z289" i="70" l="1"/>
  <c r="AD289" i="70"/>
  <c r="U290" i="70"/>
  <c r="AC290" i="70" s="1"/>
  <c r="AA289" i="70"/>
  <c r="Y289" i="70"/>
  <c r="Z290" i="70" l="1"/>
  <c r="AD290" i="70"/>
  <c r="U291" i="70"/>
  <c r="AC291" i="70" s="1"/>
  <c r="AA290" i="70"/>
  <c r="Y290" i="70"/>
  <c r="Z291" i="70" l="1"/>
  <c r="AD291" i="70"/>
  <c r="U292" i="70"/>
  <c r="AC292" i="70" s="1"/>
  <c r="AA291" i="70"/>
  <c r="Y291" i="70"/>
  <c r="Z292" i="70" l="1"/>
  <c r="AD292" i="70"/>
  <c r="U293" i="70"/>
  <c r="AC293" i="70" s="1"/>
  <c r="AA292" i="70"/>
  <c r="Y292" i="70"/>
  <c r="Z293" i="70" l="1"/>
  <c r="AD293" i="70"/>
  <c r="AA293" i="70"/>
  <c r="Y293" i="70"/>
  <c r="U294" i="70"/>
  <c r="AC294" i="70" s="1"/>
  <c r="Z294" i="70" l="1"/>
  <c r="AD294" i="70"/>
  <c r="U295" i="70"/>
  <c r="AC295" i="70" s="1"/>
  <c r="Y294" i="70"/>
  <c r="AA294" i="70"/>
  <c r="Z295" i="70" l="1"/>
  <c r="AD295" i="70"/>
  <c r="U296" i="70"/>
  <c r="AC296" i="70" s="1"/>
  <c r="Y295" i="70"/>
  <c r="AA295" i="70"/>
  <c r="Z296" i="70" l="1"/>
  <c r="AD296" i="70"/>
  <c r="AA296" i="70"/>
  <c r="Y296" i="70"/>
  <c r="U297" i="70"/>
  <c r="AC297" i="70" s="1"/>
  <c r="Z297" i="70" l="1"/>
  <c r="AD297" i="70"/>
  <c r="U298" i="70"/>
  <c r="AC298" i="70" s="1"/>
  <c r="Y297" i="70"/>
  <c r="AA297" i="70"/>
  <c r="Z298" i="70" l="1"/>
  <c r="AD298" i="70"/>
  <c r="U299" i="70"/>
  <c r="AC299" i="70" s="1"/>
  <c r="AA298" i="70"/>
  <c r="Y298" i="70"/>
  <c r="Z299" i="70" l="1"/>
  <c r="AD299" i="70"/>
  <c r="U300" i="70"/>
  <c r="AC300" i="70" s="1"/>
  <c r="AA299" i="70"/>
  <c r="Y299" i="70"/>
  <c r="Z300" i="70" l="1"/>
  <c r="AD300" i="70"/>
  <c r="U301" i="70"/>
  <c r="AC301" i="70" s="1"/>
  <c r="AA300" i="70"/>
  <c r="Y300" i="70"/>
  <c r="Z301" i="70" l="1"/>
  <c r="AD301" i="70"/>
  <c r="Y301" i="70"/>
  <c r="AA301" i="70"/>
  <c r="U302" i="70"/>
  <c r="AC302" i="70" s="1"/>
  <c r="Z302" i="70" l="1"/>
  <c r="AA302" i="70"/>
  <c r="Y302" i="70"/>
  <c r="U303" i="70"/>
  <c r="AD302" i="70" l="1"/>
  <c r="AD1" i="70" s="1"/>
  <c r="AC1" i="70"/>
  <c r="AA303" i="70"/>
  <c r="Y303" i="70"/>
  <c r="Z303" i="70"/>
  <c r="U304" i="70"/>
  <c r="N101" i="10" l="1"/>
  <c r="N92" i="10"/>
  <c r="N74" i="10"/>
  <c r="N83" i="10"/>
  <c r="Q39" i="10"/>
  <c r="Y304" i="70"/>
  <c r="Z304" i="70"/>
  <c r="AA304" i="70"/>
  <c r="U305" i="70"/>
  <c r="F2" i="10" l="1"/>
  <c r="G2" i="10" s="1"/>
  <c r="F5" i="10"/>
  <c r="AA305" i="70"/>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l="1"/>
  <c r="AN44" i="70" s="1"/>
  <c r="AB335" i="70"/>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A201" i="70"/>
  <c r="AA206" i="70"/>
  <c r="AA27" i="70"/>
  <c r="AA184" i="70"/>
  <c r="AA28" i="70"/>
  <c r="AA190" i="70"/>
  <c r="AA202" i="70"/>
  <c r="AA18" i="70"/>
  <c r="AA6" i="70"/>
  <c r="AA189" i="70"/>
  <c r="AA9" i="70"/>
  <c r="AA13" i="70"/>
  <c r="AA23" i="70"/>
  <c r="AA11" i="70"/>
  <c r="AA197" i="70"/>
  <c r="AA20" i="70"/>
  <c r="AA185" i="70"/>
  <c r="AA186" i="70"/>
  <c r="AA21" i="70"/>
  <c r="AA191" i="70"/>
  <c r="AA208" i="70"/>
  <c r="AA187" i="70"/>
  <c r="AA211" i="70"/>
  <c r="AA194" i="70"/>
  <c r="AA14" i="70"/>
  <c r="AA207" i="70"/>
  <c r="AA210" i="70"/>
  <c r="AA30" i="70"/>
  <c r="AA196" i="70"/>
  <c r="AA183" i="70"/>
  <c r="AA25" i="70"/>
  <c r="AA5" i="70"/>
  <c r="AA26" i="70"/>
  <c r="AA29" i="70"/>
  <c r="AA8" i="70"/>
  <c r="AA10" i="70"/>
  <c r="AA205" i="70"/>
  <c r="AA16" i="70"/>
  <c r="AA31" i="70"/>
  <c r="AA32" i="70"/>
  <c r="AA4" i="70"/>
  <c r="AA17" i="70"/>
  <c r="AA192" i="70"/>
  <c r="AA24" i="70"/>
  <c r="AA199" i="70"/>
  <c r="AA193" i="70"/>
  <c r="AA198" i="70"/>
  <c r="AA7" i="70"/>
  <c r="AA195" i="70"/>
  <c r="AA200" i="70"/>
  <c r="AA22" i="70"/>
  <c r="AA188" i="70"/>
  <c r="AA15" i="70"/>
  <c r="AA204" i="70"/>
  <c r="AA19" i="70"/>
  <c r="AA3" i="70"/>
  <c r="AA203" i="70"/>
  <c r="AA212" i="70"/>
  <c r="F8" i="4"/>
  <c r="K4" i="5"/>
  <c r="AB138" i="70" l="1"/>
  <c r="AB247" i="70"/>
  <c r="AB114" i="70"/>
  <c r="AB215" i="70"/>
  <c r="AB223" i="70"/>
  <c r="AB75" i="70"/>
  <c r="AB145" i="70"/>
  <c r="AB251" i="70"/>
  <c r="AB92" i="70"/>
  <c r="AB182" i="70"/>
  <c r="AB284" i="70"/>
  <c r="AB217" i="70"/>
  <c r="AB175" i="70"/>
  <c r="AB258" i="70"/>
  <c r="AB261" i="70"/>
  <c r="AB234" i="70"/>
  <c r="AB227" i="70"/>
  <c r="AB95" i="70"/>
  <c r="AB144" i="70"/>
  <c r="AB111" i="70"/>
  <c r="AB260" i="70"/>
  <c r="AB289" i="70"/>
  <c r="AB127" i="70"/>
  <c r="AB101" i="70"/>
  <c r="AB235" i="70"/>
  <c r="AB100" i="70"/>
  <c r="AB277" i="70"/>
  <c r="AB39" i="70"/>
  <c r="AB54" i="70"/>
  <c r="AB268" i="70"/>
  <c r="AB294" i="70"/>
  <c r="AB68" i="70"/>
  <c r="AB292" i="70"/>
  <c r="AB295" i="70"/>
  <c r="AB282" i="70"/>
  <c r="AB52" i="70"/>
  <c r="AB42" i="70"/>
  <c r="AB134" i="70"/>
  <c r="AB233" i="70"/>
  <c r="AB65" i="70"/>
  <c r="AB174" i="70"/>
  <c r="AB125" i="70"/>
  <c r="AB238" i="70"/>
  <c r="AB81" i="70"/>
  <c r="AB118" i="70"/>
  <c r="AB283" i="70"/>
  <c r="AB249" i="70"/>
  <c r="AB46" i="70"/>
  <c r="AB102" i="70"/>
  <c r="AB265" i="70"/>
  <c r="AB216" i="70"/>
  <c r="AB267" i="70"/>
  <c r="AB158" i="70"/>
  <c r="AB119" i="70"/>
  <c r="AB244" i="70"/>
  <c r="AB88" i="70"/>
  <c r="AB286" i="70"/>
  <c r="AB139" i="70"/>
  <c r="AB40" i="70"/>
  <c r="AB298" i="70"/>
  <c r="AB254" i="70"/>
  <c r="AB157" i="70"/>
  <c r="AB99" i="70"/>
  <c r="AB160" i="70"/>
  <c r="AB219" i="70"/>
  <c r="AB76" i="70"/>
  <c r="AB120" i="70"/>
  <c r="AB104" i="70"/>
  <c r="AB91" i="70"/>
  <c r="AB142" i="70"/>
  <c r="AB106" i="70"/>
  <c r="AB141" i="70"/>
  <c r="AB105" i="70"/>
  <c r="AB74" i="70"/>
  <c r="AB220" i="70"/>
  <c r="AB300" i="70"/>
  <c r="AB230" i="70"/>
  <c r="AB165" i="70"/>
  <c r="AB44" i="70"/>
  <c r="AB240" i="70"/>
  <c r="AB171" i="70"/>
  <c r="AB72" i="70"/>
  <c r="AB51" i="70"/>
  <c r="AB128" i="70"/>
  <c r="AB213" i="70"/>
  <c r="AB110" i="70"/>
  <c r="AB159" i="70"/>
  <c r="AB224" i="70"/>
  <c r="AB156" i="70"/>
  <c r="AB79" i="70"/>
  <c r="AB43" i="70"/>
  <c r="AB252" i="70"/>
  <c r="AB167" i="70"/>
  <c r="AB78" i="70"/>
  <c r="AB86" i="70"/>
  <c r="AB243" i="70"/>
  <c r="AB301" i="70"/>
  <c r="AB82" i="70"/>
  <c r="AB164" i="70"/>
  <c r="AB221" i="70"/>
  <c r="AB168" i="70"/>
  <c r="AB137" i="70"/>
  <c r="AB257" i="70"/>
  <c r="AB113" i="70"/>
  <c r="AB94" i="70"/>
  <c r="AB166" i="70"/>
  <c r="AB135" i="70"/>
  <c r="AB288" i="70"/>
  <c r="AB133" i="70"/>
  <c r="AB255" i="70"/>
  <c r="AB36" i="70"/>
  <c r="AB57" i="70"/>
  <c r="AB245" i="70"/>
  <c r="AB271" i="70"/>
  <c r="AB163" i="70"/>
  <c r="AB62" i="70"/>
  <c r="AB122" i="70"/>
  <c r="AB55" i="70"/>
  <c r="AB93" i="70"/>
  <c r="AB152" i="70"/>
  <c r="AB50" i="70"/>
  <c r="AB253" i="70"/>
  <c r="AB73" i="70"/>
  <c r="AB262" i="70"/>
  <c r="AB146" i="70"/>
  <c r="AB279" i="70"/>
  <c r="AB70" i="70"/>
  <c r="AB155" i="70"/>
  <c r="AB89" i="70"/>
  <c r="AB63" i="70"/>
  <c r="AB176" i="70"/>
  <c r="AB37" i="70"/>
  <c r="AB180" i="70"/>
  <c r="AB96" i="70"/>
  <c r="AB38" i="70"/>
  <c r="AB229" i="70"/>
  <c r="AB45" i="70"/>
  <c r="AB280" i="70"/>
  <c r="AB90" i="70"/>
  <c r="AB241" i="70"/>
  <c r="AB256" i="70"/>
  <c r="AB64" i="70"/>
  <c r="AB170" i="70"/>
  <c r="AB214" i="70"/>
  <c r="AB136" i="70"/>
  <c r="AB77" i="70"/>
  <c r="AB132" i="70"/>
  <c r="AB153" i="70"/>
  <c r="AB264" i="70"/>
  <c r="AB179" i="70"/>
  <c r="AB123" i="70"/>
  <c r="AB121" i="70"/>
  <c r="AB116" i="70"/>
  <c r="AB84" i="70"/>
  <c r="AB237" i="70"/>
  <c r="AB109" i="70"/>
  <c r="AB126" i="70"/>
  <c r="AB266" i="70"/>
  <c r="AB173" i="70"/>
  <c r="AB131" i="70"/>
  <c r="AB161" i="70"/>
  <c r="AB61" i="70"/>
  <c r="AB299" i="70"/>
  <c r="AB41" i="70"/>
  <c r="AB259" i="70"/>
  <c r="AB248" i="70"/>
  <c r="AB47" i="70"/>
  <c r="AB98" i="70"/>
  <c r="AB169" i="70"/>
  <c r="AB228" i="70"/>
  <c r="AB226" i="70"/>
  <c r="AB274" i="70"/>
  <c r="AB181" i="70"/>
  <c r="AB250" i="70"/>
  <c r="AB293" i="70"/>
  <c r="AB67" i="70"/>
  <c r="AB273" i="70"/>
  <c r="AB49" i="70"/>
  <c r="AB291" i="70"/>
  <c r="AB130" i="70"/>
  <c r="AB35" i="70"/>
  <c r="AB97" i="70"/>
  <c r="AB272" i="70"/>
  <c r="AB276" i="70"/>
  <c r="AB124" i="70"/>
  <c r="AB154" i="70"/>
  <c r="AB87" i="70"/>
  <c r="AB140" i="70"/>
  <c r="AB80" i="70"/>
  <c r="AB103" i="70"/>
  <c r="AB108" i="70"/>
  <c r="AB148" i="70"/>
  <c r="AB246" i="70"/>
  <c r="AB58" i="70"/>
  <c r="AB48" i="70"/>
  <c r="AB242" i="70"/>
  <c r="AB236" i="70"/>
  <c r="AB34" i="70"/>
  <c r="AB172" i="70"/>
  <c r="AB60" i="70"/>
  <c r="AB302" i="70"/>
  <c r="AB275" i="70"/>
  <c r="AB232" i="70"/>
  <c r="AB225" i="70"/>
  <c r="AB177" i="70"/>
  <c r="AB162" i="70"/>
  <c r="AB178" i="70"/>
  <c r="AB231" i="70"/>
  <c r="AB151" i="70"/>
  <c r="AB33" i="70"/>
  <c r="AB290" i="70"/>
  <c r="AB83" i="70"/>
  <c r="AB59" i="70"/>
  <c r="AB85" i="70"/>
  <c r="AB281" i="70"/>
  <c r="AB53" i="70"/>
  <c r="AB218" i="70"/>
  <c r="AB269" i="70"/>
  <c r="AB69" i="70"/>
  <c r="AB112" i="70"/>
  <c r="AB71" i="70"/>
  <c r="AB107" i="70"/>
  <c r="AB150" i="70"/>
  <c r="AB239" i="70"/>
  <c r="AB143" i="70"/>
  <c r="AB285" i="70"/>
  <c r="AB66" i="70"/>
  <c r="AB147" i="70"/>
  <c r="AB263" i="70"/>
  <c r="AB270" i="70"/>
  <c r="AB278" i="70"/>
  <c r="AB117" i="70"/>
  <c r="AB296" i="70"/>
  <c r="AB297" i="70"/>
  <c r="AB56" i="70"/>
  <c r="AB149" i="70"/>
  <c r="AB222" i="70"/>
  <c r="AB115" i="70"/>
  <c r="AB287" i="70"/>
  <c r="AB129" i="70"/>
  <c r="AB183" i="70"/>
  <c r="AB15" i="70"/>
  <c r="AB199" i="70"/>
  <c r="AB205" i="70"/>
  <c r="AB196" i="70"/>
  <c r="AB208" i="70"/>
  <c r="AB23" i="70"/>
  <c r="AB28" i="70"/>
  <c r="AB188" i="70"/>
  <c r="AB24" i="70"/>
  <c r="AB10" i="70"/>
  <c r="AB30" i="70"/>
  <c r="AB191" i="70"/>
  <c r="AB13" i="70"/>
  <c r="AB184" i="70"/>
  <c r="AB11" i="70"/>
  <c r="AB22" i="70"/>
  <c r="AB192" i="70"/>
  <c r="AB8" i="70"/>
  <c r="AB210" i="70"/>
  <c r="AB21" i="70"/>
  <c r="AB9" i="70"/>
  <c r="AB27" i="70"/>
  <c r="AB12" i="70"/>
  <c r="AB187" i="70"/>
  <c r="AB17" i="70"/>
  <c r="AB29" i="70"/>
  <c r="AB207" i="70"/>
  <c r="AB186" i="70"/>
  <c r="AB189" i="70"/>
  <c r="AB206" i="70"/>
  <c r="AB204" i="70"/>
  <c r="AB190" i="70"/>
  <c r="AB200" i="70"/>
  <c r="AB203" i="70"/>
  <c r="AB195" i="70"/>
  <c r="AB4" i="70"/>
  <c r="AB26" i="70"/>
  <c r="AB14" i="70"/>
  <c r="AB185" i="70"/>
  <c r="AB6" i="70"/>
  <c r="AB201" i="70"/>
  <c r="AB16" i="70"/>
  <c r="AB212" i="70"/>
  <c r="AB3" i="70"/>
  <c r="AB7" i="70"/>
  <c r="AB32" i="70"/>
  <c r="AB5" i="70"/>
  <c r="AB194" i="70"/>
  <c r="AB20" i="70"/>
  <c r="AB18" i="70"/>
  <c r="AB209" i="70"/>
  <c r="AB193" i="70"/>
  <c r="AB19" i="70"/>
  <c r="AB198" i="70"/>
  <c r="AB31" i="70"/>
  <c r="AB25" i="70"/>
  <c r="AB211" i="70"/>
  <c r="AB197" i="70"/>
  <c r="AB202" i="70"/>
  <c r="AB1" i="70" l="1"/>
  <c r="M3" i="10" s="1"/>
  <c r="K4" i="11" s="1"/>
  <c r="AA1" i="70"/>
  <c r="M4" i="10" s="1"/>
  <c r="Y1" i="70"/>
  <c r="E78" i="5" s="1"/>
  <c r="E104" i="5" s="1"/>
  <c r="E143" i="5" s="1"/>
  <c r="L6" i="5" s="1"/>
  <c r="Z1" i="70"/>
  <c r="L4" i="11" l="1"/>
  <c r="I78" i="5"/>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90" authorId="0" shapeId="0" xr:uid="{00000000-0006-0000-0100-000001000000}">
      <text>
        <r>
          <rPr>
            <b/>
            <sz val="8"/>
            <color indexed="81"/>
            <rFont val="Tahoma"/>
            <family val="2"/>
          </rPr>
          <t>Author:</t>
        </r>
        <r>
          <rPr>
            <sz val="8"/>
            <color indexed="81"/>
            <rFont val="Tahoma"/>
            <family val="2"/>
          </rPr>
          <t xml:space="preserve">
fixed
a small Mongoose bug</t>
        </r>
      </text>
    </comment>
    <comment ref="A591"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92"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93"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94"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95"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96"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97"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98"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99"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600"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601"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602"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603"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604"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605"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606"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607"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608"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609"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610"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611"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12"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13"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14"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15"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16"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17"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18"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19"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20"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21"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22"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23"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24"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25"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26"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27"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28"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29"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30"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31"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32"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33"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34"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35"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36"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37"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38"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39"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40"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41"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42"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43"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44"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45"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46"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47"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<sst xmlns="http://schemas.openxmlformats.org/spreadsheetml/2006/main" count="8581" uniqueCount="3282">
  <si>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</si>
  <si>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</si>
  <si>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</si>
  <si>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</si>
  <si>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</si>
  <si>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</si>
  <si>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</si>
  <si>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</si>
  <si>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</si>
  <si>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</si>
  <si>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</si>
  <si>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</si>
  <si>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</si>
  <si>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</si>
  <si>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</si>
  <si>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</si>
  <si>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</si>
  <si>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</si>
  <si>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</si>
  <si>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</si>
  <si>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</si>
  <si>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</si>
  <si>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</si>
  <si>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</si>
  <si>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</si>
  <si>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</si>
  <si>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</si>
  <si>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</si>
  <si>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</si>
  <si>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</si>
  <si>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</si>
  <si>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</si>
  <si>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</si>
  <si>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</si>
  <si>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</si>
  <si>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</si>
  <si>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</si>
  <si>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</si>
  <si>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</si>
  <si>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</si>
  <si>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</si>
  <si>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</si>
  <si>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</si>
  <si>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</si>
  <si>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</si>
  <si>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</si>
  <si>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</si>
  <si>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</si>
  <si>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</si>
  <si>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</si>
  <si>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</si>
  <si>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</si>
  <si>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</si>
  <si>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</si>
  <si>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</si>
  <si>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</si>
  <si>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</si>
  <si>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</si>
  <si>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</si>
  <si>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</si>
  <si>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</si>
  <si>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</si>
  <si>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</si>
  <si>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</si>
  <si>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</si>
  <si>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</si>
  <si>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</si>
  <si>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</si>
  <si>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</si>
  <si>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</si>
  <si>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</si>
  <si>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</si>
  <si>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</si>
  <si>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</si>
  <si>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</si>
  <si>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</si>
  <si>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</si>
  <si>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</si>
  <si>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</si>
  <si>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</si>
  <si>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</si>
  <si>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</si>
  <si>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</si>
  <si>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</si>
  <si>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</si>
  <si>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</si>
  <si>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</si>
  <si>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</si>
  <si>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</si>
  <si>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</si>
  <si>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</si>
  <si>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</si>
  <si>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</si>
  <si>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</si>
  <si>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</si>
  <si>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</si>
  <si>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</si>
  <si>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</si>
  <si>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</si>
  <si>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</si>
  <si>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</si>
  <si>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</si>
  <si>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</si>
  <si>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</si>
  <si>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</si>
  <si>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</si>
  <si>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</si>
  <si>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</si>
  <si>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</si>
  <si>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</si>
  <si>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</si>
  <si>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</si>
  <si>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</si>
  <si>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</si>
  <si>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</si>
  <si>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</si>
  <si>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</si>
  <si>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</si>
  <si>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</si>
  <si>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</si>
  <si>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</si>
  <si>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</si>
  <si>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</si>
  <si>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</si>
  <si>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</si>
  <si>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</si>
  <si>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</si>
  <si>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</si>
  <si>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</si>
  <si>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</si>
  <si>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</si>
  <si>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</si>
  <si>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</si>
  <si>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</si>
  <si>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</si>
  <si>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</si>
  <si>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</si>
  <si>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</si>
  <si>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</si>
  <si>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</si>
  <si>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</si>
  <si>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</si>
  <si>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</si>
  <si>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</si>
  <si>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</si>
  <si>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</si>
  <si>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</si>
  <si>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</si>
  <si>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</si>
  <si>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</si>
  <si>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</si>
  <si>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</si>
  <si>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</si>
  <si>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</si>
  <si>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</si>
  <si>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</si>
  <si>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</si>
  <si>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</si>
  <si>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</si>
  <si>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</si>
  <si>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</si>
  <si>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</si>
  <si>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</si>
  <si>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</si>
  <si>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</si>
  <si>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</si>
  <si>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</si>
  <si>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</si>
  <si>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</si>
  <si>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</si>
  <si>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</si>
  <si>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</si>
  <si>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</si>
  <si>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</si>
  <si>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</si>
  <si>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</si>
  <si>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</si>
  <si>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</si>
  <si>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</si>
  <si>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</si>
  <si>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</si>
  <si>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</si>
  <si>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</si>
  <si>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</si>
  <si>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</si>
  <si>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</si>
  <si>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</si>
  <si>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</si>
  <si>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</si>
  <si>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</si>
  <si>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</si>
  <si>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</si>
  <si>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</si>
  <si>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</si>
  <si>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</si>
  <si>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</si>
  <si>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</si>
  <si>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</si>
  <si>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</si>
  <si>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</si>
  <si>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</si>
  <si>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</si>
  <si>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</si>
  <si>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</si>
  <si>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</si>
  <si>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</si>
  <si>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</si>
  <si>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</si>
  <si>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</si>
  <si>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</si>
  <si>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</si>
  <si>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</si>
  <si>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</si>
  <si>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</si>
  <si>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</si>
  <si>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</si>
  <si>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</si>
  <si>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</si>
  <si>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</si>
  <si>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</si>
  <si>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</si>
  <si>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</si>
  <si>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</si>
  <si>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</si>
  <si>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</si>
  <si>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</si>
  <si>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</si>
  <si>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</si>
  <si>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</si>
  <si>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</si>
  <si>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</si>
  <si>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</si>
  <si>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</si>
  <si>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</si>
  <si>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</si>
  <si>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</si>
  <si>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</si>
  <si>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</si>
  <si>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</si>
  <si>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</si>
  <si>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</si>
  <si>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</si>
  <si>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</si>
  <si>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</si>
  <si>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</si>
  <si>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</si>
  <si>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</si>
  <si>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</si>
  <si>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</si>
  <si>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</si>
  <si>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</si>
  <si>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</si>
  <si>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</si>
  <si>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</si>
  <si>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</si>
  <si>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</si>
  <si>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</si>
  <si>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</si>
  <si>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</si>
  <si>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</si>
  <si>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</si>
  <si>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</si>
  <si>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</si>
  <si>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</si>
  <si>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</si>
  <si>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</si>
  <si>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</si>
  <si>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</si>
  <si>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</si>
  <si>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</si>
  <si>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</si>
  <si>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</si>
  <si>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</si>
  <si>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</si>
  <si>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</si>
  <si>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</si>
  <si>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</si>
  <si>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</si>
  <si>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</si>
  <si>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</si>
  <si>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</si>
  <si>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</si>
  <si>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</si>
  <si>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</si>
  <si>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</si>
  <si>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</si>
  <si>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</si>
  <si>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</si>
  <si>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</si>
  <si>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</si>
  <si>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</si>
  <si>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</si>
  <si>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</si>
  <si>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</si>
  <si>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</si>
  <si>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</si>
  <si>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</si>
  <si>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</si>
  <si>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</si>
  <si>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</si>
  <si>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</si>
  <si>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</si>
  <si>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</si>
  <si>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</si>
  <si>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</si>
  <si>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</si>
  <si>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</si>
  <si>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</si>
  <si>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</si>
  <si>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</si>
  <si>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</si>
  <si>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</si>
  <si>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</si>
  <si>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</si>
  <si>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</si>
  <si>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</si>
  <si>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</si>
  <si>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</si>
  <si>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</si>
  <si>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</si>
  <si>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</si>
  <si>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</si>
  <si>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</si>
  <si>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</si>
  <si>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</si>
  <si>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</si>
  <si>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</si>
  <si>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</si>
  <si>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</si>
  <si>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</si>
  <si>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</si>
  <si>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</si>
  <si>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</si>
  <si>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</si>
  <si>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</si>
  <si>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</si>
  <si>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</si>
  <si>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</si>
  <si>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</si>
  <si>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</si>
  <si>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</si>
  <si>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</si>
  <si>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</si>
  <si>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</si>
  <si>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</si>
  <si>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</si>
  <si>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</si>
  <si>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</si>
  <si>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</si>
  <si>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</si>
  <si>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</si>
  <si>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</si>
  <si>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</si>
  <si>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</si>
  <si>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</si>
  <si>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</si>
  <si>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</si>
  <si>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</si>
  <si>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</si>
  <si>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</si>
  <si>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</si>
  <si>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</si>
  <si>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</si>
  <si>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</si>
  <si>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</si>
  <si>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</si>
  <si>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</si>
  <si>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</si>
  <si>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</si>
  <si>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</si>
  <si>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</si>
  <si>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</si>
  <si>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</si>
  <si>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</si>
  <si>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</si>
  <si>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</si>
  <si>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</si>
  <si>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</si>
  <si>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</si>
  <si>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</si>
  <si>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</si>
  <si>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</si>
  <si>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</si>
  <si>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</si>
  <si>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</si>
  <si>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</si>
  <si>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</si>
  <si>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</si>
  <si>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</si>
  <si>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</si>
  <si>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</si>
  <si>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</si>
  <si>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</si>
  <si>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</si>
  <si>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</si>
  <si>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</si>
  <si>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</si>
  <si>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</si>
  <si>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</si>
  <si>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</si>
  <si>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</si>
  <si>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</si>
  <si>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</si>
  <si>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</si>
  <si>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</si>
  <si>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</si>
  <si>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</si>
  <si>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</si>
  <si>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</si>
  <si>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</si>
  <si>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</si>
  <si>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</si>
  <si>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</si>
  <si>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</si>
  <si>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</si>
  <si>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</si>
  <si>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</si>
  <si>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</si>
  <si>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</si>
  <si>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</si>
  <si>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</si>
  <si>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</si>
  <si>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</si>
  <si>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</si>
  <si>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</si>
  <si>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</si>
  <si>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</si>
  <si>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</si>
  <si>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</si>
  <si>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</si>
  <si>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</si>
  <si>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</si>
  <si>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</si>
  <si>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</si>
  <si>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</si>
  <si>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</si>
  <si>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</si>
  <si>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</si>
  <si>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</si>
  <si>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</si>
  <si>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</si>
  <si>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</si>
  <si>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</si>
  <si>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</si>
  <si>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</si>
  <si>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</si>
  <si>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</si>
  <si>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</si>
  <si>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</si>
  <si>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</si>
  <si>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</si>
  <si>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</si>
  <si>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</si>
  <si>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</si>
  <si>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</si>
  <si>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</si>
  <si>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</si>
  <si>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</si>
  <si>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</si>
  <si>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</si>
  <si>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</si>
  <si>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</si>
  <si>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</si>
  <si>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</si>
  <si>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</si>
  <si>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</si>
  <si>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</si>
  <si>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</si>
  <si>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</si>
  <si>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</si>
  <si>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</si>
  <si>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</si>
  <si>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</si>
  <si>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</si>
  <si>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</si>
  <si>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</si>
  <si>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</si>
  <si>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</si>
  <si>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</si>
  <si>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</si>
  <si>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</si>
  <si>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</si>
  <si>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</si>
  <si>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</si>
  <si>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</si>
  <si>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</si>
  <si>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</si>
  <si>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</si>
  <si>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</si>
  <si>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</si>
  <si>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</si>
  <si>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</si>
  <si>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</si>
  <si>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</si>
  <si>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</si>
  <si>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</si>
  <si>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</si>
  <si>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</si>
  <si>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</si>
  <si>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</si>
  <si>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</si>
  <si>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</si>
  <si>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</si>
  <si>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</si>
  <si>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</si>
  <si>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</si>
  <si>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</si>
  <si>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</si>
  <si>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</si>
  <si>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</si>
  <si>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</si>
  <si>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</si>
  <si>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</si>
  <si>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</si>
  <si>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</si>
  <si>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</si>
  <si>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</si>
  <si>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</si>
  <si>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</si>
  <si>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</si>
  <si>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</si>
  <si>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</si>
  <si>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</si>
  <si>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</si>
  <si>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</si>
  <si>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</si>
  <si>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</si>
  <si>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</si>
  <si>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</si>
  <si>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</si>
  <si>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</si>
  <si>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</si>
  <si>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</si>
  <si>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</si>
  <si>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</si>
  <si>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</si>
  <si>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</si>
  <si>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</si>
  <si>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</si>
  <si>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</si>
  <si>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</si>
  <si>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</si>
  <si>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</si>
  <si>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</si>
  <si>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</si>
  <si>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</si>
  <si>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</si>
  <si>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</si>
  <si>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</si>
  <si>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</si>
  <si>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</si>
  <si>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</si>
  <si>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</si>
  <si>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</si>
  <si>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</si>
  <si>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</si>
  <si>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</si>
  <si>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</si>
  <si>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</si>
  <si>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</si>
  <si>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</si>
  <si>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</si>
  <si>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</si>
  <si>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</si>
  <si>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</si>
  <si>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</si>
  <si>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</si>
  <si>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</si>
  <si>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</si>
  <si>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</si>
  <si>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</si>
  <si>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</si>
  <si>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</si>
  <si>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</si>
  <si>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</si>
  <si>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</si>
  <si>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</si>
  <si>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</si>
  <si>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</si>
  <si>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</si>
  <si>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</si>
  <si>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</si>
  <si>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</si>
  <si>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</si>
  <si>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</si>
  <si>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</si>
  <si>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</si>
  <si>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</si>
  <si>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</si>
  <si>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</si>
  <si>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</si>
  <si>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</si>
  <si>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</si>
  <si>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</si>
  <si>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</si>
  <si>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</si>
  <si>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</si>
  <si>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</si>
  <si>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</si>
  <si>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</si>
  <si>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</si>
  <si>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</si>
  <si>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</si>
  <si>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</si>
  <si>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</si>
  <si>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</si>
  <si>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</si>
  <si>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</si>
  <si>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</si>
  <si>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</si>
  <si>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</si>
  <si>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</si>
  <si>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</si>
  <si>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</si>
  <si>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</si>
  <si>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</si>
  <si>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</si>
  <si>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</si>
  <si>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</si>
  <si>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</si>
  <si>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</si>
  <si>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</si>
  <si>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</si>
  <si>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</si>
  <si>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</si>
  <si>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</si>
  <si>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</si>
  <si>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</si>
  <si>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</si>
  <si>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</si>
  <si>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</si>
  <si>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</si>
  <si>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</si>
  <si>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</si>
  <si>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</si>
  <si>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</si>
  <si>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</si>
  <si>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</si>
  <si>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</si>
  <si>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</si>
  <si>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</si>
  <si>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</si>
  <si>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</si>
  <si>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</si>
  <si>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</si>
  <si>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</si>
  <si>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</si>
  <si>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</si>
  <si>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</si>
  <si>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</si>
  <si>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</si>
  <si>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</si>
  <si>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</si>
  <si>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</si>
  <si>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</si>
  <si>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</si>
  <si>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</si>
  <si>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</si>
  <si>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</si>
  <si>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</si>
  <si>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</si>
  <si>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</si>
  <si>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</si>
  <si>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</si>
  <si>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</si>
  <si>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</si>
  <si>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</si>
  <si>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</si>
  <si>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</si>
  <si>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</si>
  <si>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</si>
  <si>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</si>
  <si>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</si>
  <si>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</si>
  <si>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</si>
  <si>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</si>
  <si>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</si>
  <si>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</si>
  <si>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</si>
  <si>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</si>
  <si>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</si>
  <si>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</si>
  <si>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</si>
  <si>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</si>
  <si>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</si>
  <si>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</si>
  <si>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</si>
  <si>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</si>
  <si>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</si>
  <si>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</si>
  <si>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</si>
  <si>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</si>
  <si>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</si>
  <si>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</si>
  <si>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</si>
  <si>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</si>
  <si>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</si>
  <si>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</si>
  <si>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</si>
  <si>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</si>
  <si>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</si>
  <si>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</si>
  <si>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</si>
  <si>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</si>
  <si>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</si>
  <si>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</si>
  <si>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</si>
  <si>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</si>
  <si>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</si>
  <si>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</si>
  <si>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</si>
  <si>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</si>
  <si>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</si>
  <si>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</si>
  <si>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</si>
  <si>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</si>
  <si>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</si>
  <si>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</si>
  <si>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</si>
  <si>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</si>
  <si>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</si>
  <si>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</si>
  <si>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</si>
  <si>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</si>
  <si>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</si>
  <si>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</si>
  <si>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</si>
  <si>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</si>
  <si>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</si>
  <si>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</si>
  <si>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</si>
  <si>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</si>
  <si>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</si>
  <si>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</si>
  <si>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</si>
  <si>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</si>
  <si>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</si>
  <si>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</si>
  <si>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</si>
  <si>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</si>
  <si>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</si>
  <si>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</si>
  <si>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</si>
  <si>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</si>
  <si>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</si>
  <si>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</si>
  <si>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</si>
  <si>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</si>
  <si>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</si>
  <si>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</si>
  <si>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</si>
  <si>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</si>
  <si>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</si>
  <si>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</si>
  <si>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</si>
  <si>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</si>
  <si>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</si>
  <si>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</si>
  <si>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</si>
  <si>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</si>
  <si>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</si>
  <si>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</si>
  <si>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</si>
  <si>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</si>
  <si>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</si>
  <si>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</si>
  <si>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</si>
  <si>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</si>
  <si>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</si>
  <si>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</si>
  <si>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</si>
  <si>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</si>
  <si>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</si>
  <si>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</si>
  <si>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</si>
  <si>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</si>
  <si>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</si>
  <si>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</si>
  <si>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</si>
  <si>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</si>
  <si>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</si>
  <si>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</si>
  <si>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</si>
  <si>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</si>
  <si>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</si>
  <si>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</si>
  <si>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</si>
  <si>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</si>
  <si>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</si>
  <si>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</si>
  <si>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</si>
  <si>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</si>
  <si>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</si>
  <si>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</si>
  <si>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</si>
  <si>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</si>
  <si>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</si>
  <si>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</si>
  <si>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</si>
  <si>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</si>
  <si>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</si>
  <si>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</si>
  <si>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</si>
  <si>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</si>
  <si>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</si>
  <si>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</si>
  <si>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</si>
  <si>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</si>
  <si>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</si>
  <si>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</si>
  <si>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</si>
  <si>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</si>
  <si>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</si>
  <si>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</si>
  <si>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</si>
  <si>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</si>
  <si>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</si>
  <si>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</si>
  <si>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</si>
  <si>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</si>
  <si>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</si>
  <si>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</si>
  <si>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</si>
  <si>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</si>
  <si>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</si>
  <si>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</si>
  <si>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</si>
  <si>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</si>
  <si>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</si>
  <si>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</si>
  <si>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</si>
  <si>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</si>
  <si>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</si>
  <si>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</si>
  <si>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</si>
  <si>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</si>
  <si>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</si>
  <si>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</si>
  <si>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</si>
  <si>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</si>
  <si>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</si>
  <si>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</si>
  <si>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</si>
  <si>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</si>
  <si>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</si>
  <si>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</si>
  <si>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</si>
  <si>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</si>
  <si>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</si>
  <si>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</si>
  <si>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</si>
  <si>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</si>
  <si>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</si>
  <si>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</si>
  <si>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</si>
  <si>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</si>
  <si>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</si>
  <si>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</si>
  <si>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</si>
  <si>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</si>
  <si>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</si>
  <si>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</si>
  <si>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</si>
  <si>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</si>
  <si>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</si>
  <si>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</si>
  <si>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</si>
  <si>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</si>
  <si>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</si>
  <si>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</si>
  <si>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</si>
  <si>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</si>
  <si>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</si>
  <si>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</si>
  <si>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</si>
  <si>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</si>
  <si>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</si>
  <si>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</si>
  <si>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</si>
  <si>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</si>
  <si>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</si>
  <si>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</si>
  <si>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</si>
  <si>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</si>
  <si>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</si>
  <si>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</si>
  <si>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</si>
  <si>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</si>
  <si>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</si>
  <si>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</si>
  <si>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</si>
  <si>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</si>
  <si>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</si>
  <si>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</si>
  <si>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</si>
  <si>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</si>
  <si>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</si>
  <si>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</si>
  <si>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</si>
  <si>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</si>
  <si>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</si>
  <si>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</si>
  <si>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</si>
  <si>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</si>
  <si>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</si>
  <si>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</si>
  <si>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</si>
  <si>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</si>
  <si>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</si>
  <si>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</si>
  <si>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</si>
  <si>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</si>
  <si>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</si>
  <si>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</si>
  <si>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</si>
  <si>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</si>
  <si>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</si>
  <si>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</si>
  <si>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</si>
  <si>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</si>
  <si>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</si>
  <si>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</si>
  <si>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</si>
  <si>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</si>
  <si>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</si>
  <si>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</si>
  <si>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</si>
  <si>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</si>
  <si>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</si>
  <si>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</si>
  <si>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</si>
  <si>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</si>
  <si>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</si>
  <si>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</si>
  <si>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</si>
  <si>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</si>
  <si>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</si>
  <si>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</si>
  <si>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</si>
  <si>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</si>
  <si>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</si>
  <si>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</si>
  <si>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</si>
  <si>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</si>
  <si>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</si>
  <si>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</si>
  <si>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</si>
  <si>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</si>
  <si>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</si>
  <si>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</si>
  <si>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</si>
  <si>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</si>
  <si>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</si>
  <si>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</si>
  <si>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</si>
  <si>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</si>
  <si>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</si>
  <si>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</si>
  <si>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</si>
  <si>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</si>
  <si>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</si>
  <si>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</si>
  <si>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</si>
  <si>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</si>
  <si>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</si>
  <si>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</si>
  <si>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</si>
  <si>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</si>
  <si>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</si>
  <si>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</si>
  <si>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</si>
  <si>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</si>
  <si>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</si>
  <si>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</si>
  <si>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</si>
  <si>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</si>
  <si>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</si>
  <si>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</si>
  <si>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</si>
  <si>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</si>
  <si>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</si>
  <si>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</si>
  <si>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</si>
  <si>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</si>
  <si>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</si>
  <si>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</si>
  <si>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</si>
  <si>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</si>
  <si>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</si>
  <si>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</si>
  <si>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</si>
  <si>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</si>
  <si>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</si>
  <si>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</si>
  <si>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</si>
  <si>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</si>
  <si>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</si>
  <si>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</si>
  <si>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</si>
  <si>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</si>
  <si>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</si>
  <si>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</si>
  <si>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</si>
  <si>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</si>
  <si>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</si>
  <si>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</si>
  <si>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</si>
  <si>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</si>
  <si>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</si>
  <si>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</si>
  <si>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</si>
  <si>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</si>
  <si>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</si>
  <si>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</si>
  <si>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</si>
  <si>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</si>
  <si>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</si>
  <si>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</si>
  <si>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</si>
  <si>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</si>
  <si>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</si>
  <si>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</si>
  <si>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</si>
  <si>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</si>
  <si>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</si>
  <si>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</si>
  <si>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</si>
  <si>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</si>
  <si>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</si>
  <si>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</si>
  <si>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</si>
  <si>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</si>
  <si>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</si>
  <si>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</si>
  <si>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</si>
  <si>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</si>
  <si>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</si>
  <si>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</si>
  <si>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</si>
  <si>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</si>
  <si>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</si>
  <si>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</si>
  <si>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</si>
  <si>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</si>
  <si>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</si>
  <si>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</si>
  <si>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</si>
  <si>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</si>
  <si>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</si>
  <si>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</si>
  <si>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</si>
  <si>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</si>
  <si>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</si>
  <si>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</si>
  <si>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</si>
  <si>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</si>
  <si>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</si>
  <si>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</si>
  <si>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</si>
  <si>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</si>
  <si>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</si>
  <si>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</si>
  <si>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</si>
  <si>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</si>
  <si>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</si>
  <si>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</si>
  <si>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</si>
  <si>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</si>
  <si>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</si>
  <si>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</si>
  <si>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</si>
  <si>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</si>
  <si>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</si>
  <si>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</si>
  <si>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</si>
  <si>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</si>
  <si>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</si>
  <si>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</si>
  <si>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</si>
  <si>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</si>
  <si>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</si>
  <si>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</si>
  <si>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</si>
  <si>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</si>
  <si>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</si>
  <si>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</si>
  <si>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</si>
  <si>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</si>
  <si>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</si>
  <si>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</si>
  <si>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</si>
  <si>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</si>
  <si>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</si>
  <si>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</si>
  <si>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</si>
  <si>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</si>
  <si>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</si>
  <si>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</si>
  <si>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</si>
  <si>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</si>
  <si>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</si>
  <si>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</si>
  <si>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</si>
  <si>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</si>
  <si>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</si>
  <si>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</si>
  <si>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</si>
  <si>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</si>
  <si>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</si>
  <si>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</si>
  <si>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</si>
  <si>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</si>
  <si>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</si>
  <si>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</si>
  <si>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</si>
  <si>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</si>
  <si>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</si>
  <si>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</si>
  <si>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</si>
  <si>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</si>
  <si>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</si>
  <si>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</si>
  <si>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</si>
  <si>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</si>
  <si>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</si>
  <si>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</si>
  <si>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</si>
  <si>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</si>
  <si>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</si>
  <si>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</si>
  <si>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</si>
  <si>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</si>
  <si>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</si>
  <si>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</si>
  <si>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</si>
  <si>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</si>
  <si>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</si>
  <si>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</si>
  <si>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</si>
  <si>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</si>
  <si>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</si>
  <si>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</si>
  <si>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</si>
  <si>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</si>
  <si>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</si>
  <si>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</si>
  <si>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</si>
  <si>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</si>
  <si>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</si>
  <si>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</si>
  <si>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</si>
  <si>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</si>
  <si>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</si>
  <si>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</si>
  <si>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</si>
  <si>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</si>
  <si>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</si>
  <si>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</si>
  <si>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</si>
  <si>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</si>
  <si>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</si>
  <si>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</si>
  <si>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</si>
  <si>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</si>
  <si>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</si>
  <si>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</si>
  <si>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</si>
  <si>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</si>
  <si>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</si>
  <si>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</si>
  <si>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</si>
  <si>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</si>
  <si>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</si>
  <si>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</si>
  <si>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</si>
  <si>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</si>
  <si>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</si>
  <si>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</si>
  <si>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</si>
  <si>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</si>
  <si>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</si>
  <si>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</si>
  <si>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</si>
  <si>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</si>
  <si>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</si>
  <si>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</si>
  <si>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</si>
  <si>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</si>
  <si>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</si>
  <si>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</si>
  <si>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</si>
  <si>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</si>
  <si>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</si>
  <si>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</si>
  <si>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</si>
  <si>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</si>
  <si>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</si>
  <si>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</si>
  <si>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</si>
  <si>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</si>
  <si>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</si>
  <si>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</si>
  <si>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</si>
  <si>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</si>
  <si>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</si>
  <si>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</si>
  <si>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</si>
  <si>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</si>
  <si>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</si>
  <si>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</si>
  <si>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</si>
  <si>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</si>
  <si>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</si>
  <si>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</si>
  <si>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</si>
  <si>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</si>
  <si>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</si>
  <si>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</si>
  <si>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</si>
  <si>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</si>
  <si>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</si>
  <si>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</si>
  <si>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</si>
  <si>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</si>
  <si>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</si>
  <si>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</si>
  <si>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</si>
  <si>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</si>
  <si>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</si>
  <si>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</si>
  <si>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</si>
  <si>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</si>
  <si>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</si>
  <si>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</si>
  <si>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</si>
  <si>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</si>
  <si>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</si>
  <si>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</si>
  <si>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</si>
  <si>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</si>
  <si>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</si>
  <si>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</si>
  <si>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</si>
  <si>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</si>
  <si>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</si>
  <si>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</si>
  <si>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</si>
  <si>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</si>
  <si>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</si>
  <si>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</si>
  <si>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</si>
  <si>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</si>
  <si>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</si>
  <si>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</si>
  <si>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</si>
  <si>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</si>
  <si>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</si>
  <si>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</si>
  <si>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</si>
  <si>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</si>
  <si>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</si>
  <si>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</si>
  <si>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</si>
  <si>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</si>
  <si>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</si>
  <si>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</si>
  <si>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</si>
  <si>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</si>
  <si>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</si>
  <si>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</si>
  <si>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</si>
  <si>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</si>
  <si>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</si>
  <si>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</si>
  <si>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</si>
  <si>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</si>
  <si>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</si>
  <si>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</si>
  <si>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</si>
  <si>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</si>
  <si>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</si>
  <si>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</si>
  <si>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</si>
  <si>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</si>
  <si>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</si>
  <si>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</si>
  <si>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</si>
  <si>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</si>
  <si>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</si>
  <si>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</si>
  <si>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</si>
  <si>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</si>
  <si>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</si>
  <si>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</si>
  <si>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</si>
  <si>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</si>
  <si>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</si>
  <si>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</si>
  <si>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</si>
  <si>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</si>
  <si>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</si>
  <si>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</si>
  <si>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</si>
  <si>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</si>
  <si>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</si>
  <si>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</si>
  <si>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</si>
  <si>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</si>
  <si>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</si>
  <si>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</si>
  <si>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</si>
  <si>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</si>
  <si>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</si>
  <si>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</si>
  <si>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</si>
  <si>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</si>
  <si>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</si>
  <si>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</si>
  <si>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</si>
  <si>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</si>
  <si>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</si>
  <si>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</si>
  <si>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</si>
  <si>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</si>
  <si>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</si>
  <si>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</si>
  <si>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</si>
  <si>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</si>
  <si>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</si>
  <si>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</si>
  <si>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</si>
  <si>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</si>
  <si>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</si>
  <si>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</si>
  <si>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</si>
  <si>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</si>
  <si>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</si>
  <si>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</si>
  <si>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</si>
  <si>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</si>
  <si>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</si>
  <si>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</si>
  <si>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</si>
  <si>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</si>
  <si>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</si>
  <si>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</si>
  <si>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</si>
  <si>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</si>
  <si>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</si>
  <si>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</si>
  <si>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</si>
  <si>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</si>
  <si>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</si>
  <si>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</si>
  <si>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</si>
  <si>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</si>
  <si>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</si>
  <si>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</si>
  <si>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</si>
  <si>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</si>
  <si>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</si>
  <si>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</si>
  <si>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</si>
  <si>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</si>
  <si>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</si>
  <si>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</si>
  <si>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</si>
  <si>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</si>
  <si>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</si>
  <si>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</si>
  <si>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</si>
  <si>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</si>
  <si>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</si>
  <si>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</si>
  <si>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</si>
  <si>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</si>
  <si>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</si>
  <si>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</si>
  <si>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</si>
  <si>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</si>
  <si>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</si>
  <si>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</si>
  <si>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</si>
  <si>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</si>
  <si>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</si>
  <si>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</si>
  <si>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</si>
  <si>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</si>
  <si>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</si>
  <si>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</si>
  <si>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</si>
  <si>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</si>
  <si>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</si>
  <si>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</si>
  <si>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</si>
  <si>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</si>
  <si>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</si>
  <si>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</si>
  <si>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</si>
  <si>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</si>
  <si>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</si>
  <si>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</si>
  <si>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</si>
  <si>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</si>
  <si>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</si>
  <si>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</si>
  <si>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</si>
  <si>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</si>
  <si>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</si>
  <si>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</si>
  <si>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</si>
  <si>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</si>
  <si>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</si>
  <si>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</si>
  <si>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</si>
  <si>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</si>
  <si>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</si>
  <si>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</si>
  <si>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</si>
  <si>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</si>
  <si>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</si>
  <si>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</si>
  <si>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</si>
  <si>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</si>
  <si>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</si>
  <si>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</si>
  <si>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</si>
  <si>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</si>
  <si>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</si>
  <si>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</si>
  <si>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</si>
  <si>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</si>
  <si>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</si>
  <si>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</si>
  <si>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</si>
  <si>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</si>
  <si>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</si>
  <si>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</si>
  <si>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</si>
  <si>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</si>
  <si>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</si>
  <si>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</si>
  <si>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</si>
  <si>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</si>
  <si>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</si>
  <si>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</si>
  <si>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</si>
  <si>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</si>
  <si>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</si>
  <si>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</si>
  <si>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</si>
  <si>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</si>
  <si>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</si>
  <si>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</si>
  <si>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</si>
  <si>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</si>
  <si>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</si>
  <si>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</si>
  <si>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</si>
  <si>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</si>
  <si>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</si>
  <si>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</si>
  <si>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</si>
  <si>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</si>
  <si>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</si>
  <si>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</si>
  <si>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</si>
  <si>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</si>
  <si>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</si>
  <si>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</si>
  <si>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</si>
  <si>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</si>
  <si>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</si>
  <si>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</si>
  <si>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</si>
  <si>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</si>
  <si>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</si>
  <si>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</si>
  <si>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</si>
  <si>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</si>
  <si>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</si>
  <si>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</si>
  <si>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</si>
  <si>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</si>
  <si>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</si>
  <si>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</si>
  <si>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</si>
  <si>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</si>
  <si>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</si>
  <si>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</si>
  <si>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</si>
  <si>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</si>
  <si>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</si>
  <si>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</si>
  <si>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</si>
  <si>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</si>
  <si>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</si>
  <si>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</si>
  <si>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</si>
  <si>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</si>
  <si>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</si>
  <si>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</si>
  <si>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</si>
  <si>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</si>
  <si>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</si>
  <si>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</si>
  <si>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</si>
  <si>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</si>
  <si>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</si>
  <si>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</si>
  <si>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</si>
  <si>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</si>
  <si>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</si>
  <si>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</si>
  <si>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</si>
  <si>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</si>
  <si>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</si>
  <si>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</si>
  <si>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</si>
  <si>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</si>
  <si>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</si>
  <si>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</si>
  <si>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</si>
  <si>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</si>
  <si>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</si>
  <si>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</si>
  <si>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</si>
  <si>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</si>
  <si>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</si>
  <si>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</si>
  <si>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</si>
  <si>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</si>
  <si>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</si>
  <si>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</si>
  <si>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</si>
  <si>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</si>
  <si>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</si>
  <si>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</si>
  <si>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</si>
  <si>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</si>
  <si>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</si>
  <si>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</si>
  <si>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</si>
  <si>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</si>
  <si>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</si>
  <si>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</si>
  <si>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</si>
  <si>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</si>
  <si>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</si>
  <si>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</si>
  <si>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</si>
  <si>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</si>
  <si>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</si>
  <si>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</si>
  <si>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</si>
  <si>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</si>
  <si>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</si>
  <si>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</si>
  <si>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</si>
  <si>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</si>
  <si>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</si>
  <si>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</si>
  <si>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</si>
  <si>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</si>
  <si>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</si>
  <si>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</si>
  <si>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</si>
  <si>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</si>
  <si>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</si>
  <si>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</si>
  <si>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</si>
  <si>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</si>
  <si>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</si>
  <si>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</si>
  <si>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</si>
  <si>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</si>
  <si>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</si>
  <si>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</si>
  <si>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</si>
  <si>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</si>
  <si>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</si>
  <si>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</si>
  <si>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</si>
  <si>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</si>
  <si>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</si>
  <si>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</si>
  <si>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</si>
  <si>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</si>
  <si>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</si>
  <si>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</si>
  <si>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</si>
  <si>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</si>
  <si>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</si>
  <si>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</si>
  <si>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</si>
  <si>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</si>
  <si>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</si>
  <si>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</si>
  <si>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</si>
  <si>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</si>
  <si>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</si>
  <si>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</si>
  <si>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</si>
  <si>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</si>
  <si>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</si>
  <si>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</si>
  <si>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</si>
  <si>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</si>
  <si>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</si>
  <si>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</si>
  <si>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</si>
  <si>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</si>
  <si>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</si>
  <si>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</si>
  <si>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</si>
  <si>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</si>
  <si>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</si>
  <si>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</si>
  <si>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</si>
  <si>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</si>
  <si>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</si>
  <si>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</si>
  <si>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</si>
  <si>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</si>
  <si>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</si>
  <si>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</si>
  <si>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</si>
  <si>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</si>
  <si>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</si>
  <si>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</si>
  <si>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</si>
  <si>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</si>
  <si>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</si>
  <si>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</si>
  <si>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</si>
  <si>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</si>
  <si>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</si>
  <si>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</si>
  <si>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</si>
  <si>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</si>
  <si>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</si>
  <si>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</si>
  <si>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</si>
  <si>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</si>
  <si>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</si>
  <si>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</si>
  <si>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</si>
  <si>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</si>
  <si>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</si>
  <si>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</si>
  <si>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</si>
  <si>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</si>
  <si>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</si>
  <si>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</si>
  <si>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</si>
  <si>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</si>
  <si>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</si>
  <si>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</si>
  <si>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</si>
  <si>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</si>
  <si>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</si>
  <si>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</si>
  <si>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</si>
  <si>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</si>
  <si>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</si>
  <si>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</si>
  <si>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</si>
  <si>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</si>
  <si>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</si>
  <si>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</si>
  <si>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</si>
  <si>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</si>
  <si>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</si>
  <si>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</si>
  <si>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</si>
  <si>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</si>
  <si>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</si>
  <si>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</si>
  <si>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</si>
  <si>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</si>
  <si>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</si>
  <si>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</si>
  <si>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</si>
  <si>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</si>
  <si>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</si>
  <si>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</si>
  <si>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</si>
  <si>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</si>
  <si>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</si>
  <si>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</si>
  <si>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</si>
  <si>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</si>
  <si>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</si>
  <si>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</si>
  <si>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</si>
  <si>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</si>
  <si>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</si>
  <si>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</si>
  <si>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</si>
  <si>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</si>
  <si>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</si>
  <si>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</si>
  <si>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</si>
  <si>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</si>
  <si>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</si>
  <si>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</si>
  <si>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</si>
  <si>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</si>
  <si>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</si>
  <si>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</si>
  <si>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</si>
  <si>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</si>
  <si>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</si>
  <si>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</si>
  <si>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</si>
  <si>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</si>
  <si>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</si>
  <si>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</si>
  <si>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</si>
  <si>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</si>
  <si>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</si>
  <si>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</si>
  <si>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</si>
  <si>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</si>
  <si>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</si>
  <si>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</si>
  <si>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</si>
  <si>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</si>
  <si>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</si>
  <si>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</si>
  <si>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</si>
  <si>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</si>
  <si>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</si>
  <si>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</si>
  <si>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</si>
  <si>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</si>
  <si>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</si>
  <si>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</si>
  <si>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</si>
  <si>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</si>
  <si>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</si>
  <si>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</si>
  <si>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</si>
  <si>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</si>
  <si>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</si>
  <si>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</si>
  <si>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</si>
  <si>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</si>
  <si>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</si>
  <si>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</si>
  <si>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</si>
  <si>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</si>
  <si>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</si>
  <si>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</si>
  <si>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</si>
  <si>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</si>
  <si>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</si>
  <si>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</si>
  <si>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</si>
  <si>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</si>
  <si>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</si>
  <si>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</si>
  <si>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</si>
  <si>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</si>
  <si>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</si>
  <si>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</si>
  <si>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</si>
  <si>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</si>
  <si>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</si>
  <si>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</si>
  <si>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</si>
  <si>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</si>
  <si>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</si>
  <si>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</si>
  <si>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</si>
  <si>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</si>
  <si>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</si>
  <si>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</si>
  <si>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</si>
  <si>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</si>
  <si>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</si>
  <si>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</si>
  <si>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</si>
  <si>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</si>
  <si>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</si>
  <si>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</si>
  <si>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</si>
  <si>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</si>
  <si>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</si>
  <si>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</si>
  <si>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</si>
  <si>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</si>
  <si>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</si>
  <si>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</si>
  <si>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</si>
  <si>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</si>
  <si>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</si>
  <si>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</si>
  <si>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</si>
  <si>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</si>
  <si>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</si>
  <si>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</si>
  <si>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</si>
  <si>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</si>
  <si>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</si>
  <si>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</si>
  <si>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</si>
  <si>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</si>
  <si>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</si>
  <si>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</si>
  <si>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</si>
  <si>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</si>
  <si>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</si>
  <si>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</si>
  <si>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</si>
  <si>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</si>
  <si>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</si>
  <si>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</si>
  <si>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</si>
  <si>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</si>
  <si>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</si>
  <si>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</si>
  <si>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</si>
  <si>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</si>
  <si>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</si>
  <si>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</si>
  <si>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</si>
  <si>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</si>
  <si>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</si>
  <si>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</si>
  <si>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</si>
  <si>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</si>
  <si>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</si>
  <si>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</si>
  <si>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</si>
  <si>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</si>
  <si>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</si>
  <si>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</si>
  <si>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</si>
  <si>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</si>
  <si>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</si>
  <si>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</si>
  <si>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</si>
  <si>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</si>
  <si>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</si>
  <si>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</si>
  <si>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</si>
  <si>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</si>
  <si>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</si>
  <si>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</si>
  <si>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</si>
  <si>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</si>
  <si>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</si>
  <si>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</si>
  <si>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</si>
  <si>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</si>
  <si>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</si>
  <si>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</si>
  <si>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</si>
  <si>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</si>
  <si>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</si>
  <si>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</si>
  <si>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</si>
  <si>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</si>
  <si>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</si>
  <si>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</si>
  <si>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</si>
  <si>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</si>
  <si>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</si>
  <si>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</si>
  <si>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</si>
  <si>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</si>
  <si>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</si>
  <si>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</si>
  <si>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</si>
  <si>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</si>
  <si>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</si>
  <si>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</si>
  <si>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</si>
  <si>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</si>
  <si>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</si>
  <si>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</si>
  <si>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</si>
  <si>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</si>
  <si>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</si>
  <si>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</si>
  <si>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</si>
  <si>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</si>
  <si>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</si>
  <si>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</si>
  <si>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</si>
  <si>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</si>
  <si>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</si>
  <si>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</si>
  <si>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</si>
  <si>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</si>
  <si>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</si>
  <si>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</si>
  <si>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</si>
  <si>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</si>
  <si>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</si>
  <si>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</si>
  <si>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</si>
  <si>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</si>
  <si>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</si>
  <si>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</si>
  <si>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</si>
  <si>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</si>
  <si>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</si>
  <si>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</si>
  <si>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</si>
  <si>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</si>
  <si>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</si>
  <si>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</si>
  <si>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</si>
  <si>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</si>
  <si>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</si>
  <si>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</si>
  <si>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</si>
  <si>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</si>
  <si>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</si>
  <si>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</si>
  <si>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</si>
  <si>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</si>
  <si>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</si>
  <si>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</si>
  <si>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</si>
  <si>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</si>
  <si>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</si>
  <si>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</si>
  <si>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</si>
  <si>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</si>
  <si>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</si>
  <si>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</si>
  <si>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</si>
  <si>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</si>
  <si>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</si>
  <si>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</si>
  <si>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</si>
  <si>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</si>
  <si>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</si>
  <si>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</si>
  <si>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</si>
  <si>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</si>
  <si>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</si>
  <si>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</si>
  <si>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</si>
  <si>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</si>
  <si>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</si>
  <si>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</si>
  <si>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</si>
  <si>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</si>
  <si>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</si>
  <si>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</si>
  <si>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</si>
  <si>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</si>
  <si>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</si>
  <si>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</si>
  <si>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</si>
  <si>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</si>
  <si>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</si>
  <si>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</si>
  <si>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</si>
  <si>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</si>
  <si>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</si>
  <si>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</si>
  <si>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</si>
  <si>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</si>
  <si>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</si>
  <si>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</si>
  <si>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</si>
  <si>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</si>
  <si>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</si>
  <si>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</si>
  <si>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</si>
  <si>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</si>
  <si>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</si>
  <si>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</si>
  <si>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</si>
  <si>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</si>
  <si>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</si>
  <si>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</si>
  <si>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</si>
  <si>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</si>
  <si>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</si>
  <si>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</si>
  <si>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</si>
  <si>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</si>
  <si>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</si>
  <si>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</si>
  <si>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</si>
  <si>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</si>
  <si>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</si>
  <si>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</si>
  <si>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</si>
  <si>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</si>
  <si>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</si>
  <si>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</si>
  <si>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</si>
  <si>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</si>
  <si>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</si>
  <si>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</si>
  <si>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</si>
  <si>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</si>
  <si>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</si>
  <si>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</si>
  <si>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</si>
  <si>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</si>
  <si>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</si>
  <si>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</si>
  <si>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</si>
  <si>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</si>
  <si>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</si>
  <si>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</si>
  <si>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</si>
  <si>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</si>
  <si>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</si>
  <si>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</si>
  <si>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</si>
  <si>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</si>
  <si>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</si>
  <si>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</si>
  <si>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</si>
  <si>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</si>
  <si>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</si>
  <si>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</si>
  <si>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</si>
  <si>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</si>
  <si>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</si>
  <si>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</si>
  <si>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</si>
  <si>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</si>
  <si>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</si>
  <si>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</si>
  <si>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</si>
  <si>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</si>
  <si>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</si>
  <si>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</si>
  <si>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</si>
  <si>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</si>
  <si>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</si>
  <si>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</si>
  <si>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</si>
  <si>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</si>
  <si>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</si>
  <si>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</si>
  <si>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</si>
  <si>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</si>
  <si>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</si>
  <si>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</si>
  <si>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</si>
  <si>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</si>
  <si>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</si>
  <si>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</si>
  <si>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</si>
  <si>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</si>
  <si>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</si>
  <si>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</si>
  <si>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</si>
  <si>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</si>
  <si>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</si>
  <si>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</si>
  <si>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</si>
  <si>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</si>
  <si>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</si>
  <si>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</si>
  <si>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</si>
  <si>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</si>
  <si>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</si>
  <si>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</si>
  <si>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</si>
  <si>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</si>
  <si>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</si>
  <si>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</si>
  <si>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</si>
  <si>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</si>
  <si>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</si>
  <si>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</si>
  <si>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</si>
  <si>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</si>
  <si>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</si>
  <si>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</si>
  <si>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</si>
  <si>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</si>
  <si>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</si>
  <si>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</si>
  <si>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</si>
  <si>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</si>
  <si>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</si>
  <si>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</si>
  <si>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</si>
  <si>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</si>
  <si>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</si>
  <si>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</si>
  <si>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</si>
  <si>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</si>
  <si>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</si>
  <si>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</si>
  <si>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</si>
  <si>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</si>
  <si>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</si>
  <si>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</si>
  <si>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</si>
  <si>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</si>
  <si>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</si>
  <si>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</si>
  <si>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</si>
  <si>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</si>
  <si>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</si>
  <si>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</si>
  <si>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</si>
  <si>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</si>
  <si>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</si>
  <si>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</si>
  <si>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</si>
  <si>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</si>
  <si>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</si>
  <si>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</si>
  <si>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</si>
  <si>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</si>
  <si>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</si>
  <si>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</si>
  <si>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</si>
  <si>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</si>
  <si>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</si>
  <si>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</si>
  <si>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</si>
  <si>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</si>
  <si>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</si>
  <si>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</si>
  <si>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</si>
  <si>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</si>
  <si>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</si>
  <si>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</si>
  <si>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</si>
  <si>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</si>
  <si>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</si>
  <si>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</si>
  <si>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</si>
  <si>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</si>
  <si>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</si>
  <si>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</si>
  <si>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</si>
  <si>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</si>
  <si>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</si>
  <si>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</si>
  <si>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</si>
  <si>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</si>
  <si>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</si>
  <si>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</si>
  <si>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</si>
  <si>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</si>
  <si>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</si>
  <si>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</si>
  <si>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</si>
  <si>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</si>
  <si>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</si>
  <si>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</si>
  <si>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</si>
  <si>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</si>
  <si>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</si>
  <si>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</si>
  <si>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</si>
  <si>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</si>
  <si>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</si>
  <si>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</si>
  <si>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</si>
  <si>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</si>
  <si>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</si>
  <si>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</si>
  <si>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</si>
  <si>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</si>
  <si>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</si>
  <si>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</si>
  <si>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</si>
  <si>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</si>
  <si>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</si>
  <si>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</si>
  <si>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</si>
  <si>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</si>
  <si>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</si>
  <si>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</si>
  <si>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</si>
  <si>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</si>
  <si>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</si>
  <si>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</si>
  <si>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</si>
  <si>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</si>
  <si>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</si>
  <si>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</si>
  <si>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</si>
  <si>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</si>
  <si>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</si>
  <si>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</si>
  <si>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</si>
  <si>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</si>
  <si>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</si>
  <si>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</si>
  <si>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</si>
  <si>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</si>
  <si>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</si>
  <si>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</si>
  <si>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</si>
  <si>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</si>
  <si>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</si>
  <si>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</si>
  <si>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</si>
  <si>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</si>
  <si>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</si>
  <si>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</si>
  <si>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</si>
  <si>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</si>
  <si>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</si>
  <si>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</si>
  <si>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</si>
  <si>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</si>
  <si>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</si>
  <si>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</si>
  <si>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</si>
  <si>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</si>
  <si>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</si>
  <si>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</si>
  <si>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</si>
  <si>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</si>
  <si>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</si>
  <si>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</si>
  <si>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</si>
  <si>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</si>
  <si>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</si>
  <si>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</si>
  <si>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</si>
  <si>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</si>
  <si>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</si>
  <si>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</si>
  <si>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</si>
  <si>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</si>
  <si>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</si>
  <si>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</si>
  <si>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</si>
  <si>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</si>
  <si>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</si>
  <si>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</si>
  <si>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</si>
  <si>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</si>
  <si>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</si>
  <si>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</si>
  <si>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</si>
  <si>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</si>
  <si>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</si>
  <si>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</si>
  <si>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</si>
  <si>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</si>
  <si>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</si>
  <si>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</si>
  <si>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</si>
  <si>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</si>
  <si>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</si>
  <si>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</si>
  <si>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</si>
  <si>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</si>
  <si>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</si>
  <si>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</si>
  <si>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</si>
  <si>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</si>
  <si>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</si>
  <si>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</si>
  <si>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</si>
  <si>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</si>
  <si>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</si>
  <si>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</si>
  <si>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</si>
  <si>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</si>
  <si>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</si>
  <si>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</si>
  <si>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</si>
  <si>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</si>
  <si>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</si>
  <si>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</si>
  <si>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</si>
  <si>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</si>
  <si>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</si>
  <si>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</si>
  <si>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</si>
  <si>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</si>
  <si>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</si>
  <si>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</si>
  <si>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</si>
  <si>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</si>
  <si>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</si>
  <si>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</si>
  <si>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</si>
  <si>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</si>
  <si>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</si>
  <si>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</si>
  <si>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</si>
  <si>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</si>
  <si>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</si>
  <si>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</si>
  <si>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</si>
  <si>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</si>
  <si>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</si>
  <si>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</si>
  <si>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</si>
  <si>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</si>
  <si>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</si>
  <si>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</si>
  <si>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</si>
  <si>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</si>
  <si>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</si>
  <si>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</si>
  <si>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</si>
  <si>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</si>
  <si>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</si>
  <si>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</si>
  <si>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</si>
  <si>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</si>
  <si>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</si>
  <si>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</si>
  <si>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</si>
  <si>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</si>
  <si>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</si>
  <si>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</si>
  <si>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</si>
  <si>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</si>
  <si>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</si>
  <si>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</si>
  <si>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</si>
  <si>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</si>
  <si>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</si>
  <si>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</si>
  <si>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</si>
  <si>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</si>
  <si>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</si>
  <si>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</si>
  <si>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</si>
  <si>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</si>
  <si>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</si>
  <si>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</si>
  <si>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</si>
  <si>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</si>
  <si>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</si>
  <si>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</si>
  <si>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</si>
  <si>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</si>
  <si>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</si>
  <si>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</si>
  <si>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</si>
  <si>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</si>
  <si>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</si>
  <si>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</si>
  <si>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</si>
  <si>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</si>
  <si>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</si>
  <si>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</si>
  <si>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</si>
  <si>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</si>
  <si>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</si>
  <si>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</si>
  <si>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</si>
  <si>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</si>
  <si>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</si>
  <si>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</si>
  <si>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</si>
  <si>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</si>
  <si>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</si>
  <si>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</si>
  <si>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</si>
  <si>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</si>
  <si>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</si>
  <si>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</si>
  <si>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</si>
  <si>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</si>
  <si>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</si>
  <si>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</si>
  <si>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</si>
  <si>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</si>
  <si>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</si>
  <si>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</si>
  <si>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</si>
  <si>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</si>
  <si>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</si>
  <si>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</si>
  <si>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</si>
  <si>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</si>
  <si>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</si>
  <si>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</si>
  <si>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</si>
  <si>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</si>
  <si>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</si>
  <si>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</si>
  <si>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</si>
  <si>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</si>
  <si>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</si>
  <si>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</si>
  <si>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</si>
  <si>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</si>
  <si>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</si>
  <si>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</si>
  <si>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</si>
  <si>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</si>
  <si>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</si>
  <si>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</si>
  <si>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</si>
  <si>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</si>
  <si>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</si>
  <si>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</si>
  <si>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</si>
  <si>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</si>
  <si>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</si>
  <si>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</si>
  <si>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</si>
  <si>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</si>
  <si>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</si>
  <si>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</si>
  <si>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</si>
  <si>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</si>
  <si>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</si>
  <si>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</si>
  <si>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</si>
  <si>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</si>
  <si>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</si>
  <si>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</si>
  <si>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</si>
  <si>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</si>
  <si>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</si>
  <si>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</si>
  <si>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</si>
  <si>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</si>
  <si>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</si>
  <si>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</si>
  <si>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</si>
  <si>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</si>
  <si>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</si>
  <si>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</si>
  <si>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</si>
  <si>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</si>
  <si>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</si>
  <si>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</si>
  <si>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</si>
  <si>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</si>
  <si>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</si>
  <si>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</si>
  <si>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</si>
  <si>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</si>
  <si>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</si>
  <si>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</si>
  <si>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</si>
  <si>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</si>
  <si>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</si>
  <si>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</si>
  <si>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</si>
  <si>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</si>
  <si>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</si>
  <si>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</si>
  <si>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</si>
  <si>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</si>
  <si>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</si>
  <si>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</si>
  <si>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</si>
  <si>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</si>
  <si>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</si>
  <si>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</si>
  <si>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</si>
  <si>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</si>
  <si>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</si>
  <si>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</si>
  <si>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</si>
  <si>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</si>
  <si>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</si>
  <si>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</si>
  <si>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</si>
  <si>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</si>
  <si>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</si>
  <si>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</si>
  <si>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</si>
  <si>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</si>
  <si>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</si>
  <si>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</si>
  <si>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</si>
  <si>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</si>
  <si>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</si>
  <si>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</si>
  <si>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</si>
  <si>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</si>
  <si>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</si>
  <si>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</si>
  <si>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</si>
  <si>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</si>
  <si>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</si>
  <si>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</si>
  <si>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</si>
  <si>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</si>
  <si>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</si>
  <si>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</si>
  <si>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</si>
  <si>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</si>
  <si>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</si>
  <si>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</si>
  <si>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</si>
  <si>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</si>
  <si>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</si>
  <si>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</si>
  <si>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</si>
  <si>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</si>
  <si>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</si>
  <si>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</si>
  <si>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</si>
  <si>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</si>
  <si>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</si>
  <si>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</si>
  <si>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</si>
  <si>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</si>
  <si>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</si>
  <si>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</si>
  <si>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</si>
  <si>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</si>
  <si>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</si>
  <si>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</si>
  <si>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</si>
  <si>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</si>
  <si>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</si>
  <si>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</si>
  <si>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</si>
  <si>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</si>
  <si>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</si>
  <si>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</si>
  <si>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</si>
  <si>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</si>
  <si>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</si>
  <si>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</si>
  <si>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</si>
  <si>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</si>
  <si>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</si>
  <si>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</si>
  <si>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</si>
  <si>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</si>
  <si>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</si>
  <si>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</si>
  <si>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</si>
  <si>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</si>
  <si>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</si>
  <si>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</si>
  <si>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</si>
  <si>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</si>
  <si>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</si>
  <si>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</si>
  <si>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</si>
  <si>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</si>
  <si>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</si>
  <si>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</si>
  <si>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</si>
  <si>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</si>
  <si>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</si>
  <si>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</si>
  <si>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</si>
  <si>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</si>
  <si>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</si>
  <si>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</si>
  <si>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</si>
  <si>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</si>
  <si>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</si>
  <si>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</si>
  <si>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</si>
  <si>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</si>
  <si>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</si>
  <si>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</si>
  <si>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</si>
  <si>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</si>
  <si>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</si>
  <si>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</si>
  <si>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</si>
  <si>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</si>
  <si>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</si>
  <si>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</si>
  <si>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</si>
  <si>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</si>
  <si>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</si>
  <si>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</si>
  <si>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</si>
  <si>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</si>
  <si>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</si>
  <si>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</si>
  <si>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</si>
  <si>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</si>
  <si>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</si>
  <si>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</si>
  <si>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</si>
  <si>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</si>
  <si>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</si>
  <si>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</si>
  <si>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</si>
  <si>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</si>
  <si>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</si>
  <si>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</si>
  <si>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</si>
  <si>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</si>
  <si>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</si>
  <si>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</si>
  <si>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</si>
  <si>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</si>
  <si>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</si>
  <si>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</si>
  <si>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</si>
  <si>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</si>
  <si>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</si>
  <si>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</si>
  <si>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</si>
  <si>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</si>
  <si>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</si>
  <si>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</si>
  <si>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</si>
  <si>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</si>
  <si>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</si>
  <si>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</si>
  <si>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</si>
  <si>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</si>
  <si>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</si>
  <si>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</si>
  <si>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</si>
  <si>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</si>
  <si>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</si>
  <si>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</si>
  <si>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</si>
  <si>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</si>
  <si>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</si>
  <si>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</si>
  <si>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</si>
  <si>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</si>
  <si>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</si>
  <si>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</si>
  <si>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</si>
  <si>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</si>
  <si>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</si>
  <si>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</si>
  <si>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</si>
  <si>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</si>
  <si>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</si>
  <si>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</si>
  <si>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</si>
  <si>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</si>
  <si>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</si>
  <si>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</si>
  <si>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</si>
  <si>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</si>
  <si>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</si>
  <si>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</si>
  <si>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</si>
  <si>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</si>
  <si>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</si>
  <si>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</si>
  <si>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</si>
  <si>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</si>
  <si>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</si>
  <si>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</si>
  <si>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</si>
  <si>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</si>
  <si>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</si>
  <si>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</si>
  <si>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</si>
  <si>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</si>
  <si>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</si>
  <si>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</si>
  <si>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</si>
  <si>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</si>
  <si>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</si>
  <si>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</si>
  <si>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</si>
  <si>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</si>
  <si>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</si>
  <si>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</si>
  <si>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</si>
  <si>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</si>
  <si>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</si>
  <si>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</si>
  <si>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</si>
  <si>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</si>
  <si>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</si>
  <si>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</si>
  <si>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</si>
  <si>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</si>
  <si>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</si>
  <si>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</si>
  <si>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</si>
  <si>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</si>
  <si>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</si>
  <si>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</si>
  <si>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</si>
  <si>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</si>
  <si>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</si>
  <si>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</si>
  <si>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</si>
  <si>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</si>
  <si>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</si>
  <si>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</si>
  <si>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</si>
  <si>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</si>
  <si>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</si>
  <si>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</si>
  <si>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</si>
  <si>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</si>
  <si>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</si>
  <si>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</si>
  <si>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</si>
  <si>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</si>
  <si>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</si>
  <si>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</si>
  <si>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</si>
  <si>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</si>
  <si>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</si>
  <si>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</si>
  <si>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</si>
  <si>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</si>
  <si>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</si>
  <si>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</si>
  <si>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</si>
  <si>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</si>
  <si>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</si>
  <si>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</si>
  <si>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</si>
  <si>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</si>
  <si>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</si>
  <si>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</si>
  <si>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</si>
  <si>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</si>
  <si>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</si>
  <si>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</si>
  <si>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</si>
  <si>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</si>
  <si>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</si>
  <si>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</si>
  <si>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</si>
  <si>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</si>
  <si>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</si>
  <si>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</si>
  <si>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</si>
  <si>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</si>
  <si>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</si>
  <si>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</si>
  <si>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</si>
  <si>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</si>
  <si>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</si>
  <si>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</si>
  <si>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</si>
  <si>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</si>
  <si>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</si>
  <si>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</si>
  <si>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</si>
  <si>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</si>
  <si>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</si>
  <si>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</si>
  <si>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</si>
  <si>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</si>
  <si>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</si>
  <si>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</si>
  <si>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</si>
  <si>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</si>
  <si>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</si>
  <si>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</si>
  <si>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</si>
  <si>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</si>
  <si>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</si>
  <si>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</si>
  <si>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</si>
  <si>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</si>
  <si>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</si>
  <si>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</si>
  <si>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</si>
  <si>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</si>
  <si>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</si>
  <si>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</si>
  <si>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</si>
  <si>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</si>
  <si>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</si>
  <si>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</si>
  <si>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</si>
  <si>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</si>
  <si>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</si>
  <si>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</si>
  <si>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</si>
  <si>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</si>
  <si>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</si>
  <si>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</si>
  <si>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</si>
  <si>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</si>
  <si>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</si>
  <si>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</si>
  <si>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</si>
  <si>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</si>
  <si>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</si>
  <si>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</si>
  <si>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</si>
  <si>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</si>
  <si>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</si>
  <si>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</si>
  <si>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</si>
  <si>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</si>
  <si>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</si>
  <si>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</si>
  <si>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</si>
  <si>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</si>
  <si>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</si>
  <si>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</si>
  <si>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</si>
  <si>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</si>
  <si>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</si>
  <si>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</si>
  <si>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</si>
  <si>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</si>
  <si>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</si>
  <si>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</si>
  <si>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</si>
  <si>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</si>
  <si>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</si>
  <si>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</si>
  <si>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</si>
  <si>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</si>
  <si>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</si>
  <si>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</si>
  <si>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</si>
  <si>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</si>
  <si>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</si>
  <si>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</si>
  <si>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</si>
  <si>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</si>
  <si>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</si>
  <si>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</si>
  <si>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</si>
  <si>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</si>
  <si>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</si>
  <si>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</si>
  <si>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</si>
  <si>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</si>
  <si>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</si>
  <si>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</si>
  <si>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</si>
  <si>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</si>
  <si>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</si>
  <si>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</si>
  <si>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</si>
  <si>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</si>
  <si>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</si>
  <si>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</si>
  <si>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</si>
  <si>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</si>
  <si>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</si>
  <si>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</si>
  <si>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</si>
  <si>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</si>
  <si>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</si>
  <si>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</si>
  <si>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</si>
  <si>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</si>
  <si>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</si>
  <si>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</si>
  <si>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</si>
  <si>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</si>
  <si>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</si>
  <si>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</si>
  <si>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</si>
  <si>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</si>
  <si>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</si>
  <si>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</si>
  <si>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</si>
  <si>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</si>
  <si>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</si>
  <si>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</si>
  <si>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</si>
  <si>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</si>
  <si>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</si>
  <si>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</si>
  <si>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</si>
  <si>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</si>
  <si>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</si>
  <si>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</si>
  <si>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</si>
  <si>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</si>
  <si>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</si>
  <si>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</si>
  <si>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</si>
  <si>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</si>
  <si>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</si>
  <si>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</si>
  <si>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</si>
  <si>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</si>
  <si>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</si>
  <si>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</si>
  <si>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</si>
  <si>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</si>
  <si>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</si>
  <si>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</si>
  <si>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</si>
  <si>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</si>
  <si>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</si>
  <si>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</si>
  <si>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</si>
  <si>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</si>
  <si>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</si>
  <si>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</si>
  <si>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</si>
  <si>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</si>
  <si>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</si>
  <si>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</si>
  <si>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</si>
  <si>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</si>
  <si>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</si>
  <si>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</si>
  <si>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</si>
  <si>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</si>
  <si>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</si>
  <si>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</si>
  <si>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</si>
  <si>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</si>
  <si>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</si>
  <si>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</si>
  <si>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</si>
  <si>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</si>
  <si>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</si>
  <si>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</si>
  <si>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</si>
  <si>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</si>
  <si>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</si>
  <si>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</si>
  <si>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</si>
  <si>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</si>
  <si>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</si>
  <si>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</si>
  <si>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</si>
  <si>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</si>
  <si>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</si>
  <si>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</si>
  <si>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</si>
  <si>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</si>
  <si>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</si>
  <si>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</si>
  <si>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</si>
  <si>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</si>
  <si>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</si>
  <si>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</si>
  <si>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</si>
  <si>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</si>
  <si>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</si>
  <si>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</si>
  <si>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</si>
  <si>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</si>
  <si>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</si>
  <si>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</si>
  <si>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</si>
  <si>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</si>
  <si>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</si>
  <si>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</si>
  <si>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</si>
  <si>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</si>
  <si>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</si>
  <si>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</si>
  <si>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</si>
  <si>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</si>
  <si>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</si>
  <si>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</si>
  <si>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</si>
  <si>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</si>
  <si>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</si>
  <si>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</si>
  <si>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</si>
  <si>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</si>
  <si>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</si>
  <si>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</si>
  <si>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</si>
  <si>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</si>
  <si>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</si>
  <si>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</si>
  <si>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</si>
  <si>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</si>
  <si>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</si>
  <si>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</si>
  <si>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</si>
  <si>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</si>
  <si>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</si>
  <si>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</si>
  <si>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</si>
  <si>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</si>
  <si>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</si>
  <si>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</si>
  <si>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</si>
  <si>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</si>
  <si>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</si>
  <si>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</si>
  <si>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</si>
  <si>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</si>
  <si>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</si>
  <si>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</si>
  <si>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</si>
  <si>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</si>
  <si>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</si>
  <si>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</si>
  <si>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</si>
  <si>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</si>
  <si>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</si>
  <si>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</si>
  <si>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</si>
  <si>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</si>
  <si>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</si>
  <si>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</si>
  <si>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</si>
  <si>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</si>
  <si>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</si>
  <si>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</si>
  <si>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</si>
  <si>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</si>
  <si>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</si>
  <si>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</si>
  <si>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</si>
  <si>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</si>
  <si>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</si>
  <si>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</si>
  <si>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</si>
  <si>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</si>
  <si>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</si>
  <si>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</si>
  <si>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</si>
  <si>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</si>
  <si>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</si>
  <si>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</si>
  <si>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</si>
  <si>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</si>
  <si>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</si>
  <si>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</si>
  <si>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</si>
  <si>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</si>
  <si>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</si>
  <si>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</si>
  <si>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</si>
  <si>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</si>
  <si>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</si>
  <si>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</si>
  <si>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</si>
  <si>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</si>
  <si>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</si>
  <si>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</si>
  <si>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</si>
  <si>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</si>
  <si>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</si>
  <si>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</si>
  <si>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</si>
  <si>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</si>
  <si>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</si>
  <si>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</si>
  <si>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</si>
  <si>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</si>
  <si>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</si>
  <si>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</si>
  <si>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</si>
  <si>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</si>
  <si>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</si>
  <si>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</si>
  <si>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</si>
  <si>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</si>
  <si>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</si>
  <si>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</si>
  <si>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</si>
  <si>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</si>
  <si>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</si>
  <si>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</si>
  <si>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</si>
  <si>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</si>
  <si>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</si>
  <si>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</si>
  <si>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</si>
  <si>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</si>
  <si>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</si>
  <si>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</si>
  <si>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</si>
  <si>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</si>
  <si>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</si>
  <si>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</si>
  <si>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</si>
  <si>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</si>
  <si>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</si>
  <si>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</si>
  <si>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</si>
  <si>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</si>
  <si>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</si>
  <si>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</si>
  <si>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</si>
  <si>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</si>
  <si>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</si>
  <si>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</si>
  <si>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</si>
  <si>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</si>
  <si>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</si>
  <si>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</si>
  <si>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</si>
  <si>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</si>
  <si>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</si>
  <si>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</si>
  <si>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</si>
  <si>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</si>
  <si>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</si>
  <si>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</si>
  <si>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</si>
  <si>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</si>
  <si>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</si>
  <si>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</si>
  <si>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</si>
  <si>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</si>
  <si>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</si>
  <si>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</si>
  <si>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</si>
  <si>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</si>
  <si>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</si>
  <si>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</si>
  <si>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</si>
  <si>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</si>
  <si>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</si>
  <si>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</si>
  <si>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</si>
  <si>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</si>
  <si>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</si>
  <si>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</si>
  <si>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</si>
  <si>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</si>
  <si>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</si>
  <si>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</si>
  <si>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</si>
  <si>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</si>
  <si>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</si>
  <si>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</si>
  <si>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</si>
  <si>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</si>
  <si>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</si>
  <si>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</si>
  <si>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</si>
  <si>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</si>
  <si>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</si>
  <si>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</si>
  <si>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</si>
  <si>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</si>
  <si>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</si>
  <si>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</si>
  <si>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</si>
  <si>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</si>
  <si>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</si>
  <si>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</si>
  <si>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</si>
  <si>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</si>
  <si>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</si>
  <si>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</si>
  <si>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</si>
  <si>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</si>
  <si>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</si>
  <si>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</si>
  <si>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</si>
  <si>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</si>
  <si>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</si>
  <si>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</si>
  <si>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</si>
  <si>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</si>
  <si>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</si>
  <si>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</si>
  <si>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</si>
  <si>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</si>
  <si>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</si>
  <si>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</si>
  <si>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</si>
  <si>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</si>
  <si>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</si>
  <si>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</si>
  <si>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</si>
  <si>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</si>
  <si>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</si>
  <si>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</si>
  <si>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</si>
  <si>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</si>
  <si>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</si>
  <si>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</si>
  <si>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</si>
  <si>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</si>
  <si>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</si>
  <si>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</si>
  <si>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</si>
  <si>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</si>
  <si>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</si>
  <si>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</si>
  <si>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</si>
  <si>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</si>
  <si>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</si>
  <si>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</si>
  <si>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</si>
  <si>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</si>
  <si>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</si>
  <si>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</si>
  <si>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</si>
  <si>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</si>
  <si>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</si>
  <si>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</si>
  <si>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</si>
  <si>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</si>
  <si>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</si>
  <si>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</si>
  <si>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</si>
  <si>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</si>
  <si>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</si>
  <si>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</si>
  <si>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</si>
  <si>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</si>
  <si>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</si>
  <si>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</si>
  <si>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</si>
  <si>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</si>
  <si>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</si>
  <si>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</si>
  <si>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</si>
  <si>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</si>
  <si>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</si>
  <si>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</si>
  <si>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</si>
  <si>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</si>
  <si>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</si>
  <si>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</si>
  <si>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</si>
  <si>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</si>
  <si>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</si>
  <si>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</si>
  <si>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</si>
  <si>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</si>
  <si>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</si>
  <si>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</si>
  <si>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</si>
  <si>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</si>
  <si>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</si>
  <si>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</si>
  <si>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</si>
  <si>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</si>
  <si>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</si>
  <si>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</si>
  <si>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</si>
  <si>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</si>
  <si>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</si>
  <si>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</si>
  <si>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</si>
  <si>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</si>
  <si>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</si>
  <si>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</si>
  <si>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</si>
  <si>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</si>
  <si>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</si>
  <si>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</si>
  <si>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</si>
  <si>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</si>
  <si>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</si>
  <si>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</si>
  <si>
    <t>Compatibility issues within the upgrade macro</t>
  </si>
  <si>
    <t>Regression preventing some enchants to show up</t>
  </si>
  <si>
    <t>Stats on Netherfury Cape</t>
  </si>
  <si>
    <t>Gear Set</t>
  </si>
  <si>
    <t>#</t>
  </si>
  <si>
    <t>Head</t>
  </si>
  <si>
    <t>Wrist</t>
  </si>
  <si>
    <t>Hands</t>
  </si>
  <si>
    <t>Finger #1</t>
  </si>
  <si>
    <t>2pc</t>
  </si>
  <si>
    <t>3pc</t>
  </si>
  <si>
    <t>4pc</t>
  </si>
  <si>
    <t>5pc</t>
  </si>
  <si>
    <t>6pc</t>
  </si>
  <si>
    <t>7pc</t>
  </si>
  <si>
    <t>8pc</t>
  </si>
  <si>
    <t>Assassination 4p (-10e evis)</t>
  </si>
  <si>
    <t>Bonescythe 4p (+5 energy)</t>
  </si>
  <si>
    <t>Bonescythe 8p (reveal flaws)</t>
  </si>
  <si>
    <t>Gladiator</t>
  </si>
  <si>
    <t>Twinblades</t>
  </si>
  <si>
    <t>Gear slot</t>
  </si>
  <si>
    <t>Current item</t>
  </si>
  <si>
    <t>Macro to look for possible upgrades from set bonuses</t>
  </si>
  <si>
    <t>Relentless Earthstorm Diamond moved to phase 1</t>
  </si>
  <si>
    <t>Bonescythe 4pc bonus doesn't grant energy when using mutilate</t>
  </si>
  <si>
    <t>Braided Eternium Chain without the bonus crit</t>
  </si>
  <si>
    <t>Formatting on the % DPS difference</t>
  </si>
  <si>
    <t>The Night Blade armor pen effect not being taken into account</t>
  </si>
  <si>
    <t>Issue where on use haste trinkets were not receiving the bonus haste when combined with other on use</t>
  </si>
  <si>
    <t>Trying to import a sheet with the same file name will inform the user about the error</t>
  </si>
  <si>
    <t>Some items being listed multiple times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</si>
</sst>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2">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
      <b/>
      <sz val="10"/>
      <color theme="1"/>
      <name val="Arial"/>
      <family val="2"/>
      <scheme val="minor"/>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9">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medium">
        <color indexed="64"/>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92">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5" fillId="7" borderId="56" xfId="0" applyFont="1" applyFill="1" applyBorder="1" applyAlignment="1">
      <alignment horizontal="center"/>
    </xf>
    <xf numFmtId="0" fontId="5" fillId="7" borderId="57" xfId="0" applyFont="1" applyFill="1" applyBorder="1" applyAlignment="1">
      <alignment horizontal="center"/>
    </xf>
    <xf numFmtId="0" fontId="5" fillId="7" borderId="59" xfId="0" applyFont="1" applyFill="1" applyBorder="1" applyAlignment="1">
      <alignment horizontal="center"/>
    </xf>
    <xf numFmtId="0" fontId="2" fillId="30" borderId="0" xfId="0" applyFont="1" applyFill="1" applyBorder="1" applyAlignment="1">
      <alignment horizontal="center"/>
    </xf>
    <xf numFmtId="0" fontId="2" fillId="30" borderId="30" xfId="0" applyFont="1" applyFill="1" applyBorder="1" applyAlignment="1">
      <alignment horizontal="center"/>
    </xf>
    <xf numFmtId="0" fontId="5" fillId="30" borderId="167" xfId="0" applyFont="1" applyFill="1" applyBorder="1" applyAlignment="1"/>
    <xf numFmtId="0" fontId="5" fillId="0" borderId="155" xfId="0" applyFont="1" applyFill="1" applyBorder="1" applyAlignment="1"/>
    <xf numFmtId="0" fontId="5" fillId="0" borderId="151" xfId="0" applyFont="1" applyFill="1" applyBorder="1" applyAlignment="1"/>
    <xf numFmtId="0" fontId="2" fillId="0" borderId="30" xfId="0" applyFont="1" applyBorder="1"/>
    <xf numFmtId="0" fontId="2" fillId="0" borderId="22" xfId="0" applyFont="1" applyBorder="1"/>
    <xf numFmtId="0" fontId="2" fillId="0" borderId="32" xfId="0" applyFont="1" applyBorder="1"/>
    <xf numFmtId="0" fontId="71" fillId="0" borderId="168" xfId="0" applyFont="1" applyBorder="1"/>
    <xf numFmtId="10" fontId="0" fillId="5" borderId="163" xfId="0" applyNumberFormat="1" applyFont="1" applyFill="1" applyBorder="1" applyAlignment="1">
      <alignment horizontal="center"/>
    </xf>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5">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CEFF1"/>
      <color rgb="FFE1F5FE"/>
      <color rgb="FFF1F3F5"/>
      <color rgb="FFFFCCCB"/>
      <color rgb="FFCCFFCC"/>
      <color rgb="FFFFECB3"/>
      <color rgb="FFFFFFFF"/>
      <color rgb="FFF2F7FC"/>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checked="Checked" fmlaLink="Y52" noThreeD="1"/>
</file>

<file path=xl/ctrlProps/ctrlProp25.xml><?xml version="1.0" encoding="utf-8"?>
<formControlPr xmlns="http://schemas.microsoft.com/office/spreadsheetml/2009/9/main" objectType="CheckBox" checked="Checked"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checked="Checked"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checked="Checked"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checked="Checked"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CheckBox" fmlaLink="N24" lockText="1" noThreeD="1"/>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Drop" dropStyle="combo" dx="22" fmlaLink="E10" fmlaRange="TalentBuilds" noThreeD="1" sel="1" val="0"/>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Drop" dropStyle="combo" dx="22" fmlaLink="R10" fmlaRange="OptionBuilds" noThreeD="1" sel="1" val="0"/>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CheckBox" fmlaLink="$N$32" lockText="1" noThreeD="1"/>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Drop" dropStyle="combo" dx="22" fmlaLink="$B$3" fmlaRange="CooldownBuilds" noThreeD="1" sel="1" val="0"/>
</file>

<file path=xl/ctrlProps/ctrlProp95.xml><?xml version="1.0" encoding="utf-8"?>
<formControlPr xmlns="http://schemas.microsoft.com/office/spreadsheetml/2009/9/main" objectType="CheckBox" checked="Checked" fmlaLink="$AQ$56" noThreeD="1"/>
</file>

<file path=xl/ctrlProps/ctrlProp96.xml><?xml version="1.0" encoding="utf-8"?>
<formControlPr xmlns="http://schemas.microsoft.com/office/spreadsheetml/2009/9/main" objectType="CheckBox" checked="Checked" fmlaLink="$AQ$57" noThreeD="1"/>
</file>

<file path=xl/ctrlProps/ctrlProp97.xml><?xml version="1.0" encoding="utf-8"?>
<formControlPr xmlns="http://schemas.microsoft.com/office/spreadsheetml/2009/9/main" objectType="CheckBox" checked="Checked" fmlaLink="$AQ$58" noThreeD="1"/>
</file>

<file path=xl/ctrlProps/ctrlProp98.xml><?xml version="1.0" encoding="utf-8"?>
<formControlPr xmlns="http://schemas.microsoft.com/office/spreadsheetml/2009/9/main" objectType="CheckBox" checked="Checked" fmlaLink="$AQ$59" noThreeD="1"/>
</file>

<file path=xl/ctrlProps/ctrlProp99.xml><?xml version="1.0" encoding="utf-8"?>
<formControlPr xmlns="http://schemas.microsoft.com/office/spreadsheetml/2009/9/main" objectType="CheckBox" checked="Checked" fmlaLink="$AQ$60" noThreeD="1"/>
</file>

<file path=xl/ctrlProps/ctrlProp100.xml><?xml version="1.0" encoding="utf-8"?>
<formControlPr xmlns="http://schemas.microsoft.com/office/spreadsheetml/2009/9/main" objectType="CheckBox" checked="Checked" fmlaLink="$AQ$61" noThreeD="1"/>
</file>

<file path=xl/ctrlProps/ctrlProp101.xml><?xml version="1.0" encoding="utf-8"?>
<formControlPr xmlns="http://schemas.microsoft.com/office/spreadsheetml/2009/9/main" objectType="CheckBox" checked="Checked" fmlaLink="$AQ$62" noThreeD="1"/>
</file>

<file path=xl/ctrlProps/ctrlProp102.xml><?xml version="1.0" encoding="utf-8"?>
<formControlPr xmlns="http://schemas.microsoft.com/office/spreadsheetml/2009/9/main" objectType="CheckBox" checked="Checked" fmlaLink="$AQ$63" noThreeD="1"/>
</file>

<file path=xl/ctrlProps/ctrlProp103.xml><?xml version="1.0" encoding="utf-8"?>
<formControlPr xmlns="http://schemas.microsoft.com/office/spreadsheetml/2009/9/main" objectType="CheckBox" checked="Checked" fmlaLink="$AQ$64" noThreeD="1"/>
</file>

<file path=xl/ctrlProps/ctrlProp104.xml><?xml version="1.0" encoding="utf-8"?>
<formControlPr xmlns="http://schemas.microsoft.com/office/spreadsheetml/2009/9/main" objectType="CheckBox" checked="Checked" fmlaLink="$AQ$65" noThreeD="1"/>
</file>

<file path=xl/ctrlProps/ctrlProp105.xml><?xml version="1.0" encoding="utf-8"?>
<formControlPr xmlns="http://schemas.microsoft.com/office/spreadsheetml/2009/9/main" objectType="CheckBox" checked="Checked" fmlaLink="$AQ$66" noThreeD="1"/>
</file>

<file path=xl/ctrlProps/ctrlProp106.xml><?xml version="1.0" encoding="utf-8"?>
<formControlPr xmlns="http://schemas.microsoft.com/office/spreadsheetml/2009/9/main" objectType="CheckBox" checked="Checked" fmlaLink="$AQ$67" noThreeD="1"/>
</file>

<file path=xl/ctrlProps/ctrlProp107.xml><?xml version="1.0" encoding="utf-8"?>
<formControlPr xmlns="http://schemas.microsoft.com/office/spreadsheetml/2009/9/main" objectType="CheckBox" checked="Checked" fmlaLink="$AQ$68" noThreeD="1"/>
</file>

<file path=xl/ctrlProps/ctrlProp108.xml><?xml version="1.0" encoding="utf-8"?>
<formControlPr xmlns="http://schemas.microsoft.com/office/spreadsheetml/2009/9/main" objectType="CheckBox" checked="Checked" fmlaLink="$AQ$69" noThreeD="1"/>
</file>

<file path=xl/ctrlProps/ctrlProp109.xml><?xml version="1.0" encoding="utf-8"?>
<formControlPr xmlns="http://schemas.microsoft.com/office/spreadsheetml/2009/9/main" objectType="CheckBox" checked="Checked" fmlaLink="$AQ$70" noThreeD="1"/>
</file>

<file path=xl/ctrlProps/ctrlProp110.xml><?xml version="1.0" encoding="utf-8"?>
<formControlPr xmlns="http://schemas.microsoft.com/office/spreadsheetml/2009/9/main" objectType="CheckBox" checked="Checked" fmlaLink="$AQ$71" noThreeD="1"/>
</file>

<file path=xl/ctrlProps/ctrlProp111.xml><?xml version="1.0" encoding="utf-8"?>
<formControlPr xmlns="http://schemas.microsoft.com/office/spreadsheetml/2009/9/main" objectType="CheckBox" checked="Checked" fmlaLink="$AQ$72" noThreeD="1"/>
</file>

<file path=xl/ctrlProps/ctrlProp112.xml><?xml version="1.0" encoding="utf-8"?>
<formControlPr xmlns="http://schemas.microsoft.com/office/spreadsheetml/2009/9/main" objectType="CheckBox" checked="Checked" fmlaLink="$AQ$73" noThreeD="1"/>
</file>

<file path=xl/ctrlProps/ctrlProp113.xml><?xml version="1.0" encoding="utf-8"?>
<formControlPr xmlns="http://schemas.microsoft.com/office/spreadsheetml/2009/9/main" objectType="CheckBox" checked="Checked" fmlaLink="$AQ$74" noThreeD="1"/>
</file>

<file path=xl/ctrlProps/ctrlProp114.xml><?xml version="1.0" encoding="utf-8"?>
<formControlPr xmlns="http://schemas.microsoft.com/office/spreadsheetml/2009/9/main" objectType="CheckBox" checked="Checked" fmlaLink="$AQ$75" noThreeD="1"/>
</file>

<file path=xl/ctrlProps/ctrlProp115.xml><?xml version="1.0" encoding="utf-8"?>
<formControlPr xmlns="http://schemas.microsoft.com/office/spreadsheetml/2009/9/main" objectType="CheckBox" checked="Checked" fmlaLink="$AQ$76" noThreeD="1"/>
</file>

<file path=xl/ctrlProps/ctrlProp116.xml><?xml version="1.0" encoding="utf-8"?>
<formControlPr xmlns="http://schemas.microsoft.com/office/spreadsheetml/2009/9/main" objectType="CheckBox" checked="Checked" fmlaLink="$AQ$77" noThreeD="1"/>
</file>

<file path=xl/ctrlProps/ctrlProp117.xml><?xml version="1.0" encoding="utf-8"?>
<formControlPr xmlns="http://schemas.microsoft.com/office/spreadsheetml/2009/9/main" objectType="CheckBox" checked="Checked" fmlaLink="$AQ$78" noThreeD="1"/>
</file>

<file path=xl/ctrlProps/ctrlProp118.xml><?xml version="1.0" encoding="utf-8"?>
<formControlPr xmlns="http://schemas.microsoft.com/office/spreadsheetml/2009/9/main" objectType="CheckBox" checked="Checked" fmlaLink="$AQ$79" noThreeD="1"/>
</file>

<file path=xl/ctrlProps/ctrlProp119.xml><?xml version="1.0" encoding="utf-8"?>
<formControlPr xmlns="http://schemas.microsoft.com/office/spreadsheetml/2009/9/main" objectType="CheckBox" checked="Checked" fmlaLink="$AQ$80" noThreeD="1"/>
</file>

<file path=xl/ctrlProps/ctrlProp120.xml><?xml version="1.0" encoding="utf-8"?>
<formControlPr xmlns="http://schemas.microsoft.com/office/spreadsheetml/2009/9/main" objectType="CheckBox" checked="Checked" fmlaLink="$AQ$81" noThreeD="1"/>
</file>

<file path=xl/ctrlProps/ctrlProp121.xml><?xml version="1.0" encoding="utf-8"?>
<formControlPr xmlns="http://schemas.microsoft.com/office/spreadsheetml/2009/9/main" objectType="CheckBox" checked="Checked" fmlaLink="$AQ$82" noThreeD="1"/>
</file>

<file path=xl/ctrlProps/ctrlProp122.xml><?xml version="1.0" encoding="utf-8"?>
<formControlPr xmlns="http://schemas.microsoft.com/office/spreadsheetml/2009/9/main" objectType="CheckBox" checked="Checked" fmlaLink="$AQ$83" noThreeD="1"/>
</file>

<file path=xl/ctrlProps/ctrlProp123.xml><?xml version="1.0" encoding="utf-8"?>
<formControlPr xmlns="http://schemas.microsoft.com/office/spreadsheetml/2009/9/main" objectType="CheckBox" checked="Checked" fmlaLink="$AQ$84" noThreeD="1"/>
</file>

<file path=xl/ctrlProps/ctrlProp124.xml><?xml version="1.0" encoding="utf-8"?>
<formControlPr xmlns="http://schemas.microsoft.com/office/spreadsheetml/2009/9/main" objectType="CheckBox" checked="Checked" fmlaLink="$AQ$85" noThreeD="1"/>
</file>

<file path=xl/ctrlProps/ctrlProp125.xml><?xml version="1.0" encoding="utf-8"?>
<formControlPr xmlns="http://schemas.microsoft.com/office/spreadsheetml/2009/9/main" objectType="CheckBox" checked="Checked" fmlaLink="$AQ$86" noThreeD="1"/>
</file>

<file path=xl/ctrlProps/ctrlProp126.xml><?xml version="1.0" encoding="utf-8"?>
<formControlPr xmlns="http://schemas.microsoft.com/office/spreadsheetml/2009/9/main" objectType="CheckBox" checked="Checked" fmlaLink="$AQ$87" noThreeD="1"/>
</file>

<file path=xl/ctrlProps/ctrlProp127.xml><?xml version="1.0" encoding="utf-8"?>
<formControlPr xmlns="http://schemas.microsoft.com/office/spreadsheetml/2009/9/main" objectType="CheckBox" checked="Checked" fmlaLink="$AQ$88" noThreeD="1"/>
</file>

<file path=xl/ctrlProps/ctrlProp128.xml><?xml version="1.0" encoding="utf-8"?>
<formControlPr xmlns="http://schemas.microsoft.com/office/spreadsheetml/2009/9/main" objectType="CheckBox" checked="Checked" fmlaLink="$AQ$89" noThreeD="1"/>
</file>

<file path=xl/ctrlProps/ctrlProp129.xml><?xml version="1.0" encoding="utf-8"?>
<formControlPr xmlns="http://schemas.microsoft.com/office/spreadsheetml/2009/9/main" objectType="CheckBox" checked="Checked" fmlaLink="$AQ$90" noThreeD="1"/>
</file>

<file path=xl/ctrlProps/ctrlProp130.xml><?xml version="1.0" encoding="utf-8"?>
<formControlPr xmlns="http://schemas.microsoft.com/office/spreadsheetml/2009/9/main" objectType="CheckBox" checked="Checked" fmlaLink="$AQ$91" noThreeD="1"/>
</file>

<file path=xl/ctrlProps/ctrlProp131.xml><?xml version="1.0" encoding="utf-8"?>
<formControlPr xmlns="http://schemas.microsoft.com/office/spreadsheetml/2009/9/main" objectType="CheckBox" checked="Checked" fmlaLink="$AQ$92" noThreeD="1"/>
</file>

<file path=xl/ctrlProps/ctrlProp132.xml><?xml version="1.0" encoding="utf-8"?>
<formControlPr xmlns="http://schemas.microsoft.com/office/spreadsheetml/2009/9/main" objectType="CheckBox" checked="Checked" fmlaLink="$AQ$93" noThreeD="1"/>
</file>

<file path=xl/ctrlProps/ctrlProp133.xml><?xml version="1.0" encoding="utf-8"?>
<formControlPr xmlns="http://schemas.microsoft.com/office/spreadsheetml/2009/9/main" objectType="CheckBox" checked="Checked" fmlaLink="$AQ$94" noThreeD="1"/>
</file>

<file path=xl/ctrlProps/ctrlProp134.xml><?xml version="1.0" encoding="utf-8"?>
<formControlPr xmlns="http://schemas.microsoft.com/office/spreadsheetml/2009/9/main" objectType="CheckBox" checked="Checked" fmlaLink="$AQ$95" noThreeD="1"/>
</file>

<file path=xl/ctrlProps/ctrlProp135.xml><?xml version="1.0" encoding="utf-8"?>
<formControlPr xmlns="http://schemas.microsoft.com/office/spreadsheetml/2009/9/main" objectType="CheckBox" checked="Checked" fmlaLink="$AQ$96" noThreeD="1"/>
</file>

<file path=xl/ctrlProps/ctrlProp136.xml><?xml version="1.0" encoding="utf-8"?>
<formControlPr xmlns="http://schemas.microsoft.com/office/spreadsheetml/2009/9/main" objectType="CheckBox" checked="Checked" fmlaLink="$AQ$97" noThreeD="1"/>
</file>

<file path=xl/ctrlProps/ctrlProp137.xml><?xml version="1.0" encoding="utf-8"?>
<formControlPr xmlns="http://schemas.microsoft.com/office/spreadsheetml/2009/9/main" objectType="CheckBox" checked="Checked" fmlaLink="$AQ$98" noThreeD="1"/>
</file>

<file path=xl/ctrlProps/ctrlProp138.xml><?xml version="1.0" encoding="utf-8"?>
<formControlPr xmlns="http://schemas.microsoft.com/office/spreadsheetml/2009/9/main" objectType="CheckBox" checked="Checked" fmlaLink="$AQ$99" noThreeD="1"/>
</file>

<file path=xl/ctrlProps/ctrlProp139.xml><?xml version="1.0" encoding="utf-8"?>
<formControlPr xmlns="http://schemas.microsoft.com/office/spreadsheetml/2009/9/main" objectType="CheckBox" checked="Checked" fmlaLink="$AQ$100" noThreeD="1"/>
</file>

<file path=xl/ctrlProps/ctrlProp140.xml><?xml version="1.0" encoding="utf-8"?>
<formControlPr xmlns="http://schemas.microsoft.com/office/spreadsheetml/2009/9/main" objectType="CheckBox" checked="Checked" fmlaLink="$AQ$102" noThreeD="1"/>
</file>

<file path=xl/ctrlProps/ctrlProp141.xml><?xml version="1.0" encoding="utf-8"?>
<formControlPr xmlns="http://schemas.microsoft.com/office/spreadsheetml/2009/9/main" objectType="CheckBox" checked="Checked" fmlaLink="$AQ$103" noThreeD="1"/>
</file>

<file path=xl/ctrlProps/ctrlProp142.xml><?xml version="1.0" encoding="utf-8"?>
<formControlPr xmlns="http://schemas.microsoft.com/office/spreadsheetml/2009/9/main" objectType="CheckBox" checked="Checked" fmlaLink="$AQ$104" noThreeD="1"/>
</file>

<file path=xl/ctrlProps/ctrlProp143.xml><?xml version="1.0" encoding="utf-8"?>
<formControlPr xmlns="http://schemas.microsoft.com/office/spreadsheetml/2009/9/main" objectType="CheckBox" checked="Checked" fmlaLink="$AQ$105" noThreeD="1"/>
</file>

<file path=xl/ctrlProps/ctrlProp144.xml><?xml version="1.0" encoding="utf-8"?>
<formControlPr xmlns="http://schemas.microsoft.com/office/spreadsheetml/2009/9/main" objectType="CheckBox" checked="Checked" fmlaLink="$AQ$106" noThreeD="1"/>
</file>

<file path=xl/ctrlProps/ctrlProp145.xml><?xml version="1.0" encoding="utf-8"?>
<formControlPr xmlns="http://schemas.microsoft.com/office/spreadsheetml/2009/9/main" objectType="CheckBox" checked="Checked" fmlaLink="$AQ$107" noThreeD="1"/>
</file>

<file path=xl/ctrlProps/ctrlProp146.xml><?xml version="1.0" encoding="utf-8"?>
<formControlPr xmlns="http://schemas.microsoft.com/office/spreadsheetml/2009/9/main" objectType="CheckBox" checked="Checked" fmlaLink="$AQ$108" noThreeD="1"/>
</file>

<file path=xl/ctrlProps/ctrlProp147.xml><?xml version="1.0" encoding="utf-8"?>
<formControlPr xmlns="http://schemas.microsoft.com/office/spreadsheetml/2009/9/main" objectType="CheckBox" checked="Checked" fmlaLink="$AQ$109" noThreeD="1"/>
</file>

<file path=xl/ctrlProps/ctrlProp148.xml><?xml version="1.0" encoding="utf-8"?>
<formControlPr xmlns="http://schemas.microsoft.com/office/spreadsheetml/2009/9/main" objectType="CheckBox" checked="Checked" fmlaLink="$AQ$110" noThreeD="1"/>
</file>

<file path=xl/ctrlProps/ctrlProp149.xml><?xml version="1.0" encoding="utf-8"?>
<formControlPr xmlns="http://schemas.microsoft.com/office/spreadsheetml/2009/9/main" objectType="CheckBox" checked="Checked" fmlaLink="$AQ$111" noThreeD="1"/>
</file>

<file path=xl/ctrlProps/ctrlProp150.xml><?xml version="1.0" encoding="utf-8"?>
<formControlPr xmlns="http://schemas.microsoft.com/office/spreadsheetml/2009/9/main" objectType="CheckBox" checked="Checked" fmlaLink="$AQ$112" noThreeD="1"/>
</file>

<file path=xl/ctrlProps/ctrlProp151.xml><?xml version="1.0" encoding="utf-8"?>
<formControlPr xmlns="http://schemas.microsoft.com/office/spreadsheetml/2009/9/main" objectType="CheckBox" checked="Checked" fmlaLink="$AQ$113" noThreeD="1"/>
</file>

<file path=xl/ctrlProps/ctrlProp152.xml><?xml version="1.0" encoding="utf-8"?>
<formControlPr xmlns="http://schemas.microsoft.com/office/spreadsheetml/2009/9/main" objectType="CheckBox" checked="Checked" fmlaLink="$AQ$114" noThreeD="1"/>
</file>

<file path=xl/ctrlProps/ctrlProp153.xml><?xml version="1.0" encoding="utf-8"?>
<formControlPr xmlns="http://schemas.microsoft.com/office/spreadsheetml/2009/9/main" objectType="CheckBox" checked="Checked" fmlaLink="$AQ$115" noThreeD="1"/>
</file>

<file path=xl/ctrlProps/ctrlProp154.xml><?xml version="1.0" encoding="utf-8"?>
<formControlPr xmlns="http://schemas.microsoft.com/office/spreadsheetml/2009/9/main" objectType="CheckBox" checked="Checked" fmlaLink="$AQ$116" noThreeD="1"/>
</file>

<file path=xl/ctrlProps/ctrlProp155.xml><?xml version="1.0" encoding="utf-8"?>
<formControlPr xmlns="http://schemas.microsoft.com/office/spreadsheetml/2009/9/main" objectType="CheckBox" checked="Checked" fmlaLink="$AQ$117" noThreeD="1"/>
</file>

<file path=xl/ctrlProps/ctrlProp156.xml><?xml version="1.0" encoding="utf-8"?>
<formControlPr xmlns="http://schemas.microsoft.com/office/spreadsheetml/2009/9/main" objectType="CheckBox" checked="Checked" fmlaLink="$AQ$118" noThreeD="1"/>
</file>

<file path=xl/ctrlProps/ctrlProp157.xml><?xml version="1.0" encoding="utf-8"?>
<formControlPr xmlns="http://schemas.microsoft.com/office/spreadsheetml/2009/9/main" objectType="CheckBox" checked="Checked" fmlaLink="$AQ$119" noThreeD="1"/>
</file>

<file path=xl/ctrlProps/ctrlProp158.xml><?xml version="1.0" encoding="utf-8"?>
<formControlPr xmlns="http://schemas.microsoft.com/office/spreadsheetml/2009/9/main" objectType="CheckBox" checked="Checked" fmlaLink="$AQ$120" noThreeD="1"/>
</file>

<file path=xl/ctrlProps/ctrlProp159.xml><?xml version="1.0" encoding="utf-8"?>
<formControlPr xmlns="http://schemas.microsoft.com/office/spreadsheetml/2009/9/main" objectType="CheckBox" checked="Checked" fmlaLink="$AQ$121" noThreeD="1"/>
</file>

<file path=xl/ctrlProps/ctrlProp160.xml><?xml version="1.0" encoding="utf-8"?>
<formControlPr xmlns="http://schemas.microsoft.com/office/spreadsheetml/2009/9/main" objectType="CheckBox" checked="Checked" fmlaLink="$AQ$122" noThreeD="1"/>
</file>

<file path=xl/ctrlProps/ctrlProp161.xml><?xml version="1.0" encoding="utf-8"?>
<formControlPr xmlns="http://schemas.microsoft.com/office/spreadsheetml/2009/9/main" objectType="CheckBox" checked="Checked" fmlaLink="$AQ$123" noThreeD="1"/>
</file>

<file path=xl/ctrlProps/ctrlProp162.xml><?xml version="1.0" encoding="utf-8"?>
<formControlPr xmlns="http://schemas.microsoft.com/office/spreadsheetml/2009/9/main" objectType="CheckBox" checked="Checked" fmlaLink="$AQ$124" noThreeD="1"/>
</file>

<file path=xl/ctrlProps/ctrlProp163.xml><?xml version="1.0" encoding="utf-8"?>
<formControlPr xmlns="http://schemas.microsoft.com/office/spreadsheetml/2009/9/main" objectType="CheckBox" checked="Checked" fmlaLink="$AQ$125" noThreeD="1"/>
</file>

<file path=xl/ctrlProps/ctrlProp164.xml><?xml version="1.0" encoding="utf-8"?>
<formControlPr xmlns="http://schemas.microsoft.com/office/spreadsheetml/2009/9/main" objectType="CheckBox" checked="Checked" fmlaLink="$AQ$126" noThreeD="1"/>
</file>

<file path=xl/ctrlProps/ctrlProp165.xml><?xml version="1.0" encoding="utf-8"?>
<formControlPr xmlns="http://schemas.microsoft.com/office/spreadsheetml/2009/9/main" objectType="CheckBox" checked="Checked" fmlaLink="$AQ$127" noThreeD="1"/>
</file>

<file path=xl/ctrlProps/ctrlProp166.xml><?xml version="1.0" encoding="utf-8"?>
<formControlPr xmlns="http://schemas.microsoft.com/office/spreadsheetml/2009/9/main" objectType="CheckBox" checked="Checked" fmlaLink="$AQ$128" noThreeD="1"/>
</file>

<file path=xl/ctrlProps/ctrlProp167.xml><?xml version="1.0" encoding="utf-8"?>
<formControlPr xmlns="http://schemas.microsoft.com/office/spreadsheetml/2009/9/main" objectType="CheckBox" checked="Checked" fmlaLink="$AQ$129" noThreeD="1"/>
</file>

<file path=xl/ctrlProps/ctrlProp168.xml><?xml version="1.0" encoding="utf-8"?>
<formControlPr xmlns="http://schemas.microsoft.com/office/spreadsheetml/2009/9/main" objectType="CheckBox" checked="Checked" fmlaLink="$AQ$130" noThreeD="1"/>
</file>

<file path=xl/ctrlProps/ctrlProp169.xml><?xml version="1.0" encoding="utf-8"?>
<formControlPr xmlns="http://schemas.microsoft.com/office/spreadsheetml/2009/9/main" objectType="CheckBox" checked="Checked" fmlaLink="$AQ$131" noThreeD="1"/>
</file>

<file path=xl/ctrlProps/ctrlProp170.xml><?xml version="1.0" encoding="utf-8"?>
<formControlPr xmlns="http://schemas.microsoft.com/office/spreadsheetml/2009/9/main" objectType="CheckBox" checked="Checked" fmlaLink="$AQ$132" noThreeD="1"/>
</file>

<file path=xl/ctrlProps/ctrlProp171.xml><?xml version="1.0" encoding="utf-8"?>
<formControlPr xmlns="http://schemas.microsoft.com/office/spreadsheetml/2009/9/main" objectType="CheckBox" checked="Checked" fmlaLink="$AQ$133" noThreeD="1"/>
</file>

<file path=xl/ctrlProps/ctrlProp172.xml><?xml version="1.0" encoding="utf-8"?>
<formControlPr xmlns="http://schemas.microsoft.com/office/spreadsheetml/2009/9/main" objectType="CheckBox" checked="Checked" fmlaLink="$AQ$134" noThreeD="1"/>
</file>

<file path=xl/ctrlProps/ctrlProp173.xml><?xml version="1.0" encoding="utf-8"?>
<formControlPr xmlns="http://schemas.microsoft.com/office/spreadsheetml/2009/9/main" objectType="CheckBox" checked="Checked" fmlaLink="$AQ$135" noThreeD="1"/>
</file>

<file path=xl/ctrlProps/ctrlProp174.xml><?xml version="1.0" encoding="utf-8"?>
<formControlPr xmlns="http://schemas.microsoft.com/office/spreadsheetml/2009/9/main" objectType="CheckBox" checked="Checked" fmlaLink="$AQ$136" noThreeD="1"/>
</file>

<file path=xl/ctrlProps/ctrlProp175.xml><?xml version="1.0" encoding="utf-8"?>
<formControlPr xmlns="http://schemas.microsoft.com/office/spreadsheetml/2009/9/main" objectType="CheckBox" checked="Checked" fmlaLink="$AQ$137" noThreeD="1"/>
</file>

<file path=xl/ctrlProps/ctrlProp176.xml><?xml version="1.0" encoding="utf-8"?>
<formControlPr xmlns="http://schemas.microsoft.com/office/spreadsheetml/2009/9/main" objectType="CheckBox" checked="Checked" fmlaLink="$AQ$138" noThreeD="1"/>
</file>

<file path=xl/ctrlProps/ctrlProp177.xml><?xml version="1.0" encoding="utf-8"?>
<formControlPr xmlns="http://schemas.microsoft.com/office/spreadsheetml/2009/9/main" objectType="CheckBox" checked="Checked" fmlaLink="$AQ$139" noThreeD="1"/>
</file>

<file path=xl/ctrlProps/ctrlProp178.xml><?xml version="1.0" encoding="utf-8"?>
<formControlPr xmlns="http://schemas.microsoft.com/office/spreadsheetml/2009/9/main" objectType="CheckBox" checked="Checked" fmlaLink="$AQ$140" noThreeD="1"/>
</file>

<file path=xl/ctrlProps/ctrlProp179.xml><?xml version="1.0" encoding="utf-8"?>
<formControlPr xmlns="http://schemas.microsoft.com/office/spreadsheetml/2009/9/main" objectType="CheckBox" checked="Checked" fmlaLink="$AQ$141" noThreeD="1"/>
</file>

<file path=xl/ctrlProps/ctrlProp180.xml><?xml version="1.0" encoding="utf-8"?>
<formControlPr xmlns="http://schemas.microsoft.com/office/spreadsheetml/2009/9/main" objectType="CheckBox" checked="Checked" fmlaLink="$AQ$142" noThreeD="1"/>
</file>

<file path=xl/ctrlProps/ctrlProp181.xml><?xml version="1.0" encoding="utf-8"?>
<formControlPr xmlns="http://schemas.microsoft.com/office/spreadsheetml/2009/9/main" objectType="CheckBox" checked="Checked" fmlaLink="$AQ$143" noThreeD="1"/>
</file>

<file path=xl/ctrlProps/ctrlProp182.xml><?xml version="1.0" encoding="utf-8"?>
<formControlPr xmlns="http://schemas.microsoft.com/office/spreadsheetml/2009/9/main" objectType="CheckBox" checked="Checked" fmlaLink="$AQ$144" noThreeD="1"/>
</file>

<file path=xl/ctrlProps/ctrlProp183.xml><?xml version="1.0" encoding="utf-8"?>
<formControlPr xmlns="http://schemas.microsoft.com/office/spreadsheetml/2009/9/main" objectType="CheckBox" checked="Checked" fmlaLink="$AQ$145" noThreeD="1"/>
</file>

<file path=xl/ctrlProps/ctrlProp184.xml><?xml version="1.0" encoding="utf-8"?>
<formControlPr xmlns="http://schemas.microsoft.com/office/spreadsheetml/2009/9/main" objectType="CheckBox" checked="Checked" fmlaLink="$AQ$146" noThreeD="1"/>
</file>

<file path=xl/ctrlProps/ctrlProp185.xml><?xml version="1.0" encoding="utf-8"?>
<formControlPr xmlns="http://schemas.microsoft.com/office/spreadsheetml/2009/9/main" objectType="CheckBox" checked="Checked" fmlaLink="$AQ$147" noThreeD="1"/>
</file>

<file path=xl/ctrlProps/ctrlProp186.xml><?xml version="1.0" encoding="utf-8"?>
<formControlPr xmlns="http://schemas.microsoft.com/office/spreadsheetml/2009/9/main" objectType="CheckBox" checked="Checked" fmlaLink="$AQ$148" noThreeD="1"/>
</file>

<file path=xl/ctrlProps/ctrlProp187.xml><?xml version="1.0" encoding="utf-8"?>
<formControlPr xmlns="http://schemas.microsoft.com/office/spreadsheetml/2009/9/main" objectType="CheckBox" checked="Checked" fmlaLink="$AQ$149" noThreeD="1"/>
</file>

<file path=xl/ctrlProps/ctrlProp188.xml><?xml version="1.0" encoding="utf-8"?>
<formControlPr xmlns="http://schemas.microsoft.com/office/spreadsheetml/2009/9/main" objectType="CheckBox" checked="Checked" fmlaLink="$AQ$150" noThreeD="1"/>
</file>

<file path=xl/ctrlProps/ctrlProp189.xml><?xml version="1.0" encoding="utf-8"?>
<formControlPr xmlns="http://schemas.microsoft.com/office/spreadsheetml/2009/9/main" objectType="CheckBox" checked="Checked" fmlaLink="$AQ$234" noThreeD="1"/>
</file>

<file path=xl/ctrlProps/ctrlProp190.xml><?xml version="1.0" encoding="utf-8"?>
<formControlPr xmlns="http://schemas.microsoft.com/office/spreadsheetml/2009/9/main" objectType="CheckBox" checked="Checked" fmlaLink="$AQ$235" noThreeD="1"/>
</file>

<file path=xl/ctrlProps/ctrlProp191.xml><?xml version="1.0" encoding="utf-8"?>
<formControlPr xmlns="http://schemas.microsoft.com/office/spreadsheetml/2009/9/main" objectType="CheckBox" checked="Checked" fmlaLink="$AQ$236" noThreeD="1"/>
</file>

<file path=xl/ctrlProps/ctrlProp192.xml><?xml version="1.0" encoding="utf-8"?>
<formControlPr xmlns="http://schemas.microsoft.com/office/spreadsheetml/2009/9/main" objectType="CheckBox" checked="Checked" fmlaLink="$AQ$237" noThreeD="1"/>
</file>

<file path=xl/ctrlProps/ctrlProp193.xml><?xml version="1.0" encoding="utf-8"?>
<formControlPr xmlns="http://schemas.microsoft.com/office/spreadsheetml/2009/9/main" objectType="CheckBox" checked="Checked" fmlaLink="$AQ$238" noThreeD="1"/>
</file>

<file path=xl/ctrlProps/ctrlProp194.xml><?xml version="1.0" encoding="utf-8"?>
<formControlPr xmlns="http://schemas.microsoft.com/office/spreadsheetml/2009/9/main" objectType="CheckBox" checked="Checked" fmlaLink="$AQ$239" noThreeD="1"/>
</file>

<file path=xl/ctrlProps/ctrlProp195.xml><?xml version="1.0" encoding="utf-8"?>
<formControlPr xmlns="http://schemas.microsoft.com/office/spreadsheetml/2009/9/main" objectType="CheckBox" checked="Checked" fmlaLink="$AQ$240" noThreeD="1"/>
</file>

<file path=xl/ctrlProps/ctrlProp196.xml><?xml version="1.0" encoding="utf-8"?>
<formControlPr xmlns="http://schemas.microsoft.com/office/spreadsheetml/2009/9/main" objectType="CheckBox" checked="Checked" fmlaLink="$AQ$241" noThreeD="1"/>
</file>

<file path=xl/ctrlProps/ctrlProp197.xml><?xml version="1.0" encoding="utf-8"?>
<formControlPr xmlns="http://schemas.microsoft.com/office/spreadsheetml/2009/9/main" objectType="CheckBox" checked="Checked" fmlaLink="$AQ$242" noThreeD="1"/>
</file>

<file path=xl/ctrlProps/ctrlProp198.xml><?xml version="1.0" encoding="utf-8"?>
<formControlPr xmlns="http://schemas.microsoft.com/office/spreadsheetml/2009/9/main" objectType="CheckBox" checked="Checked" fmlaLink="$AQ$243" noThreeD="1"/>
</file>

<file path=xl/ctrlProps/ctrlProp199.xml><?xml version="1.0" encoding="utf-8"?>
<formControlPr xmlns="http://schemas.microsoft.com/office/spreadsheetml/2009/9/main" objectType="CheckBox" checked="Checked" fmlaLink="$AQ$244" noThreeD="1"/>
</file>

<file path=xl/ctrlProps/ctrlProp200.xml><?xml version="1.0" encoding="utf-8"?>
<formControlPr xmlns="http://schemas.microsoft.com/office/spreadsheetml/2009/9/main" objectType="CheckBox" checked="Checked" fmlaLink="$AQ$245" noThreeD="1"/>
</file>

<file path=xl/ctrlProps/ctrlProp201.xml><?xml version="1.0" encoding="utf-8"?>
<formControlPr xmlns="http://schemas.microsoft.com/office/spreadsheetml/2009/9/main" objectType="CheckBox" checked="Checked" fmlaLink="$AQ$246" noThreeD="1"/>
</file>

<file path=xl/ctrlProps/ctrlProp202.xml><?xml version="1.0" encoding="utf-8"?>
<formControlPr xmlns="http://schemas.microsoft.com/office/spreadsheetml/2009/9/main" objectType="CheckBox" checked="Checked" fmlaLink="$AQ$247" noThreeD="1"/>
</file>

<file path=xl/ctrlProps/ctrlProp203.xml><?xml version="1.0" encoding="utf-8"?>
<formControlPr xmlns="http://schemas.microsoft.com/office/spreadsheetml/2009/9/main" objectType="CheckBox" checked="Checked" fmlaLink="$AQ$248" noThreeD="1"/>
</file>

<file path=xl/ctrlProps/ctrlProp204.xml><?xml version="1.0" encoding="utf-8"?>
<formControlPr xmlns="http://schemas.microsoft.com/office/spreadsheetml/2009/9/main" objectType="CheckBox" checked="Checked" fmlaLink="$AQ$249" noThreeD="1"/>
</file>

<file path=xl/ctrlProps/ctrlProp205.xml><?xml version="1.0" encoding="utf-8"?>
<formControlPr xmlns="http://schemas.microsoft.com/office/spreadsheetml/2009/9/main" objectType="CheckBox" checked="Checked" fmlaLink="$AQ$250" noThreeD="1"/>
</file>

<file path=xl/ctrlProps/ctrlProp206.xml><?xml version="1.0" encoding="utf-8"?>
<formControlPr xmlns="http://schemas.microsoft.com/office/spreadsheetml/2009/9/main" objectType="CheckBox" checked="Checked" fmlaLink="$AQ$251" noThreeD="1"/>
</file>

<file path=xl/ctrlProps/ctrlProp207.xml><?xml version="1.0" encoding="utf-8"?>
<formControlPr xmlns="http://schemas.microsoft.com/office/spreadsheetml/2009/9/main" objectType="CheckBox" checked="Checked" fmlaLink="$AQ$252" noThreeD="1"/>
</file>

<file path=xl/ctrlProps/ctrlProp208.xml><?xml version="1.0" encoding="utf-8"?>
<formControlPr xmlns="http://schemas.microsoft.com/office/spreadsheetml/2009/9/main" objectType="CheckBox" checked="Checked" fmlaLink="$AQ$253" noThreeD="1"/>
</file>

<file path=xl/ctrlProps/ctrlProp209.xml><?xml version="1.0" encoding="utf-8"?>
<formControlPr xmlns="http://schemas.microsoft.com/office/spreadsheetml/2009/9/main" objectType="CheckBox" checked="Checked" fmlaLink="$AQ$254" noThreeD="1"/>
</file>

<file path=xl/ctrlProps/ctrlProp210.xml><?xml version="1.0" encoding="utf-8"?>
<formControlPr xmlns="http://schemas.microsoft.com/office/spreadsheetml/2009/9/main" objectType="CheckBox" checked="Checked" fmlaLink="$AQ$255" noThreeD="1"/>
</file>

<file path=xl/ctrlProps/ctrlProp211.xml><?xml version="1.0" encoding="utf-8"?>
<formControlPr xmlns="http://schemas.microsoft.com/office/spreadsheetml/2009/9/main" objectType="CheckBox" checked="Checked" fmlaLink="$AQ$256" noThreeD="1"/>
</file>

<file path=xl/ctrlProps/ctrlProp212.xml><?xml version="1.0" encoding="utf-8"?>
<formControlPr xmlns="http://schemas.microsoft.com/office/spreadsheetml/2009/9/main" objectType="CheckBox" checked="Checked" fmlaLink="$AQ$257" noThreeD="1"/>
</file>

<file path=xl/ctrlProps/ctrlProp213.xml><?xml version="1.0" encoding="utf-8"?>
<formControlPr xmlns="http://schemas.microsoft.com/office/spreadsheetml/2009/9/main" objectType="CheckBox" checked="Checked" fmlaLink="$AQ$258" noThreeD="1"/>
</file>

<file path=xl/ctrlProps/ctrlProp214.xml><?xml version="1.0" encoding="utf-8"?>
<formControlPr xmlns="http://schemas.microsoft.com/office/spreadsheetml/2009/9/main" objectType="CheckBox" checked="Checked" fmlaLink="$AQ$259" noThreeD="1"/>
</file>

<file path=xl/ctrlProps/ctrlProp215.xml><?xml version="1.0" encoding="utf-8"?>
<formControlPr xmlns="http://schemas.microsoft.com/office/spreadsheetml/2009/9/main" objectType="CheckBox" checked="Checked" fmlaLink="$AQ$260" noThreeD="1"/>
</file>

<file path=xl/ctrlProps/ctrlProp216.xml><?xml version="1.0" encoding="utf-8"?>
<formControlPr xmlns="http://schemas.microsoft.com/office/spreadsheetml/2009/9/main" objectType="CheckBox" checked="Checked" fmlaLink="$AQ$261" noThreeD="1"/>
</file>

<file path=xl/ctrlProps/ctrlProp217.xml><?xml version="1.0" encoding="utf-8"?>
<formControlPr xmlns="http://schemas.microsoft.com/office/spreadsheetml/2009/9/main" objectType="CheckBox" checked="Checked" fmlaLink="$AQ$262" noThreeD="1"/>
</file>

<file path=xl/ctrlProps/ctrlProp218.xml><?xml version="1.0" encoding="utf-8"?>
<formControlPr xmlns="http://schemas.microsoft.com/office/spreadsheetml/2009/9/main" objectType="CheckBox" checked="Checked" fmlaLink="$AQ$263" noThreeD="1"/>
</file>

<file path=xl/ctrlProps/ctrlProp219.xml><?xml version="1.0" encoding="utf-8"?>
<formControlPr xmlns="http://schemas.microsoft.com/office/spreadsheetml/2009/9/main" objectType="CheckBox" checked="Checked" fmlaLink="$AQ$264" noThreeD="1"/>
</file>

<file path=xl/ctrlProps/ctrlProp220.xml><?xml version="1.0" encoding="utf-8"?>
<formControlPr xmlns="http://schemas.microsoft.com/office/spreadsheetml/2009/9/main" objectType="CheckBox" checked="Checked" fmlaLink="$AQ$265" noThreeD="1"/>
</file>

<file path=xl/ctrlProps/ctrlProp221.xml><?xml version="1.0" encoding="utf-8"?>
<formControlPr xmlns="http://schemas.microsoft.com/office/spreadsheetml/2009/9/main" objectType="CheckBox" checked="Checked" fmlaLink="$AQ$266" noThreeD="1"/>
</file>

<file path=xl/ctrlProps/ctrlProp222.xml><?xml version="1.0" encoding="utf-8"?>
<formControlPr xmlns="http://schemas.microsoft.com/office/spreadsheetml/2009/9/main" objectType="CheckBox" checked="Checked" fmlaLink="$AQ$267" noThreeD="1"/>
</file>

<file path=xl/ctrlProps/ctrlProp223.xml><?xml version="1.0" encoding="utf-8"?>
<formControlPr xmlns="http://schemas.microsoft.com/office/spreadsheetml/2009/9/main" objectType="CheckBox" checked="Checked" fmlaLink="$AQ$268" noThreeD="1"/>
</file>

<file path=xl/ctrlProps/ctrlProp224.xml><?xml version="1.0" encoding="utf-8"?>
<formControlPr xmlns="http://schemas.microsoft.com/office/spreadsheetml/2009/9/main" objectType="CheckBox" checked="Checked" fmlaLink="$AQ$269" noThreeD="1"/>
</file>

<file path=xl/ctrlProps/ctrlProp225.xml><?xml version="1.0" encoding="utf-8"?>
<formControlPr xmlns="http://schemas.microsoft.com/office/spreadsheetml/2009/9/main" objectType="CheckBox" checked="Checked" fmlaLink="$AQ$270" noThreeD="1"/>
</file>

<file path=xl/ctrlProps/ctrlProp226.xml><?xml version="1.0" encoding="utf-8"?>
<formControlPr xmlns="http://schemas.microsoft.com/office/spreadsheetml/2009/9/main" objectType="CheckBox" checked="Checked" fmlaLink="$AQ$271" noThreeD="1"/>
</file>

<file path=xl/ctrlProps/ctrlProp227.xml><?xml version="1.0" encoding="utf-8"?>
<formControlPr xmlns="http://schemas.microsoft.com/office/spreadsheetml/2009/9/main" objectType="CheckBox" checked="Checked" fmlaLink="$AQ$272" noThreeD="1"/>
</file>

<file path=xl/ctrlProps/ctrlProp228.xml><?xml version="1.0" encoding="utf-8"?>
<formControlPr xmlns="http://schemas.microsoft.com/office/spreadsheetml/2009/9/main" objectType="CheckBox" checked="Checked" fmlaLink="$AQ$273" noThreeD="1"/>
</file>

<file path=xl/ctrlProps/ctrlProp229.xml><?xml version="1.0" encoding="utf-8"?>
<formControlPr xmlns="http://schemas.microsoft.com/office/spreadsheetml/2009/9/main" objectType="CheckBox" checked="Checked" fmlaLink="$AQ$274" noThreeD="1"/>
</file>

<file path=xl/ctrlProps/ctrlProp230.xml><?xml version="1.0" encoding="utf-8"?>
<formControlPr xmlns="http://schemas.microsoft.com/office/spreadsheetml/2009/9/main" objectType="CheckBox" checked="Checked" fmlaLink="$AQ$275" noThreeD="1"/>
</file>

<file path=xl/ctrlProps/ctrlProp231.xml><?xml version="1.0" encoding="utf-8"?>
<formControlPr xmlns="http://schemas.microsoft.com/office/spreadsheetml/2009/9/main" objectType="CheckBox" checked="Checked" fmlaLink="$AQ$276" noThreeD="1"/>
</file>

<file path=xl/ctrlProps/ctrlProp232.xml><?xml version="1.0" encoding="utf-8"?>
<formControlPr xmlns="http://schemas.microsoft.com/office/spreadsheetml/2009/9/main" objectType="CheckBox" checked="Checked" fmlaLink="$AQ$277" noThreeD="1"/>
</file>

<file path=xl/ctrlProps/ctrlProp233.xml><?xml version="1.0" encoding="utf-8"?>
<formControlPr xmlns="http://schemas.microsoft.com/office/spreadsheetml/2009/9/main" objectType="CheckBox" checked="Checked" fmlaLink="$AQ$278" noThreeD="1"/>
</file>

<file path=xl/ctrlProps/ctrlProp234.xml><?xml version="1.0" encoding="utf-8"?>
<formControlPr xmlns="http://schemas.microsoft.com/office/spreadsheetml/2009/9/main" objectType="CheckBox" checked="Checked" fmlaLink="$AQ$279" noThreeD="1"/>
</file>

<file path=xl/ctrlProps/ctrlProp235.xml><?xml version="1.0" encoding="utf-8"?>
<formControlPr xmlns="http://schemas.microsoft.com/office/spreadsheetml/2009/9/main" objectType="CheckBox" checked="Checked" fmlaLink="$AQ$280" noThreeD="1"/>
</file>

<file path=xl/ctrlProps/ctrlProp236.xml><?xml version="1.0" encoding="utf-8"?>
<formControlPr xmlns="http://schemas.microsoft.com/office/spreadsheetml/2009/9/main" objectType="CheckBox" checked="Checked" fmlaLink="$AQ$281" noThreeD="1"/>
</file>

<file path=xl/ctrlProps/ctrlProp237.xml><?xml version="1.0" encoding="utf-8"?>
<formControlPr xmlns="http://schemas.microsoft.com/office/spreadsheetml/2009/9/main" objectType="CheckBox" checked="Checked" fmlaLink="$AQ$282" noThreeD="1"/>
</file>

<file path=xl/ctrlProps/ctrlProp238.xml><?xml version="1.0" encoding="utf-8"?>
<formControlPr xmlns="http://schemas.microsoft.com/office/spreadsheetml/2009/9/main" objectType="CheckBox" checked="Checked" fmlaLink="$AQ$283" noThreeD="1"/>
</file>

<file path=xl/ctrlProps/ctrlProp239.xml><?xml version="1.0" encoding="utf-8"?>
<formControlPr xmlns="http://schemas.microsoft.com/office/spreadsheetml/2009/9/main" objectType="CheckBox" checked="Checked" fmlaLink="$AQ$284" noThreeD="1"/>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Button"/>
</file>

<file path=xl/ctrlProps/ctrlProp243.xml><?xml version="1.0" encoding="utf-8"?>
<formControlPr xmlns="http://schemas.microsoft.com/office/spreadsheetml/2009/9/main" objectType="CheckBox" checked="Checked" fmlaLink="$AQ$101" noThreeD="1"/>
</file>

<file path=xl/ctrlProps/ctrlProp244.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142875</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142875</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142875</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9525</xdr:colOff>
          <xdr:row>21</xdr:row>
          <xdr:rowOff>9525</xdr:rowOff>
        </xdr:from>
        <xdr:to>
          <xdr:col>21</xdr:col>
          <xdr:colOff>9525</xdr:colOff>
          <xdr:row>21</xdr:row>
          <xdr:rowOff>152400</xdr:rowOff>
        </xdr:to>
        <xdr:sp macro="" textlink="">
          <xdr:nvSpPr>
            <xdr:cNvPr id="189473" name="Button 2081" hidden="1">
              <a:extLst>
                <a:ext uri="{63B3BB69-23CF-44E3-9099-C40C66FF867C}">
                  <a14:compatExt spid="_x0000_s189473"/>
                </a:ext>
                <a:ext uri="{FF2B5EF4-FFF2-40B4-BE49-F238E27FC236}">
                  <a16:creationId xmlns:a16="http://schemas.microsoft.com/office/drawing/2014/main" id="{00000000-0008-0000-0200-000021E402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E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3.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xml"/><Relationship Id="rId16" Type="http://schemas.openxmlformats.org/officeDocument/2006/relationships/ctrlProp" Target="../ctrlProps/ctrlProp89.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trlProp" Target="../ctrlProps/ctrlProp94.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8.xml"/><Relationship Id="rId21" Type="http://schemas.openxmlformats.org/officeDocument/2006/relationships/ctrlProp" Target="../ctrlProps/ctrlProp112.xml"/><Relationship Id="rId42" Type="http://schemas.openxmlformats.org/officeDocument/2006/relationships/ctrlProp" Target="../ctrlProps/ctrlProp133.xml"/><Relationship Id="rId63" Type="http://schemas.openxmlformats.org/officeDocument/2006/relationships/ctrlProp" Target="../ctrlProps/ctrlProp154.xml"/><Relationship Id="rId84" Type="http://schemas.openxmlformats.org/officeDocument/2006/relationships/ctrlProp" Target="../ctrlProps/ctrlProp175.xml"/><Relationship Id="rId138" Type="http://schemas.openxmlformats.org/officeDocument/2006/relationships/ctrlProp" Target="../ctrlProps/ctrlProp229.xml"/><Relationship Id="rId107" Type="http://schemas.openxmlformats.org/officeDocument/2006/relationships/ctrlProp" Target="../ctrlProps/ctrlProp198.xml"/><Relationship Id="rId11" Type="http://schemas.openxmlformats.org/officeDocument/2006/relationships/ctrlProp" Target="../ctrlProps/ctrlProp102.xml"/><Relationship Id="rId32" Type="http://schemas.openxmlformats.org/officeDocument/2006/relationships/ctrlProp" Target="../ctrlProps/ctrlProp123.xml"/><Relationship Id="rId53" Type="http://schemas.openxmlformats.org/officeDocument/2006/relationships/ctrlProp" Target="../ctrlProps/ctrlProp144.xml"/><Relationship Id="rId74" Type="http://schemas.openxmlformats.org/officeDocument/2006/relationships/ctrlProp" Target="../ctrlProps/ctrlProp165.xml"/><Relationship Id="rId128" Type="http://schemas.openxmlformats.org/officeDocument/2006/relationships/ctrlProp" Target="../ctrlProps/ctrlProp219.xml"/><Relationship Id="rId149" Type="http://schemas.openxmlformats.org/officeDocument/2006/relationships/ctrlProp" Target="../ctrlProps/ctrlProp240.xml"/><Relationship Id="rId5" Type="http://schemas.openxmlformats.org/officeDocument/2006/relationships/ctrlProp" Target="../ctrlProps/ctrlProp96.xml"/><Relationship Id="rId95" Type="http://schemas.openxmlformats.org/officeDocument/2006/relationships/ctrlProp" Target="../ctrlProps/ctrlProp186.xml"/><Relationship Id="rId22" Type="http://schemas.openxmlformats.org/officeDocument/2006/relationships/ctrlProp" Target="../ctrlProps/ctrlProp113.xml"/><Relationship Id="rId27" Type="http://schemas.openxmlformats.org/officeDocument/2006/relationships/ctrlProp" Target="../ctrlProps/ctrlProp118.xml"/><Relationship Id="rId43" Type="http://schemas.openxmlformats.org/officeDocument/2006/relationships/ctrlProp" Target="../ctrlProps/ctrlProp134.xml"/><Relationship Id="rId48" Type="http://schemas.openxmlformats.org/officeDocument/2006/relationships/ctrlProp" Target="../ctrlProps/ctrlProp139.xml"/><Relationship Id="rId64" Type="http://schemas.openxmlformats.org/officeDocument/2006/relationships/ctrlProp" Target="../ctrlProps/ctrlProp155.xml"/><Relationship Id="rId69" Type="http://schemas.openxmlformats.org/officeDocument/2006/relationships/ctrlProp" Target="../ctrlProps/ctrlProp160.xml"/><Relationship Id="rId113" Type="http://schemas.openxmlformats.org/officeDocument/2006/relationships/ctrlProp" Target="../ctrlProps/ctrlProp204.xml"/><Relationship Id="rId118" Type="http://schemas.openxmlformats.org/officeDocument/2006/relationships/ctrlProp" Target="../ctrlProps/ctrlProp209.xml"/><Relationship Id="rId134" Type="http://schemas.openxmlformats.org/officeDocument/2006/relationships/ctrlProp" Target="../ctrlProps/ctrlProp225.xml"/><Relationship Id="rId139" Type="http://schemas.openxmlformats.org/officeDocument/2006/relationships/ctrlProp" Target="../ctrlProps/ctrlProp230.xml"/><Relationship Id="rId80" Type="http://schemas.openxmlformats.org/officeDocument/2006/relationships/ctrlProp" Target="../ctrlProps/ctrlProp171.xml"/><Relationship Id="rId85" Type="http://schemas.openxmlformats.org/officeDocument/2006/relationships/ctrlProp" Target="../ctrlProps/ctrlProp176.xml"/><Relationship Id="rId150" Type="http://schemas.openxmlformats.org/officeDocument/2006/relationships/ctrlProp" Target="../ctrlProps/ctrlProp241.xml"/><Relationship Id="rId12" Type="http://schemas.openxmlformats.org/officeDocument/2006/relationships/ctrlProp" Target="../ctrlProps/ctrlProp103.xml"/><Relationship Id="rId17" Type="http://schemas.openxmlformats.org/officeDocument/2006/relationships/ctrlProp" Target="../ctrlProps/ctrlProp108.xml"/><Relationship Id="rId33" Type="http://schemas.openxmlformats.org/officeDocument/2006/relationships/ctrlProp" Target="../ctrlProps/ctrlProp124.xml"/><Relationship Id="rId38" Type="http://schemas.openxmlformats.org/officeDocument/2006/relationships/ctrlProp" Target="../ctrlProps/ctrlProp129.xml"/><Relationship Id="rId59" Type="http://schemas.openxmlformats.org/officeDocument/2006/relationships/ctrlProp" Target="../ctrlProps/ctrlProp150.xml"/><Relationship Id="rId103" Type="http://schemas.openxmlformats.org/officeDocument/2006/relationships/ctrlProp" Target="../ctrlProps/ctrlProp194.xml"/><Relationship Id="rId108" Type="http://schemas.openxmlformats.org/officeDocument/2006/relationships/ctrlProp" Target="../ctrlProps/ctrlProp199.xml"/><Relationship Id="rId124" Type="http://schemas.openxmlformats.org/officeDocument/2006/relationships/ctrlProp" Target="../ctrlProps/ctrlProp215.xml"/><Relationship Id="rId129" Type="http://schemas.openxmlformats.org/officeDocument/2006/relationships/ctrlProp" Target="../ctrlProps/ctrlProp220.xml"/><Relationship Id="rId54" Type="http://schemas.openxmlformats.org/officeDocument/2006/relationships/ctrlProp" Target="../ctrlProps/ctrlProp145.xml"/><Relationship Id="rId70" Type="http://schemas.openxmlformats.org/officeDocument/2006/relationships/ctrlProp" Target="../ctrlProps/ctrlProp161.xml"/><Relationship Id="rId75" Type="http://schemas.openxmlformats.org/officeDocument/2006/relationships/ctrlProp" Target="../ctrlProps/ctrlProp166.xml"/><Relationship Id="rId91" Type="http://schemas.openxmlformats.org/officeDocument/2006/relationships/ctrlProp" Target="../ctrlProps/ctrlProp182.xml"/><Relationship Id="rId96" Type="http://schemas.openxmlformats.org/officeDocument/2006/relationships/ctrlProp" Target="../ctrlProps/ctrlProp187.xml"/><Relationship Id="rId140" Type="http://schemas.openxmlformats.org/officeDocument/2006/relationships/ctrlProp" Target="../ctrlProps/ctrlProp231.xml"/><Relationship Id="rId145" Type="http://schemas.openxmlformats.org/officeDocument/2006/relationships/ctrlProp" Target="../ctrlProps/ctrlProp236.xml"/><Relationship Id="rId1" Type="http://schemas.openxmlformats.org/officeDocument/2006/relationships/printerSettings" Target="../printerSettings/printerSettings5.bin"/><Relationship Id="rId6" Type="http://schemas.openxmlformats.org/officeDocument/2006/relationships/ctrlProp" Target="../ctrlProps/ctrlProp97.xml"/><Relationship Id="rId23" Type="http://schemas.openxmlformats.org/officeDocument/2006/relationships/ctrlProp" Target="../ctrlProps/ctrlProp114.xml"/><Relationship Id="rId28" Type="http://schemas.openxmlformats.org/officeDocument/2006/relationships/ctrlProp" Target="../ctrlProps/ctrlProp119.xml"/><Relationship Id="rId49" Type="http://schemas.openxmlformats.org/officeDocument/2006/relationships/ctrlProp" Target="../ctrlProps/ctrlProp140.xml"/><Relationship Id="rId114" Type="http://schemas.openxmlformats.org/officeDocument/2006/relationships/ctrlProp" Target="../ctrlProps/ctrlProp205.xml"/><Relationship Id="rId119" Type="http://schemas.openxmlformats.org/officeDocument/2006/relationships/ctrlProp" Target="../ctrlProps/ctrlProp210.xml"/><Relationship Id="rId44" Type="http://schemas.openxmlformats.org/officeDocument/2006/relationships/ctrlProp" Target="../ctrlProps/ctrlProp135.xml"/><Relationship Id="rId60" Type="http://schemas.openxmlformats.org/officeDocument/2006/relationships/ctrlProp" Target="../ctrlProps/ctrlProp151.xml"/><Relationship Id="rId65" Type="http://schemas.openxmlformats.org/officeDocument/2006/relationships/ctrlProp" Target="../ctrlProps/ctrlProp156.xml"/><Relationship Id="rId81" Type="http://schemas.openxmlformats.org/officeDocument/2006/relationships/ctrlProp" Target="../ctrlProps/ctrlProp172.xml"/><Relationship Id="rId86" Type="http://schemas.openxmlformats.org/officeDocument/2006/relationships/ctrlProp" Target="../ctrlProps/ctrlProp177.xml"/><Relationship Id="rId130" Type="http://schemas.openxmlformats.org/officeDocument/2006/relationships/ctrlProp" Target="../ctrlProps/ctrlProp221.xml"/><Relationship Id="rId135" Type="http://schemas.openxmlformats.org/officeDocument/2006/relationships/ctrlProp" Target="../ctrlProps/ctrlProp226.xml"/><Relationship Id="rId151" Type="http://schemas.openxmlformats.org/officeDocument/2006/relationships/ctrlProp" Target="../ctrlProps/ctrlProp242.xml"/><Relationship Id="rId13" Type="http://schemas.openxmlformats.org/officeDocument/2006/relationships/ctrlProp" Target="../ctrlProps/ctrlProp104.xml"/><Relationship Id="rId18" Type="http://schemas.openxmlformats.org/officeDocument/2006/relationships/ctrlProp" Target="../ctrlProps/ctrlProp109.xml"/><Relationship Id="rId39" Type="http://schemas.openxmlformats.org/officeDocument/2006/relationships/ctrlProp" Target="../ctrlProps/ctrlProp130.xml"/><Relationship Id="rId109" Type="http://schemas.openxmlformats.org/officeDocument/2006/relationships/ctrlProp" Target="../ctrlProps/ctrlProp200.xml"/><Relationship Id="rId34" Type="http://schemas.openxmlformats.org/officeDocument/2006/relationships/ctrlProp" Target="../ctrlProps/ctrlProp125.xml"/><Relationship Id="rId50" Type="http://schemas.openxmlformats.org/officeDocument/2006/relationships/ctrlProp" Target="../ctrlProps/ctrlProp141.xml"/><Relationship Id="rId55" Type="http://schemas.openxmlformats.org/officeDocument/2006/relationships/ctrlProp" Target="../ctrlProps/ctrlProp146.xml"/><Relationship Id="rId76" Type="http://schemas.openxmlformats.org/officeDocument/2006/relationships/ctrlProp" Target="../ctrlProps/ctrlProp167.xml"/><Relationship Id="rId97" Type="http://schemas.openxmlformats.org/officeDocument/2006/relationships/ctrlProp" Target="../ctrlProps/ctrlProp188.xml"/><Relationship Id="rId104" Type="http://schemas.openxmlformats.org/officeDocument/2006/relationships/ctrlProp" Target="../ctrlProps/ctrlProp195.xml"/><Relationship Id="rId120" Type="http://schemas.openxmlformats.org/officeDocument/2006/relationships/ctrlProp" Target="../ctrlProps/ctrlProp211.xml"/><Relationship Id="rId125" Type="http://schemas.openxmlformats.org/officeDocument/2006/relationships/ctrlProp" Target="../ctrlProps/ctrlProp216.xml"/><Relationship Id="rId141" Type="http://schemas.openxmlformats.org/officeDocument/2006/relationships/ctrlProp" Target="../ctrlProps/ctrlProp232.xml"/><Relationship Id="rId146" Type="http://schemas.openxmlformats.org/officeDocument/2006/relationships/ctrlProp" Target="../ctrlProps/ctrlProp237.xml"/><Relationship Id="rId7" Type="http://schemas.openxmlformats.org/officeDocument/2006/relationships/ctrlProp" Target="../ctrlProps/ctrlProp98.xml"/><Relationship Id="rId71" Type="http://schemas.openxmlformats.org/officeDocument/2006/relationships/ctrlProp" Target="../ctrlProps/ctrlProp162.xml"/><Relationship Id="rId92" Type="http://schemas.openxmlformats.org/officeDocument/2006/relationships/ctrlProp" Target="../ctrlProps/ctrlProp183.xml"/><Relationship Id="rId2" Type="http://schemas.openxmlformats.org/officeDocument/2006/relationships/drawing" Target="../drawings/drawing4.xml"/><Relationship Id="rId29" Type="http://schemas.openxmlformats.org/officeDocument/2006/relationships/ctrlProp" Target="../ctrlProps/ctrlProp120.xml"/><Relationship Id="rId24" Type="http://schemas.openxmlformats.org/officeDocument/2006/relationships/ctrlProp" Target="../ctrlProps/ctrlProp115.xml"/><Relationship Id="rId40" Type="http://schemas.openxmlformats.org/officeDocument/2006/relationships/ctrlProp" Target="../ctrlProps/ctrlProp131.xml"/><Relationship Id="rId45" Type="http://schemas.openxmlformats.org/officeDocument/2006/relationships/ctrlProp" Target="../ctrlProps/ctrlProp136.xml"/><Relationship Id="rId66" Type="http://schemas.openxmlformats.org/officeDocument/2006/relationships/ctrlProp" Target="../ctrlProps/ctrlProp157.xml"/><Relationship Id="rId87" Type="http://schemas.openxmlformats.org/officeDocument/2006/relationships/ctrlProp" Target="../ctrlProps/ctrlProp178.xml"/><Relationship Id="rId110" Type="http://schemas.openxmlformats.org/officeDocument/2006/relationships/ctrlProp" Target="../ctrlProps/ctrlProp201.xml"/><Relationship Id="rId115" Type="http://schemas.openxmlformats.org/officeDocument/2006/relationships/ctrlProp" Target="../ctrlProps/ctrlProp206.xml"/><Relationship Id="rId131" Type="http://schemas.openxmlformats.org/officeDocument/2006/relationships/ctrlProp" Target="../ctrlProps/ctrlProp222.xml"/><Relationship Id="rId136" Type="http://schemas.openxmlformats.org/officeDocument/2006/relationships/ctrlProp" Target="../ctrlProps/ctrlProp227.xml"/><Relationship Id="rId61" Type="http://schemas.openxmlformats.org/officeDocument/2006/relationships/ctrlProp" Target="../ctrlProps/ctrlProp152.xml"/><Relationship Id="rId82" Type="http://schemas.openxmlformats.org/officeDocument/2006/relationships/ctrlProp" Target="../ctrlProps/ctrlProp173.xml"/><Relationship Id="rId152" Type="http://schemas.openxmlformats.org/officeDocument/2006/relationships/ctrlProp" Target="../ctrlProps/ctrlProp243.xml"/><Relationship Id="rId19" Type="http://schemas.openxmlformats.org/officeDocument/2006/relationships/ctrlProp" Target="../ctrlProps/ctrlProp110.xml"/><Relationship Id="rId14" Type="http://schemas.openxmlformats.org/officeDocument/2006/relationships/ctrlProp" Target="../ctrlProps/ctrlProp105.xml"/><Relationship Id="rId30" Type="http://schemas.openxmlformats.org/officeDocument/2006/relationships/ctrlProp" Target="../ctrlProps/ctrlProp121.xml"/><Relationship Id="rId35" Type="http://schemas.openxmlformats.org/officeDocument/2006/relationships/ctrlProp" Target="../ctrlProps/ctrlProp126.xml"/><Relationship Id="rId56" Type="http://schemas.openxmlformats.org/officeDocument/2006/relationships/ctrlProp" Target="../ctrlProps/ctrlProp147.xml"/><Relationship Id="rId77" Type="http://schemas.openxmlformats.org/officeDocument/2006/relationships/ctrlProp" Target="../ctrlProps/ctrlProp168.xml"/><Relationship Id="rId100" Type="http://schemas.openxmlformats.org/officeDocument/2006/relationships/ctrlProp" Target="../ctrlProps/ctrlProp191.xml"/><Relationship Id="rId105" Type="http://schemas.openxmlformats.org/officeDocument/2006/relationships/ctrlProp" Target="../ctrlProps/ctrlProp196.xml"/><Relationship Id="rId126" Type="http://schemas.openxmlformats.org/officeDocument/2006/relationships/ctrlProp" Target="../ctrlProps/ctrlProp217.xml"/><Relationship Id="rId147" Type="http://schemas.openxmlformats.org/officeDocument/2006/relationships/ctrlProp" Target="../ctrlProps/ctrlProp238.xml"/><Relationship Id="rId8" Type="http://schemas.openxmlformats.org/officeDocument/2006/relationships/ctrlProp" Target="../ctrlProps/ctrlProp99.xml"/><Relationship Id="rId51" Type="http://schemas.openxmlformats.org/officeDocument/2006/relationships/ctrlProp" Target="../ctrlProps/ctrlProp142.xml"/><Relationship Id="rId72" Type="http://schemas.openxmlformats.org/officeDocument/2006/relationships/ctrlProp" Target="../ctrlProps/ctrlProp163.xml"/><Relationship Id="rId93" Type="http://schemas.openxmlformats.org/officeDocument/2006/relationships/ctrlProp" Target="../ctrlProps/ctrlProp184.xml"/><Relationship Id="rId98" Type="http://schemas.openxmlformats.org/officeDocument/2006/relationships/ctrlProp" Target="../ctrlProps/ctrlProp189.xml"/><Relationship Id="rId121" Type="http://schemas.openxmlformats.org/officeDocument/2006/relationships/ctrlProp" Target="../ctrlProps/ctrlProp212.xml"/><Relationship Id="rId142" Type="http://schemas.openxmlformats.org/officeDocument/2006/relationships/ctrlProp" Target="../ctrlProps/ctrlProp233.xml"/><Relationship Id="rId3" Type="http://schemas.openxmlformats.org/officeDocument/2006/relationships/vmlDrawing" Target="../drawings/vmlDrawing5.vml"/><Relationship Id="rId25" Type="http://schemas.openxmlformats.org/officeDocument/2006/relationships/ctrlProp" Target="../ctrlProps/ctrlProp116.xml"/><Relationship Id="rId46" Type="http://schemas.openxmlformats.org/officeDocument/2006/relationships/ctrlProp" Target="../ctrlProps/ctrlProp137.xml"/><Relationship Id="rId67" Type="http://schemas.openxmlformats.org/officeDocument/2006/relationships/ctrlProp" Target="../ctrlProps/ctrlProp158.xml"/><Relationship Id="rId116" Type="http://schemas.openxmlformats.org/officeDocument/2006/relationships/ctrlProp" Target="../ctrlProps/ctrlProp207.xml"/><Relationship Id="rId137" Type="http://schemas.openxmlformats.org/officeDocument/2006/relationships/ctrlProp" Target="../ctrlProps/ctrlProp228.xml"/><Relationship Id="rId20" Type="http://schemas.openxmlformats.org/officeDocument/2006/relationships/ctrlProp" Target="../ctrlProps/ctrlProp111.xml"/><Relationship Id="rId41" Type="http://schemas.openxmlformats.org/officeDocument/2006/relationships/ctrlProp" Target="../ctrlProps/ctrlProp132.xml"/><Relationship Id="rId62" Type="http://schemas.openxmlformats.org/officeDocument/2006/relationships/ctrlProp" Target="../ctrlProps/ctrlProp153.xml"/><Relationship Id="rId83" Type="http://schemas.openxmlformats.org/officeDocument/2006/relationships/ctrlProp" Target="../ctrlProps/ctrlProp174.xml"/><Relationship Id="rId88" Type="http://schemas.openxmlformats.org/officeDocument/2006/relationships/ctrlProp" Target="../ctrlProps/ctrlProp179.xml"/><Relationship Id="rId111" Type="http://schemas.openxmlformats.org/officeDocument/2006/relationships/ctrlProp" Target="../ctrlProps/ctrlProp202.xml"/><Relationship Id="rId132" Type="http://schemas.openxmlformats.org/officeDocument/2006/relationships/ctrlProp" Target="../ctrlProps/ctrlProp223.xml"/><Relationship Id="rId15" Type="http://schemas.openxmlformats.org/officeDocument/2006/relationships/ctrlProp" Target="../ctrlProps/ctrlProp106.xml"/><Relationship Id="rId36" Type="http://schemas.openxmlformats.org/officeDocument/2006/relationships/ctrlProp" Target="../ctrlProps/ctrlProp127.xml"/><Relationship Id="rId57" Type="http://schemas.openxmlformats.org/officeDocument/2006/relationships/ctrlProp" Target="../ctrlProps/ctrlProp148.xml"/><Relationship Id="rId106" Type="http://schemas.openxmlformats.org/officeDocument/2006/relationships/ctrlProp" Target="../ctrlProps/ctrlProp197.xml"/><Relationship Id="rId127" Type="http://schemas.openxmlformats.org/officeDocument/2006/relationships/ctrlProp" Target="../ctrlProps/ctrlProp218.xml"/><Relationship Id="rId10" Type="http://schemas.openxmlformats.org/officeDocument/2006/relationships/ctrlProp" Target="../ctrlProps/ctrlProp101.xml"/><Relationship Id="rId31" Type="http://schemas.openxmlformats.org/officeDocument/2006/relationships/ctrlProp" Target="../ctrlProps/ctrlProp122.xml"/><Relationship Id="rId52" Type="http://schemas.openxmlformats.org/officeDocument/2006/relationships/ctrlProp" Target="../ctrlProps/ctrlProp143.xml"/><Relationship Id="rId73" Type="http://schemas.openxmlformats.org/officeDocument/2006/relationships/ctrlProp" Target="../ctrlProps/ctrlProp164.xml"/><Relationship Id="rId78" Type="http://schemas.openxmlformats.org/officeDocument/2006/relationships/ctrlProp" Target="../ctrlProps/ctrlProp169.xml"/><Relationship Id="rId94" Type="http://schemas.openxmlformats.org/officeDocument/2006/relationships/ctrlProp" Target="../ctrlProps/ctrlProp185.xml"/><Relationship Id="rId99" Type="http://schemas.openxmlformats.org/officeDocument/2006/relationships/ctrlProp" Target="../ctrlProps/ctrlProp190.xml"/><Relationship Id="rId101" Type="http://schemas.openxmlformats.org/officeDocument/2006/relationships/ctrlProp" Target="../ctrlProps/ctrlProp192.xml"/><Relationship Id="rId122" Type="http://schemas.openxmlformats.org/officeDocument/2006/relationships/ctrlProp" Target="../ctrlProps/ctrlProp213.xml"/><Relationship Id="rId143" Type="http://schemas.openxmlformats.org/officeDocument/2006/relationships/ctrlProp" Target="../ctrlProps/ctrlProp234.xml"/><Relationship Id="rId148" Type="http://schemas.openxmlformats.org/officeDocument/2006/relationships/ctrlProp" Target="../ctrlProps/ctrlProp239.xml"/><Relationship Id="rId4" Type="http://schemas.openxmlformats.org/officeDocument/2006/relationships/ctrlProp" Target="../ctrlProps/ctrlProp95.xml"/><Relationship Id="rId9" Type="http://schemas.openxmlformats.org/officeDocument/2006/relationships/ctrlProp" Target="../ctrlProps/ctrlProp100.xml"/><Relationship Id="rId26" Type="http://schemas.openxmlformats.org/officeDocument/2006/relationships/ctrlProp" Target="../ctrlProps/ctrlProp117.xml"/><Relationship Id="rId47" Type="http://schemas.openxmlformats.org/officeDocument/2006/relationships/ctrlProp" Target="../ctrlProps/ctrlProp138.xml"/><Relationship Id="rId68" Type="http://schemas.openxmlformats.org/officeDocument/2006/relationships/ctrlProp" Target="../ctrlProps/ctrlProp159.xml"/><Relationship Id="rId89" Type="http://schemas.openxmlformats.org/officeDocument/2006/relationships/ctrlProp" Target="../ctrlProps/ctrlProp180.xml"/><Relationship Id="rId112" Type="http://schemas.openxmlformats.org/officeDocument/2006/relationships/ctrlProp" Target="../ctrlProps/ctrlProp203.xml"/><Relationship Id="rId133" Type="http://schemas.openxmlformats.org/officeDocument/2006/relationships/ctrlProp" Target="../ctrlProps/ctrlProp224.xml"/><Relationship Id="rId16" Type="http://schemas.openxmlformats.org/officeDocument/2006/relationships/ctrlProp" Target="../ctrlProps/ctrlProp107.xml"/><Relationship Id="rId37" Type="http://schemas.openxmlformats.org/officeDocument/2006/relationships/ctrlProp" Target="../ctrlProps/ctrlProp128.xml"/><Relationship Id="rId58" Type="http://schemas.openxmlformats.org/officeDocument/2006/relationships/ctrlProp" Target="../ctrlProps/ctrlProp149.xml"/><Relationship Id="rId79" Type="http://schemas.openxmlformats.org/officeDocument/2006/relationships/ctrlProp" Target="../ctrlProps/ctrlProp170.xml"/><Relationship Id="rId102" Type="http://schemas.openxmlformats.org/officeDocument/2006/relationships/ctrlProp" Target="../ctrlProps/ctrlProp193.xml"/><Relationship Id="rId123" Type="http://schemas.openxmlformats.org/officeDocument/2006/relationships/ctrlProp" Target="../ctrlProps/ctrlProp214.xml"/><Relationship Id="rId144" Type="http://schemas.openxmlformats.org/officeDocument/2006/relationships/ctrlProp" Target="../ctrlProps/ctrlProp235.xml"/><Relationship Id="rId90" Type="http://schemas.openxmlformats.org/officeDocument/2006/relationships/ctrlProp" Target="../ctrlProps/ctrlProp18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4.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411" t="s">
        <v>3029</v>
      </c>
      <c r="C2" s="1411"/>
      <c r="D2" s="3"/>
      <c r="E2" s="3"/>
      <c r="F2" s="3"/>
      <c r="G2" s="3"/>
      <c r="H2" s="3"/>
      <c r="I2" s="3"/>
      <c r="J2" s="3"/>
      <c r="K2" s="3"/>
      <c r="L2" s="3"/>
    </row>
    <row r="4" spans="1:256">
      <c r="B4" s="4" t="s">
        <v>934</v>
      </c>
    </row>
    <row r="5" spans="1:256">
      <c r="B5" s="2" t="s">
        <v>935</v>
      </c>
    </row>
    <row r="6" spans="1:256">
      <c r="B6" s="2" t="s">
        <v>1895</v>
      </c>
    </row>
    <row r="7" spans="1:256">
      <c r="B7" s="2" t="s">
        <v>3030</v>
      </c>
    </row>
    <row r="8" spans="1:256">
      <c r="B8" s="2" t="s">
        <v>148</v>
      </c>
    </row>
    <row r="9" spans="1:256" ht="13.5" thickBot="1"/>
    <row r="10" spans="1:256" ht="16.5" thickBot="1">
      <c r="A10"/>
      <c r="B10" s="1409" t="s">
        <v>933</v>
      </c>
      <c r="C10" s="14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4" t="s">
        <v>3241</v>
      </c>
      <c r="C12" s="1385" t="s">
        <v>1896</v>
      </c>
    </row>
    <row r="13" spans="1:256">
      <c r="B13" s="1407" t="s">
        <v>2325</v>
      </c>
      <c r="C13" s="1386" t="s">
        <v>3225</v>
      </c>
    </row>
    <row r="14" spans="1:256" ht="22.5">
      <c r="B14" s="1407"/>
      <c r="C14" s="1386" t="s">
        <v>3226</v>
      </c>
    </row>
    <row r="15" spans="1:256" ht="22.5">
      <c r="B15" s="1407"/>
      <c r="C15" s="1386" t="s">
        <v>3227</v>
      </c>
    </row>
    <row r="16" spans="1:256">
      <c r="B16" s="1407"/>
      <c r="C16" s="1386" t="s">
        <v>3228</v>
      </c>
    </row>
    <row r="17" spans="2:3">
      <c r="B17" s="1407"/>
      <c r="C17" s="1386" t="s">
        <v>1898</v>
      </c>
    </row>
    <row r="18" spans="2:3" ht="35.25" customHeight="1">
      <c r="B18" s="1407"/>
      <c r="C18" s="1387" t="s">
        <v>3229</v>
      </c>
    </row>
    <row r="19" spans="2:3" ht="22.5">
      <c r="B19" s="1407"/>
      <c r="C19" s="1386" t="s">
        <v>3230</v>
      </c>
    </row>
    <row r="20" spans="2:3" ht="56.25">
      <c r="B20" s="1407"/>
      <c r="C20" s="1386" t="s">
        <v>3231</v>
      </c>
    </row>
    <row r="21" spans="2:3">
      <c r="B21" s="1408" t="s">
        <v>1897</v>
      </c>
      <c r="C21" s="1380" t="s">
        <v>3239</v>
      </c>
    </row>
    <row r="22" spans="2:3" ht="22.5">
      <c r="B22" s="1408"/>
      <c r="C22" s="1379" t="s">
        <v>3232</v>
      </c>
    </row>
    <row r="23" spans="2:3" ht="33.75">
      <c r="B23" s="1408"/>
      <c r="C23" s="1379" t="s">
        <v>3233</v>
      </c>
    </row>
    <row r="24" spans="2:3" ht="22.5">
      <c r="B24" s="1388" t="s">
        <v>3236</v>
      </c>
      <c r="C24" s="1386" t="s">
        <v>3240</v>
      </c>
    </row>
    <row r="25" spans="2:3" ht="27" customHeight="1">
      <c r="B25" s="1381" t="s">
        <v>3237</v>
      </c>
      <c r="C25" s="1379" t="s">
        <v>3238</v>
      </c>
    </row>
    <row r="26" spans="2:3" ht="22.5">
      <c r="B26" s="1388" t="s">
        <v>2326</v>
      </c>
      <c r="C26" s="1386" t="s">
        <v>3234</v>
      </c>
    </row>
    <row r="27" spans="2:3" ht="23.25" thickBot="1">
      <c r="B27" s="1382" t="s">
        <v>3041</v>
      </c>
      <c r="C27" s="1383" t="s">
        <v>3235</v>
      </c>
    </row>
    <row r="31" spans="2:3">
      <c r="B31" s="5" t="s">
        <v>1757</v>
      </c>
    </row>
    <row r="32" spans="2:3">
      <c r="B32" s="7" t="s">
        <v>1758</v>
      </c>
    </row>
    <row r="33" spans="2:2">
      <c r="B33" s="6" t="s">
        <v>3203</v>
      </c>
    </row>
    <row r="34" spans="2:2">
      <c r="B34" s="6"/>
    </row>
    <row r="35" spans="2:2">
      <c r="B35" s="7" t="s">
        <v>3204</v>
      </c>
    </row>
    <row r="36" spans="2:2">
      <c r="B36" s="6" t="s">
        <v>3205</v>
      </c>
    </row>
    <row r="37" spans="2:2">
      <c r="B37" s="6"/>
    </row>
    <row r="38" spans="2:2">
      <c r="B38" s="7" t="s">
        <v>1755</v>
      </c>
    </row>
    <row r="39" spans="2:2">
      <c r="B39" s="6" t="s">
        <v>3206</v>
      </c>
    </row>
    <row r="40" spans="2:2">
      <c r="B40" s="6" t="s">
        <v>3207</v>
      </c>
    </row>
    <row r="41" spans="2:2">
      <c r="B41" s="6" t="s">
        <v>3208</v>
      </c>
    </row>
    <row r="42" spans="2:2">
      <c r="B42" s="6"/>
    </row>
    <row r="43" spans="2:2">
      <c r="B43" s="7" t="s">
        <v>3209</v>
      </c>
    </row>
    <row r="44" spans="2:2">
      <c r="B44" s="6" t="s">
        <v>3210</v>
      </c>
    </row>
    <row r="45" spans="2:2">
      <c r="B45" s="6" t="s">
        <v>3211</v>
      </c>
    </row>
    <row r="46" spans="2:2">
      <c r="B46" s="6"/>
    </row>
    <row r="47" spans="2:2">
      <c r="B47" s="7" t="s">
        <v>3212</v>
      </c>
    </row>
    <row r="48" spans="2:2">
      <c r="B48" s="6" t="s">
        <v>3213</v>
      </c>
    </row>
    <row r="49" spans="2:5">
      <c r="B49" s="6"/>
    </row>
    <row r="50" spans="2:5">
      <c r="B50" s="7" t="s">
        <v>996</v>
      </c>
    </row>
    <row r="51" spans="2:5">
      <c r="B51" s="6" t="s">
        <v>3215</v>
      </c>
    </row>
    <row r="52" spans="2:5">
      <c r="B52" s="6"/>
    </row>
    <row r="53" spans="2:5">
      <c r="B53" s="7" t="s">
        <v>3216</v>
      </c>
    </row>
    <row r="54" spans="2:5">
      <c r="B54" s="6" t="s">
        <v>3217</v>
      </c>
    </row>
    <row r="55" spans="2:5">
      <c r="B55" s="6" t="s">
        <v>3218</v>
      </c>
    </row>
    <row r="56" spans="2:5">
      <c r="B56" s="6"/>
    </row>
    <row r="57" spans="2:5">
      <c r="B57" s="7" t="s">
        <v>3219</v>
      </c>
    </row>
    <row r="58" spans="2:5">
      <c r="B58" s="6" t="s">
        <v>3221</v>
      </c>
    </row>
    <row r="59" spans="2:5">
      <c r="B59" s="6" t="s">
        <v>3220</v>
      </c>
    </row>
    <row r="60" spans="2:5">
      <c r="B60" s="6"/>
    </row>
    <row r="61" spans="2:5">
      <c r="B61" s="7" t="s">
        <v>3222</v>
      </c>
    </row>
    <row r="62" spans="2:5">
      <c r="B62" s="6" t="s">
        <v>3223</v>
      </c>
    </row>
    <row r="63" spans="2:5">
      <c r="B63" s="6"/>
    </row>
    <row r="64" spans="2:5">
      <c r="B64" s="1406" t="s">
        <v>3224</v>
      </c>
      <c r="C64" s="1406"/>
      <c r="D64" s="1406"/>
      <c r="E64" s="1406"/>
    </row>
    <row r="66" spans="1:2">
      <c r="B66" s="5" t="s">
        <v>8</v>
      </c>
    </row>
    <row r="67" spans="1:2">
      <c r="A67" s="6"/>
      <c r="B67" s="6" t="s">
        <v>9</v>
      </c>
    </row>
    <row r="68" spans="1:2">
      <c r="A68" s="6"/>
      <c r="B68" s="6" t="s">
        <v>3156</v>
      </c>
    </row>
    <row r="69" spans="1:2">
      <c r="A69" s="6"/>
      <c r="B69" s="6" t="s">
        <v>3157</v>
      </c>
    </row>
    <row r="70" spans="1:2">
      <c r="A70" s="6"/>
      <c r="B70" s="6" t="s">
        <v>2243</v>
      </c>
    </row>
    <row r="71" spans="1:2">
      <c r="A71" s="6"/>
      <c r="B71" s="6" t="s">
        <v>3201</v>
      </c>
    </row>
    <row r="72" spans="1:2">
      <c r="A72" s="6"/>
      <c r="B72" s="6" t="s">
        <v>3200</v>
      </c>
    </row>
    <row r="73" spans="1:2">
      <c r="A73" s="6"/>
    </row>
    <row r="74" spans="1:2">
      <c r="B74" s="4" t="s">
        <v>3158</v>
      </c>
    </row>
    <row r="75" spans="1:2">
      <c r="A75" s="2"/>
      <c r="B75" s="2" t="s">
        <v>3159</v>
      </c>
    </row>
    <row r="76" spans="1:2">
      <c r="A76" s="2"/>
      <c r="B76" s="2" t="s">
        <v>3161</v>
      </c>
    </row>
    <row r="77" spans="1:2">
      <c r="A77" s="2"/>
    </row>
    <row r="78" spans="1:2">
      <c r="A78" s="2"/>
      <c r="B78" s="4" t="s">
        <v>3162</v>
      </c>
    </row>
    <row r="79" spans="1:2">
      <c r="A79" s="2"/>
      <c r="B79" s="2" t="s">
        <v>3243</v>
      </c>
    </row>
    <row r="80" spans="1:2">
      <c r="A80" s="2"/>
      <c r="B80" s="2" t="s">
        <v>3199</v>
      </c>
    </row>
    <row r="81" spans="2:2">
      <c r="B81" s="2" t="s">
        <v>3198</v>
      </c>
    </row>
    <row r="82" spans="2:2">
      <c r="B82" s="2" t="s">
        <v>3163</v>
      </c>
    </row>
    <row r="83" spans="2:2">
      <c r="B83" s="2" t="s">
        <v>3214</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87"/>
  <sheetViews>
    <sheetView workbookViewId="0">
      <selection activeCell="A2" sqref="A2"/>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2328</v>
      </c>
    </row>
    <row r="3" spans="1:2">
      <c r="A3" s="9" t="s">
        <v>3245</v>
      </c>
      <c r="B3" s="9" t="s">
        <v>2329</v>
      </c>
    </row>
    <row r="4" spans="1:2">
      <c r="A4" s="9" t="s">
        <v>2214</v>
      </c>
      <c r="B4" s="9" t="s">
        <v>3246</v>
      </c>
    </row>
    <row r="5" spans="1:2">
      <c r="B5" s="9" t="s">
        <v>3273</v>
      </c>
    </row>
    <row r="6" spans="1:2">
      <c r="B6" s="9" t="s">
        <v>3276</v>
      </c>
    </row>
    <row r="7" spans="1:2">
      <c r="A7" s="9" t="s">
        <v>1583</v>
      </c>
      <c r="B7" s="9" t="s">
        <v>3249</v>
      </c>
    </row>
    <row r="8" spans="1:2">
      <c r="B8" s="9" t="s">
        <v>3274</v>
      </c>
    </row>
    <row r="9" spans="1:2">
      <c r="B9" s="9" t="s">
        <v>3280</v>
      </c>
    </row>
    <row r="10" spans="1:2">
      <c r="A10" s="9" t="s">
        <v>1856</v>
      </c>
      <c r="B10" s="9" t="s">
        <v>3279</v>
      </c>
    </row>
    <row r="11" spans="1:2">
      <c r="A11" s="2"/>
      <c r="B11" s="9" t="s">
        <v>3244</v>
      </c>
    </row>
    <row r="12" spans="1:2">
      <c r="B12" s="9" t="s">
        <v>3250</v>
      </c>
    </row>
    <row r="13" spans="1:2">
      <c r="B13" s="9" t="s">
        <v>3278</v>
      </c>
    </row>
    <row r="14" spans="1:2">
      <c r="B14" s="9" t="s">
        <v>3275</v>
      </c>
    </row>
    <row r="15" spans="1:2">
      <c r="B15" s="9" t="s">
        <v>3251</v>
      </c>
    </row>
    <row r="16" spans="1:2">
      <c r="B16" s="9" t="s">
        <v>3248</v>
      </c>
    </row>
    <row r="17" spans="1:2">
      <c r="B17" s="9" t="s">
        <v>3252</v>
      </c>
    </row>
    <row r="18" spans="1:2">
      <c r="B18" s="9" t="s">
        <v>3277</v>
      </c>
    </row>
    <row r="19" spans="1:2">
      <c r="B19" s="9" t="s">
        <v>3281</v>
      </c>
    </row>
    <row r="21" spans="1:2">
      <c r="A21" s="9" t="s">
        <v>3202</v>
      </c>
      <c r="B21" s="9" t="s">
        <v>2329</v>
      </c>
    </row>
    <row r="22" spans="1:2">
      <c r="A22" s="9" t="s">
        <v>2214</v>
      </c>
      <c r="B22" s="9" t="s">
        <v>3006</v>
      </c>
    </row>
    <row r="23" spans="1:2">
      <c r="B23" s="9" t="s">
        <v>3005</v>
      </c>
    </row>
    <row r="24" spans="1:2">
      <c r="B24" s="48" t="s">
        <v>2405</v>
      </c>
    </row>
    <row r="25" spans="1:2">
      <c r="B25" s="650" t="s">
        <v>2410</v>
      </c>
    </row>
    <row r="26" spans="1:2">
      <c r="B26" s="650" t="s">
        <v>2988</v>
      </c>
    </row>
    <row r="27" spans="1:2">
      <c r="B27" s="650" t="s">
        <v>2859</v>
      </c>
    </row>
    <row r="28" spans="1:2">
      <c r="B28" s="650" t="s">
        <v>3020</v>
      </c>
    </row>
    <row r="29" spans="1:2">
      <c r="B29" s="650" t="s">
        <v>3035</v>
      </c>
    </row>
    <row r="30" spans="1:2">
      <c r="A30" s="2"/>
      <c r="B30" s="650" t="s">
        <v>2866</v>
      </c>
    </row>
    <row r="31" spans="1:2">
      <c r="A31" s="2"/>
      <c r="B31" s="650" t="s">
        <v>3036</v>
      </c>
    </row>
    <row r="32" spans="1:2">
      <c r="B32" s="650" t="s">
        <v>2885</v>
      </c>
    </row>
    <row r="33" spans="1:2">
      <c r="A33" s="9" t="s">
        <v>1583</v>
      </c>
      <c r="B33" s="9" t="s">
        <v>2330</v>
      </c>
    </row>
    <row r="34" spans="1:2">
      <c r="B34" s="9" t="s">
        <v>2406</v>
      </c>
    </row>
    <row r="35" spans="1:2">
      <c r="B35" s="9" t="s">
        <v>2422</v>
      </c>
    </row>
    <row r="36" spans="1:2">
      <c r="B36" s="9" t="s">
        <v>2860</v>
      </c>
    </row>
    <row r="37" spans="1:2">
      <c r="B37" s="9" t="s">
        <v>2876</v>
      </c>
    </row>
    <row r="38" spans="1:2">
      <c r="B38" s="9" t="s">
        <v>2879</v>
      </c>
    </row>
    <row r="39" spans="1:2">
      <c r="B39" s="9" t="s">
        <v>2984</v>
      </c>
    </row>
    <row r="40" spans="1:2">
      <c r="B40" s="9" t="s">
        <v>2985</v>
      </c>
    </row>
    <row r="41" spans="1:2">
      <c r="B41" s="9" t="s">
        <v>3015</v>
      </c>
    </row>
    <row r="42" spans="1:2">
      <c r="B42" s="9" t="s">
        <v>3016</v>
      </c>
    </row>
    <row r="43" spans="1:2">
      <c r="B43" s="9" t="s">
        <v>3017</v>
      </c>
    </row>
    <row r="44" spans="1:2">
      <c r="B44" s="9" t="s">
        <v>2986</v>
      </c>
    </row>
    <row r="45" spans="1:2">
      <c r="A45" s="9" t="s">
        <v>1856</v>
      </c>
      <c r="B45" s="9" t="s">
        <v>2987</v>
      </c>
    </row>
    <row r="46" spans="1:2">
      <c r="B46" s="9" t="s">
        <v>2864</v>
      </c>
    </row>
    <row r="47" spans="1:2">
      <c r="A47" s="9" t="s">
        <v>2070</v>
      </c>
      <c r="B47" s="9" t="s">
        <v>2332</v>
      </c>
    </row>
    <row r="48" spans="1:2">
      <c r="B48" s="9" t="s">
        <v>2421</v>
      </c>
    </row>
    <row r="50" spans="1:2">
      <c r="A50" s="9" t="s">
        <v>1850</v>
      </c>
    </row>
    <row r="51" spans="1:2">
      <c r="A51" s="9" t="s">
        <v>2331</v>
      </c>
    </row>
    <row r="52" spans="1:2">
      <c r="A52" s="9" t="s">
        <v>311</v>
      </c>
      <c r="B52" s="9" t="s">
        <v>2040</v>
      </c>
    </row>
    <row r="53" spans="1:2">
      <c r="A53" s="9" t="s">
        <v>2214</v>
      </c>
      <c r="B53" s="9" t="s">
        <v>1442</v>
      </c>
    </row>
    <row r="54" spans="1:2">
      <c r="B54" s="9" t="s">
        <v>1441</v>
      </c>
    </row>
    <row r="55" spans="1:2">
      <c r="B55" s="9" t="s">
        <v>65</v>
      </c>
    </row>
    <row r="56" spans="1:2">
      <c r="B56" s="9" t="s">
        <v>62</v>
      </c>
    </row>
    <row r="57" spans="1:2">
      <c r="B57" s="9" t="s">
        <v>60</v>
      </c>
    </row>
    <row r="58" spans="1:2">
      <c r="B58" s="9" t="s">
        <v>61</v>
      </c>
    </row>
    <row r="59" spans="1:2">
      <c r="B59" s="9" t="s">
        <v>64</v>
      </c>
    </row>
    <row r="60" spans="1:2">
      <c r="B60" s="9" t="s">
        <v>1729</v>
      </c>
    </row>
    <row r="61" spans="1:2">
      <c r="B61" s="9" t="s">
        <v>69</v>
      </c>
    </row>
    <row r="62" spans="1:2">
      <c r="B62" s="2" t="s">
        <v>2162</v>
      </c>
    </row>
    <row r="63" spans="1:2">
      <c r="B63" s="2" t="s">
        <v>2163</v>
      </c>
    </row>
    <row r="64" spans="1:2">
      <c r="B64" s="2" t="s">
        <v>67</v>
      </c>
    </row>
    <row r="65" spans="1:2">
      <c r="B65" s="9" t="s">
        <v>68</v>
      </c>
    </row>
    <row r="66" spans="1:2">
      <c r="B66" s="9" t="s">
        <v>1728</v>
      </c>
    </row>
    <row r="67" spans="1:2">
      <c r="B67" s="9" t="s">
        <v>73</v>
      </c>
    </row>
    <row r="68" spans="1:2">
      <c r="B68" s="9" t="s">
        <v>2164</v>
      </c>
    </row>
    <row r="69" spans="1:2">
      <c r="B69" s="9" t="s">
        <v>70</v>
      </c>
    </row>
    <row r="70" spans="1:2">
      <c r="B70" s="9" t="s">
        <v>2159</v>
      </c>
    </row>
    <row r="71" spans="1:2">
      <c r="B71" s="9" t="s">
        <v>789</v>
      </c>
    </row>
    <row r="72" spans="1:2">
      <c r="A72" s="9" t="s">
        <v>1856</v>
      </c>
      <c r="B72" s="9" t="s">
        <v>71</v>
      </c>
    </row>
    <row r="73" spans="1:2">
      <c r="B73" s="9" t="s">
        <v>1443</v>
      </c>
    </row>
    <row r="74" spans="1:2">
      <c r="B74" s="9" t="s">
        <v>66</v>
      </c>
    </row>
    <row r="75" spans="1:2">
      <c r="B75" s="9" t="s">
        <v>1730</v>
      </c>
    </row>
    <row r="76" spans="1:2">
      <c r="B76" s="9" t="s">
        <v>305</v>
      </c>
    </row>
    <row r="77" spans="1:2">
      <c r="B77" s="9" t="s">
        <v>787</v>
      </c>
    </row>
    <row r="78" spans="1:2">
      <c r="B78" s="9" t="s">
        <v>788</v>
      </c>
    </row>
    <row r="79" spans="1:2">
      <c r="B79" s="9" t="s">
        <v>1557</v>
      </c>
    </row>
    <row r="80" spans="1:2">
      <c r="B80" s="9" t="s">
        <v>1756</v>
      </c>
    </row>
    <row r="81" spans="1:2">
      <c r="B81" s="9" t="s">
        <v>309</v>
      </c>
    </row>
    <row r="82" spans="1:2">
      <c r="B82" s="9" t="s">
        <v>310</v>
      </c>
    </row>
    <row r="84" spans="1:2">
      <c r="A84" s="9" t="s">
        <v>2202</v>
      </c>
      <c r="B84" s="9" t="s">
        <v>790</v>
      </c>
    </row>
    <row r="85" spans="1:2">
      <c r="A85" s="9" t="s">
        <v>2214</v>
      </c>
      <c r="B85" s="9" t="s">
        <v>1987</v>
      </c>
    </row>
    <row r="86" spans="1:2">
      <c r="A86" s="2"/>
      <c r="B86" s="9" t="s">
        <v>1833</v>
      </c>
    </row>
    <row r="87" spans="1:2">
      <c r="B87" s="9" t="s">
        <v>408</v>
      </c>
    </row>
    <row r="88" spans="1:2">
      <c r="B88" s="9" t="s">
        <v>1732</v>
      </c>
    </row>
    <row r="89" spans="1:2">
      <c r="A89" s="9" t="s">
        <v>1583</v>
      </c>
      <c r="B89" s="9" t="s">
        <v>1237</v>
      </c>
    </row>
    <row r="90" spans="1:2">
      <c r="B90" s="9" t="s">
        <v>1676</v>
      </c>
    </row>
    <row r="91" spans="1:2">
      <c r="B91" s="9" t="s">
        <v>602</v>
      </c>
    </row>
    <row r="92" spans="1:2">
      <c r="B92" s="9" t="s">
        <v>2203</v>
      </c>
    </row>
    <row r="93" spans="1:2">
      <c r="B93" s="9" t="s">
        <v>37</v>
      </c>
    </row>
    <row r="94" spans="1:2">
      <c r="B94" s="9" t="s">
        <v>2006</v>
      </c>
    </row>
    <row r="95" spans="1:2">
      <c r="B95" s="9" t="s">
        <v>2236</v>
      </c>
    </row>
    <row r="96" spans="1:2">
      <c r="B96" s="9" t="s">
        <v>2235</v>
      </c>
    </row>
    <row r="97" spans="1:2">
      <c r="B97" s="9" t="s">
        <v>2239</v>
      </c>
    </row>
    <row r="98" spans="1:2">
      <c r="A98" s="9" t="s">
        <v>1856</v>
      </c>
      <c r="B98" s="9" t="s">
        <v>1236</v>
      </c>
    </row>
    <row r="99" spans="1:2">
      <c r="B99" s="9" t="s">
        <v>1238</v>
      </c>
    </row>
    <row r="100" spans="1:2">
      <c r="B100" s="9" t="s">
        <v>1239</v>
      </c>
    </row>
    <row r="101" spans="1:2">
      <c r="B101" s="9" t="s">
        <v>1240</v>
      </c>
    </row>
    <row r="102" spans="1:2">
      <c r="B102" s="9" t="s">
        <v>441</v>
      </c>
    </row>
    <row r="103" spans="1:2">
      <c r="B103" s="9" t="s">
        <v>406</v>
      </c>
    </row>
    <row r="104" spans="1:2">
      <c r="B104" s="9" t="s">
        <v>2012</v>
      </c>
    </row>
    <row r="105" spans="1:2">
      <c r="B105" s="9" t="s">
        <v>2313</v>
      </c>
    </row>
    <row r="106" spans="1:2">
      <c r="B106" s="9" t="s">
        <v>2314</v>
      </c>
    </row>
    <row r="107" spans="1:2">
      <c r="B107" s="9" t="s">
        <v>1249</v>
      </c>
    </row>
    <row r="108" spans="1:2">
      <c r="B108" s="9" t="s">
        <v>1731</v>
      </c>
    </row>
    <row r="109" spans="1:2">
      <c r="B109" s="9" t="s">
        <v>1909</v>
      </c>
    </row>
    <row r="110" spans="1:2">
      <c r="B110" s="9" t="s">
        <v>1910</v>
      </c>
    </row>
    <row r="111" spans="1:2">
      <c r="B111" s="9" t="s">
        <v>2233</v>
      </c>
    </row>
    <row r="112" spans="1:2">
      <c r="B112" s="9" t="s">
        <v>1110</v>
      </c>
    </row>
    <row r="113" spans="1:2">
      <c r="B113" s="9" t="s">
        <v>1111</v>
      </c>
    </row>
    <row r="115" spans="1:2">
      <c r="A115" s="9" t="s">
        <v>623</v>
      </c>
      <c r="B115" s="9" t="s">
        <v>790</v>
      </c>
    </row>
    <row r="116" spans="1:2">
      <c r="A116" s="9" t="s">
        <v>2214</v>
      </c>
      <c r="B116" s="9" t="s">
        <v>622</v>
      </c>
    </row>
    <row r="117" spans="1:2">
      <c r="A117" s="9" t="s">
        <v>1583</v>
      </c>
      <c r="B117" s="9" t="s">
        <v>431</v>
      </c>
    </row>
    <row r="118" spans="1:2">
      <c r="B118" s="9" t="s">
        <v>2266</v>
      </c>
    </row>
    <row r="119" spans="1:2">
      <c r="B119" s="9" t="s">
        <v>2058</v>
      </c>
    </row>
    <row r="120" spans="1:2">
      <c r="B120" s="9" t="s">
        <v>2062</v>
      </c>
    </row>
    <row r="121" spans="1:2">
      <c r="B121" s="9" t="s">
        <v>621</v>
      </c>
    </row>
    <row r="122" spans="1:2">
      <c r="B122" s="9" t="s">
        <v>624</v>
      </c>
    </row>
    <row r="123" spans="1:2">
      <c r="A123" s="9" t="s">
        <v>1856</v>
      </c>
      <c r="B123" s="9" t="s">
        <v>1879</v>
      </c>
    </row>
    <row r="124" spans="1:2">
      <c r="B124" s="9" t="s">
        <v>1880</v>
      </c>
    </row>
    <row r="125" spans="1:2">
      <c r="B125" s="9" t="s">
        <v>430</v>
      </c>
    </row>
    <row r="126" spans="1:2">
      <c r="B126" s="9" t="s">
        <v>2264</v>
      </c>
    </row>
    <row r="128" spans="1:2">
      <c r="A128" s="9" t="s">
        <v>1743</v>
      </c>
      <c r="B128" s="9" t="s">
        <v>790</v>
      </c>
    </row>
    <row r="129" spans="1:2">
      <c r="A129" s="9" t="s">
        <v>2214</v>
      </c>
      <c r="B129" s="9" t="s">
        <v>1874</v>
      </c>
    </row>
    <row r="130" spans="1:2">
      <c r="A130" s="2"/>
      <c r="B130" s="9" t="s">
        <v>83</v>
      </c>
    </row>
    <row r="131" spans="1:2">
      <c r="A131" s="2"/>
      <c r="B131" s="9" t="s">
        <v>1260</v>
      </c>
    </row>
    <row r="132" spans="1:2">
      <c r="B132" s="9" t="s">
        <v>79</v>
      </c>
    </row>
    <row r="133" spans="1:2">
      <c r="B133" s="9" t="s">
        <v>1859</v>
      </c>
    </row>
    <row r="134" spans="1:2">
      <c r="B134" s="9" t="s">
        <v>1864</v>
      </c>
    </row>
    <row r="135" spans="1:2">
      <c r="B135" s="9" t="s">
        <v>1860</v>
      </c>
    </row>
    <row r="136" spans="1:2">
      <c r="B136" s="9" t="s">
        <v>1865</v>
      </c>
    </row>
    <row r="137" spans="1:2">
      <c r="B137" s="9" t="s">
        <v>85</v>
      </c>
    </row>
    <row r="138" spans="1:2">
      <c r="B138" s="9" t="s">
        <v>1867</v>
      </c>
    </row>
    <row r="139" spans="1:2">
      <c r="A139" s="2"/>
      <c r="B139" s="9" t="s">
        <v>77</v>
      </c>
    </row>
    <row r="140" spans="1:2">
      <c r="B140" s="9" t="s">
        <v>78</v>
      </c>
    </row>
    <row r="141" spans="1:2">
      <c r="B141" s="9" t="s">
        <v>1261</v>
      </c>
    </row>
    <row r="142" spans="1:2">
      <c r="B142" s="9" t="s">
        <v>1262</v>
      </c>
    </row>
    <row r="143" spans="1:2">
      <c r="B143" s="9" t="s">
        <v>82</v>
      </c>
    </row>
    <row r="144" spans="1:2">
      <c r="B144" s="9" t="s">
        <v>1259</v>
      </c>
    </row>
    <row r="145" spans="1:2">
      <c r="B145" s="9" t="s">
        <v>1553</v>
      </c>
    </row>
    <row r="146" spans="1:2">
      <c r="B146" s="9" t="s">
        <v>1554</v>
      </c>
    </row>
    <row r="147" spans="1:2">
      <c r="B147" s="9" t="s">
        <v>1861</v>
      </c>
    </row>
    <row r="148" spans="1:2">
      <c r="B148" s="9" t="s">
        <v>1870</v>
      </c>
    </row>
    <row r="149" spans="1:2">
      <c r="B149" s="9" t="s">
        <v>1873</v>
      </c>
    </row>
    <row r="150" spans="1:2">
      <c r="B150" s="9" t="s">
        <v>1869</v>
      </c>
    </row>
    <row r="151" spans="1:2">
      <c r="B151" s="9" t="s">
        <v>28</v>
      </c>
    </row>
    <row r="152" spans="1:2">
      <c r="B152" s="9" t="s">
        <v>38</v>
      </c>
    </row>
    <row r="153" spans="1:2">
      <c r="B153" s="9" t="s">
        <v>39</v>
      </c>
    </row>
    <row r="154" spans="1:2">
      <c r="B154" s="9" t="s">
        <v>1742</v>
      </c>
    </row>
    <row r="155" spans="1:2">
      <c r="B155" s="9" t="s">
        <v>103</v>
      </c>
    </row>
    <row r="156" spans="1:2">
      <c r="B156" s="9" t="s">
        <v>106</v>
      </c>
    </row>
    <row r="157" spans="1:2">
      <c r="B157" s="9" t="s">
        <v>1558</v>
      </c>
    </row>
    <row r="158" spans="1:2">
      <c r="A158" s="9" t="s">
        <v>1583</v>
      </c>
      <c r="B158" s="9" t="s">
        <v>1591</v>
      </c>
    </row>
    <row r="159" spans="1:2">
      <c r="B159" s="9" t="s">
        <v>864</v>
      </c>
    </row>
    <row r="160" spans="1:2">
      <c r="B160" s="9" t="s">
        <v>2295</v>
      </c>
    </row>
    <row r="161" spans="1:2">
      <c r="B161" s="9" t="s">
        <v>421</v>
      </c>
    </row>
    <row r="162" spans="1:2">
      <c r="B162" s="9" t="s">
        <v>958</v>
      </c>
    </row>
    <row r="163" spans="1:2">
      <c r="B163" s="9" t="s">
        <v>1135</v>
      </c>
    </row>
    <row r="164" spans="1:2">
      <c r="B164" s="9" t="s">
        <v>865</v>
      </c>
    </row>
    <row r="165" spans="1:2">
      <c r="B165" s="9" t="s">
        <v>94</v>
      </c>
    </row>
    <row r="166" spans="1:2">
      <c r="B166" s="9" t="s">
        <v>96</v>
      </c>
    </row>
    <row r="167" spans="1:2">
      <c r="B167" s="9" t="s">
        <v>1559</v>
      </c>
    </row>
    <row r="168" spans="1:2">
      <c r="A168" s="9" t="s">
        <v>1856</v>
      </c>
      <c r="B168" s="9" t="s">
        <v>1622</v>
      </c>
    </row>
    <row r="169" spans="1:2">
      <c r="B169" s="9" t="s">
        <v>2014</v>
      </c>
    </row>
    <row r="170" spans="1:2">
      <c r="B170" s="9" t="s">
        <v>2015</v>
      </c>
    </row>
    <row r="171" spans="1:2">
      <c r="B171" s="9" t="s">
        <v>99</v>
      </c>
    </row>
    <row r="172" spans="1:2">
      <c r="A172" s="9" t="s">
        <v>2070</v>
      </c>
      <c r="B172" s="9" t="s">
        <v>810</v>
      </c>
    </row>
    <row r="175" spans="1:2">
      <c r="A175" s="9" t="s">
        <v>809</v>
      </c>
      <c r="B175" s="9" t="s">
        <v>790</v>
      </c>
    </row>
    <row r="176" spans="1:2">
      <c r="A176" s="9" t="s">
        <v>1583</v>
      </c>
      <c r="B176" s="9" t="s">
        <v>2260</v>
      </c>
    </row>
    <row r="177" spans="1:2">
      <c r="B177" s="9" t="s">
        <v>2261</v>
      </c>
    </row>
    <row r="178" spans="1:2">
      <c r="B178" s="9" t="s">
        <v>451</v>
      </c>
    </row>
    <row r="179" spans="1:2">
      <c r="A179" s="9" t="s">
        <v>1856</v>
      </c>
      <c r="B179" s="9" t="s">
        <v>2257</v>
      </c>
    </row>
    <row r="180" spans="1:2">
      <c r="B180" s="9" t="s">
        <v>2227</v>
      </c>
    </row>
    <row r="181" spans="1:2">
      <c r="B181" s="9" t="s">
        <v>2258</v>
      </c>
    </row>
    <row r="182" spans="1:2">
      <c r="B182" s="9" t="s">
        <v>2259</v>
      </c>
    </row>
    <row r="185" spans="1:2">
      <c r="A185" s="9" t="s">
        <v>876</v>
      </c>
      <c r="B185" s="9" t="s">
        <v>790</v>
      </c>
    </row>
    <row r="186" spans="1:2">
      <c r="A186" s="9" t="s">
        <v>2214</v>
      </c>
      <c r="B186" s="9" t="s">
        <v>697</v>
      </c>
    </row>
    <row r="187" spans="1:2">
      <c r="B187" s="9" t="s">
        <v>154</v>
      </c>
    </row>
    <row r="188" spans="1:2">
      <c r="B188" s="9" t="s">
        <v>153</v>
      </c>
    </row>
    <row r="189" spans="1:2">
      <c r="B189" s="9" t="s">
        <v>874</v>
      </c>
    </row>
    <row r="190" spans="1:2">
      <c r="A190" s="9" t="s">
        <v>1583</v>
      </c>
      <c r="B190" s="9" t="s">
        <v>156</v>
      </c>
    </row>
    <row r="191" spans="1:2">
      <c r="B191" s="9" t="s">
        <v>848</v>
      </c>
    </row>
    <row r="192" spans="1:2">
      <c r="B192" s="9" t="s">
        <v>875</v>
      </c>
    </row>
    <row r="193" spans="1:2">
      <c r="A193" s="9" t="s">
        <v>1856</v>
      </c>
      <c r="B193" s="9" t="s">
        <v>994</v>
      </c>
    </row>
    <row r="194" spans="1:2">
      <c r="B194" s="9" t="s">
        <v>696</v>
      </c>
    </row>
    <row r="195" spans="1:2">
      <c r="B195" s="9" t="s">
        <v>157</v>
      </c>
    </row>
    <row r="196" spans="1:2">
      <c r="B196" s="9" t="s">
        <v>149</v>
      </c>
    </row>
    <row r="197" spans="1:2">
      <c r="B197" s="9" t="s">
        <v>150</v>
      </c>
    </row>
    <row r="198" spans="1:2">
      <c r="B198" s="9" t="s">
        <v>151</v>
      </c>
    </row>
    <row r="199" spans="1:2">
      <c r="B199" s="9" t="s">
        <v>847</v>
      </c>
    </row>
    <row r="200" spans="1:2">
      <c r="B200" s="9" t="s">
        <v>851</v>
      </c>
    </row>
    <row r="201" spans="1:2">
      <c r="B201" s="9" t="s">
        <v>878</v>
      </c>
    </row>
    <row r="202" spans="1:2">
      <c r="A202" s="9" t="s">
        <v>2070</v>
      </c>
      <c r="B202" s="9" t="s">
        <v>152</v>
      </c>
    </row>
    <row r="204" spans="1:2">
      <c r="A204" s="9" t="s">
        <v>1594</v>
      </c>
      <c r="B204" s="9" t="s">
        <v>790</v>
      </c>
    </row>
    <row r="205" spans="1:2">
      <c r="A205" s="9" t="s">
        <v>1583</v>
      </c>
      <c r="B205" s="9" t="s">
        <v>2039</v>
      </c>
    </row>
    <row r="206" spans="1:2">
      <c r="B206" s="9" t="s">
        <v>313</v>
      </c>
    </row>
    <row r="207" spans="1:2">
      <c r="B207" s="9" t="s">
        <v>314</v>
      </c>
    </row>
    <row r="208" spans="1:2">
      <c r="A208" s="9" t="s">
        <v>1856</v>
      </c>
      <c r="B208" s="9" t="s">
        <v>312</v>
      </c>
    </row>
    <row r="209" spans="1:2">
      <c r="B209" s="9" t="s">
        <v>315</v>
      </c>
    </row>
    <row r="210" spans="1:2">
      <c r="B210" s="9" t="s">
        <v>2038</v>
      </c>
    </row>
    <row r="212" spans="1:2">
      <c r="A212" s="9" t="s">
        <v>1605</v>
      </c>
      <c r="B212" s="9" t="s">
        <v>790</v>
      </c>
    </row>
    <row r="213" spans="1:2">
      <c r="A213" s="9" t="s">
        <v>2214</v>
      </c>
      <c r="B213" s="9" t="s">
        <v>834</v>
      </c>
    </row>
    <row r="214" spans="1:2">
      <c r="B214" s="9" t="s">
        <v>1139</v>
      </c>
    </row>
    <row r="215" spans="1:2">
      <c r="A215" s="9" t="s">
        <v>1583</v>
      </c>
      <c r="B215" s="9" t="s">
        <v>831</v>
      </c>
    </row>
    <row r="216" spans="1:2">
      <c r="B216" s="9" t="s">
        <v>1265</v>
      </c>
    </row>
    <row r="217" spans="1:2">
      <c r="B217" s="9" t="s">
        <v>1487</v>
      </c>
    </row>
    <row r="218" spans="1:2">
      <c r="B218" s="9" t="s">
        <v>1556</v>
      </c>
    </row>
    <row r="219" spans="1:2">
      <c r="B219" s="9" t="s">
        <v>1321</v>
      </c>
    </row>
    <row r="220" spans="1:2">
      <c r="B220" s="9" t="s">
        <v>1488</v>
      </c>
    </row>
    <row r="221" spans="1:2">
      <c r="B221" s="9" t="s">
        <v>1322</v>
      </c>
    </row>
    <row r="222" spans="1:2">
      <c r="B222" s="9" t="s">
        <v>1138</v>
      </c>
    </row>
    <row r="223" spans="1:2">
      <c r="B223" s="9" t="s">
        <v>1489</v>
      </c>
    </row>
    <row r="224" spans="1:2">
      <c r="B224" s="9" t="s">
        <v>1490</v>
      </c>
    </row>
    <row r="225" spans="1:2">
      <c r="B225" s="9" t="s">
        <v>1491</v>
      </c>
    </row>
    <row r="226" spans="1:2">
      <c r="A226" s="9" t="s">
        <v>1856</v>
      </c>
      <c r="B226" s="9" t="s">
        <v>832</v>
      </c>
    </row>
    <row r="227" spans="1:2">
      <c r="B227" s="9" t="s">
        <v>613</v>
      </c>
    </row>
    <row r="228" spans="1:2">
      <c r="B228" s="9" t="s">
        <v>587</v>
      </c>
    </row>
    <row r="229" spans="1:2">
      <c r="B229" s="9" t="s">
        <v>730</v>
      </c>
    </row>
    <row r="230" spans="1:2">
      <c r="B230" s="9" t="s">
        <v>937</v>
      </c>
    </row>
    <row r="231" spans="1:2">
      <c r="A231" s="9" t="s">
        <v>2070</v>
      </c>
      <c r="B231" s="9" t="s">
        <v>266</v>
      </c>
    </row>
    <row r="233" spans="1:2">
      <c r="A233" s="9" t="s">
        <v>1415</v>
      </c>
      <c r="B233" s="9" t="s">
        <v>790</v>
      </c>
    </row>
    <row r="234" spans="1:2">
      <c r="A234" s="9" t="s">
        <v>2214</v>
      </c>
      <c r="B234" s="9" t="s">
        <v>438</v>
      </c>
    </row>
    <row r="235" spans="1:2">
      <c r="B235" s="9" t="s">
        <v>1416</v>
      </c>
    </row>
    <row r="236" spans="1:2">
      <c r="B236" s="9" t="s">
        <v>306</v>
      </c>
    </row>
    <row r="237" spans="1:2">
      <c r="B237" s="9" t="s">
        <v>1354</v>
      </c>
    </row>
    <row r="238" spans="1:2">
      <c r="A238" s="9" t="s">
        <v>1583</v>
      </c>
      <c r="B238" s="9" t="s">
        <v>655</v>
      </c>
    </row>
    <row r="239" spans="1:2">
      <c r="B239" s="9" t="s">
        <v>630</v>
      </c>
    </row>
    <row r="240" spans="1:2">
      <c r="B240" s="9" t="s">
        <v>1350</v>
      </c>
    </row>
    <row r="241" spans="1:2">
      <c r="A241" s="2"/>
      <c r="B241" s="9" t="s">
        <v>626</v>
      </c>
    </row>
    <row r="242" spans="1:2">
      <c r="B242" s="9" t="s">
        <v>625</v>
      </c>
    </row>
    <row r="243" spans="1:2">
      <c r="B243" s="9" t="s">
        <v>627</v>
      </c>
    </row>
    <row r="244" spans="1:2">
      <c r="A244" s="9" t="s">
        <v>1856</v>
      </c>
      <c r="B244" s="9" t="s">
        <v>16</v>
      </c>
    </row>
    <row r="245" spans="1:2">
      <c r="B245" s="9" t="s">
        <v>1620</v>
      </c>
    </row>
    <row r="246" spans="1:2">
      <c r="B246" s="9" t="s">
        <v>1255</v>
      </c>
    </row>
    <row r="247" spans="1:2">
      <c r="B247" s="9" t="s">
        <v>1256</v>
      </c>
    </row>
    <row r="248" spans="1:2">
      <c r="B248" s="9" t="s">
        <v>1257</v>
      </c>
    </row>
    <row r="249" spans="1:2">
      <c r="B249" s="9" t="s">
        <v>1208</v>
      </c>
    </row>
    <row r="250" spans="1:2">
      <c r="B250" s="9" t="s">
        <v>1209</v>
      </c>
    </row>
    <row r="251" spans="1:2">
      <c r="B251" s="9" t="s">
        <v>1417</v>
      </c>
    </row>
    <row r="252" spans="1:2">
      <c r="A252" s="9" t="s">
        <v>2070</v>
      </c>
      <c r="B252" s="9" t="s">
        <v>2016</v>
      </c>
    </row>
    <row r="253" spans="1:2">
      <c r="B253" s="9" t="s">
        <v>2017</v>
      </c>
    </row>
    <row r="255" spans="1:2">
      <c r="A255" s="9" t="s">
        <v>1570</v>
      </c>
      <c r="B255" s="9" t="s">
        <v>790</v>
      </c>
    </row>
    <row r="256" spans="1:2">
      <c r="A256" s="9" t="s">
        <v>2214</v>
      </c>
      <c r="B256" s="9" t="s">
        <v>2093</v>
      </c>
    </row>
    <row r="257" spans="1:2">
      <c r="B257" s="9" t="s">
        <v>10</v>
      </c>
    </row>
    <row r="258" spans="1:2">
      <c r="B258" s="9" t="s">
        <v>130</v>
      </c>
    </row>
    <row r="259" spans="1:2">
      <c r="B259" s="9" t="s">
        <v>1883</v>
      </c>
    </row>
    <row r="260" spans="1:2">
      <c r="B260" s="9" t="s">
        <v>1568</v>
      </c>
    </row>
    <row r="261" spans="1:2">
      <c r="A261" s="2"/>
      <c r="B261" s="9" t="s">
        <v>1634</v>
      </c>
    </row>
    <row r="262" spans="1:2">
      <c r="A262" s="2"/>
      <c r="B262" s="9" t="s">
        <v>425</v>
      </c>
    </row>
    <row r="263" spans="1:2">
      <c r="A263" s="2"/>
      <c r="B263" s="9" t="s">
        <v>11</v>
      </c>
    </row>
    <row r="264" spans="1:2">
      <c r="B264" s="9" t="s">
        <v>2026</v>
      </c>
    </row>
    <row r="265" spans="1:2">
      <c r="B265" s="9" t="s">
        <v>2027</v>
      </c>
    </row>
    <row r="266" spans="1:2">
      <c r="B266" s="9" t="s">
        <v>426</v>
      </c>
    </row>
    <row r="267" spans="1:2">
      <c r="A267" s="2"/>
      <c r="B267" s="9" t="s">
        <v>1140</v>
      </c>
    </row>
    <row r="268" spans="1:2">
      <c r="B268" s="9" t="s">
        <v>1141</v>
      </c>
    </row>
    <row r="269" spans="1:2">
      <c r="B269" s="9" t="s">
        <v>1884</v>
      </c>
    </row>
    <row r="270" spans="1:2">
      <c r="B270" s="9" t="s">
        <v>1892</v>
      </c>
    </row>
    <row r="271" spans="1:2">
      <c r="B271" s="9" t="s">
        <v>1346</v>
      </c>
    </row>
    <row r="272" spans="1:2">
      <c r="B272" s="9" t="s">
        <v>1677</v>
      </c>
    </row>
    <row r="273" spans="1:2">
      <c r="B273" s="9" t="s">
        <v>1885</v>
      </c>
    </row>
    <row r="274" spans="1:2">
      <c r="B274" s="9" t="s">
        <v>12</v>
      </c>
    </row>
    <row r="275" spans="1:2">
      <c r="B275" s="9" t="s">
        <v>700</v>
      </c>
    </row>
    <row r="276" spans="1:2">
      <c r="A276" s="2"/>
      <c r="B276" s="9" t="s">
        <v>1027</v>
      </c>
    </row>
    <row r="277" spans="1:2">
      <c r="A277" s="2"/>
      <c r="B277" s="9" t="s">
        <v>1635</v>
      </c>
    </row>
    <row r="278" spans="1:2">
      <c r="A278" s="2"/>
      <c r="B278" s="9" t="s">
        <v>1142</v>
      </c>
    </row>
    <row r="279" spans="1:2">
      <c r="B279" s="9" t="s">
        <v>879</v>
      </c>
    </row>
    <row r="280" spans="1:2">
      <c r="B280" s="9" t="s">
        <v>129</v>
      </c>
    </row>
    <row r="281" spans="1:2">
      <c r="B281" s="9" t="s">
        <v>1886</v>
      </c>
    </row>
    <row r="282" spans="1:2">
      <c r="B282" s="9" t="s">
        <v>427</v>
      </c>
    </row>
    <row r="283" spans="1:2">
      <c r="B283" s="9" t="s">
        <v>1887</v>
      </c>
    </row>
    <row r="284" spans="1:2">
      <c r="B284" s="9" t="s">
        <v>1891</v>
      </c>
    </row>
    <row r="285" spans="1:2">
      <c r="B285" s="9" t="s">
        <v>428</v>
      </c>
    </row>
    <row r="286" spans="1:2">
      <c r="B286" s="9" t="s">
        <v>1889</v>
      </c>
    </row>
    <row r="287" spans="1:2">
      <c r="B287" s="9" t="s">
        <v>1890</v>
      </c>
    </row>
    <row r="288" spans="1:2">
      <c r="B288" s="9" t="s">
        <v>429</v>
      </c>
    </row>
    <row r="289" spans="1:2">
      <c r="B289" s="9" t="s">
        <v>1881</v>
      </c>
    </row>
    <row r="290" spans="1:2">
      <c r="B290" s="9" t="s">
        <v>1882</v>
      </c>
    </row>
    <row r="291" spans="1:2">
      <c r="A291" s="9" t="s">
        <v>1856</v>
      </c>
      <c r="B291" s="9" t="s">
        <v>422</v>
      </c>
    </row>
    <row r="292" spans="1:2">
      <c r="B292" s="9" t="s">
        <v>252</v>
      </c>
    </row>
    <row r="293" spans="1:2">
      <c r="B293" s="9" t="s">
        <v>254</v>
      </c>
    </row>
    <row r="294" spans="1:2">
      <c r="B294" s="9" t="s">
        <v>307</v>
      </c>
    </row>
    <row r="295" spans="1:2">
      <c r="B295" s="9" t="s">
        <v>1569</v>
      </c>
    </row>
    <row r="296" spans="1:2">
      <c r="B296" s="9" t="s">
        <v>1571</v>
      </c>
    </row>
    <row r="297" spans="1:2">
      <c r="A297" s="9" t="s">
        <v>423</v>
      </c>
      <c r="B297" s="9" t="s">
        <v>424</v>
      </c>
    </row>
    <row r="298" spans="1:2">
      <c r="B298" s="9" t="s">
        <v>253</v>
      </c>
    </row>
    <row r="299" spans="1:2">
      <c r="B299" s="9" t="s">
        <v>1567</v>
      </c>
    </row>
    <row r="301" spans="1:2">
      <c r="A301" s="9" t="s">
        <v>458</v>
      </c>
      <c r="B301" s="9" t="s">
        <v>790</v>
      </c>
    </row>
    <row r="302" spans="1:2">
      <c r="A302" s="9" t="s">
        <v>2214</v>
      </c>
      <c r="B302" s="9" t="s">
        <v>989</v>
      </c>
    </row>
    <row r="303" spans="1:2">
      <c r="A303" s="2"/>
      <c r="B303" s="9" t="s">
        <v>966</v>
      </c>
    </row>
    <row r="304" spans="1:2">
      <c r="B304" s="9" t="s">
        <v>970</v>
      </c>
    </row>
    <row r="305" spans="1:2">
      <c r="B305" s="9" t="s">
        <v>859</v>
      </c>
    </row>
    <row r="306" spans="1:2">
      <c r="B306" s="9" t="s">
        <v>707</v>
      </c>
    </row>
    <row r="307" spans="1:2">
      <c r="B307" s="9" t="s">
        <v>987</v>
      </c>
    </row>
    <row r="308" spans="1:2">
      <c r="A308" s="2"/>
      <c r="B308" s="9" t="s">
        <v>965</v>
      </c>
    </row>
    <row r="309" spans="1:2">
      <c r="A309" s="2"/>
      <c r="B309" s="9" t="s">
        <v>985</v>
      </c>
    </row>
    <row r="310" spans="1:2">
      <c r="A310" s="2"/>
      <c r="B310" s="9" t="s">
        <v>964</v>
      </c>
    </row>
    <row r="311" spans="1:2">
      <c r="A311" s="2"/>
      <c r="B311" s="9" t="s">
        <v>986</v>
      </c>
    </row>
    <row r="312" spans="1:2">
      <c r="A312" s="2"/>
      <c r="B312" s="9" t="s">
        <v>706</v>
      </c>
    </row>
    <row r="313" spans="1:2">
      <c r="A313" s="2"/>
      <c r="B313" s="9" t="s">
        <v>968</v>
      </c>
    </row>
    <row r="314" spans="1:2">
      <c r="A314" s="2"/>
      <c r="B314" s="9" t="s">
        <v>978</v>
      </c>
    </row>
    <row r="315" spans="1:2">
      <c r="A315" s="2"/>
      <c r="B315" s="9" t="s">
        <v>977</v>
      </c>
    </row>
    <row r="316" spans="1:2">
      <c r="A316" s="2"/>
      <c r="B316" s="9" t="s">
        <v>869</v>
      </c>
    </row>
    <row r="317" spans="1:2">
      <c r="A317" s="2"/>
      <c r="B317" s="9" t="s">
        <v>971</v>
      </c>
    </row>
    <row r="318" spans="1:2">
      <c r="A318" s="2"/>
      <c r="B318" s="9" t="s">
        <v>959</v>
      </c>
    </row>
    <row r="319" spans="1:2">
      <c r="A319" s="2"/>
      <c r="B319" s="9" t="s">
        <v>969</v>
      </c>
    </row>
    <row r="320" spans="1:2">
      <c r="A320" s="2"/>
      <c r="B320" s="9" t="s">
        <v>871</v>
      </c>
    </row>
    <row r="321" spans="1:2">
      <c r="A321" s="2"/>
      <c r="B321" s="9" t="s">
        <v>967</v>
      </c>
    </row>
    <row r="322" spans="1:2">
      <c r="A322" s="2"/>
      <c r="B322" s="9" t="s">
        <v>992</v>
      </c>
    </row>
    <row r="323" spans="1:2">
      <c r="A323" s="2"/>
      <c r="B323" s="9" t="s">
        <v>703</v>
      </c>
    </row>
    <row r="324" spans="1:2">
      <c r="A324" s="2"/>
      <c r="B324" s="9" t="s">
        <v>704</v>
      </c>
    </row>
    <row r="325" spans="1:2">
      <c r="A325" s="2"/>
      <c r="B325" s="9" t="s">
        <v>702</v>
      </c>
    </row>
    <row r="326" spans="1:2">
      <c r="A326" s="2"/>
      <c r="B326" s="9" t="s">
        <v>701</v>
      </c>
    </row>
    <row r="327" spans="1:2">
      <c r="A327" s="2"/>
      <c r="B327" s="9" t="s">
        <v>705</v>
      </c>
    </row>
    <row r="328" spans="1:2">
      <c r="A328" s="2"/>
      <c r="B328" s="9" t="s">
        <v>979</v>
      </c>
    </row>
    <row r="329" spans="1:2">
      <c r="A329" s="2"/>
      <c r="B329" s="9" t="s">
        <v>963</v>
      </c>
    </row>
    <row r="330" spans="1:2">
      <c r="A330" s="2"/>
      <c r="B330" s="9" t="s">
        <v>990</v>
      </c>
    </row>
    <row r="331" spans="1:2">
      <c r="A331" s="2"/>
      <c r="B331" s="9" t="s">
        <v>974</v>
      </c>
    </row>
    <row r="332" spans="1:2">
      <c r="A332" s="2"/>
      <c r="B332" s="9" t="s">
        <v>975</v>
      </c>
    </row>
    <row r="333" spans="1:2">
      <c r="A333" s="2"/>
      <c r="B333" s="9" t="s">
        <v>988</v>
      </c>
    </row>
    <row r="334" spans="1:2">
      <c r="B334" s="9" t="s">
        <v>872</v>
      </c>
    </row>
    <row r="335" spans="1:2">
      <c r="B335" s="9" t="s">
        <v>980</v>
      </c>
    </row>
    <row r="336" spans="1:2">
      <c r="B336" s="9" t="s">
        <v>981</v>
      </c>
    </row>
    <row r="337" spans="1:2">
      <c r="B337" s="9" t="s">
        <v>982</v>
      </c>
    </row>
    <row r="338" spans="1:2">
      <c r="B338" s="9" t="s">
        <v>991</v>
      </c>
    </row>
    <row r="339" spans="1:2">
      <c r="B339" s="9" t="s">
        <v>972</v>
      </c>
    </row>
    <row r="340" spans="1:2">
      <c r="B340" s="9" t="s">
        <v>983</v>
      </c>
    </row>
    <row r="341" spans="1:2">
      <c r="B341" s="9" t="s">
        <v>973</v>
      </c>
    </row>
    <row r="342" spans="1:2">
      <c r="B342" s="9" t="s">
        <v>1266</v>
      </c>
    </row>
    <row r="343" spans="1:2">
      <c r="A343" s="9" t="s">
        <v>1583</v>
      </c>
      <c r="B343" s="9" t="s">
        <v>609</v>
      </c>
    </row>
    <row r="344" spans="1:2">
      <c r="B344" s="9" t="s">
        <v>610</v>
      </c>
    </row>
    <row r="345" spans="1:2">
      <c r="B345" s="9" t="s">
        <v>611</v>
      </c>
    </row>
    <row r="346" spans="1:2">
      <c r="B346" s="9" t="s">
        <v>938</v>
      </c>
    </row>
    <row r="347" spans="1:2">
      <c r="A347" s="9" t="s">
        <v>1856</v>
      </c>
      <c r="B347" s="9" t="s">
        <v>714</v>
      </c>
    </row>
    <row r="348" spans="1:2">
      <c r="B348" s="9" t="s">
        <v>993</v>
      </c>
    </row>
    <row r="349" spans="1:2">
      <c r="B349" s="9" t="s">
        <v>955</v>
      </c>
    </row>
    <row r="350" spans="1:2">
      <c r="B350" s="9" t="s">
        <v>1604</v>
      </c>
    </row>
    <row r="351" spans="1:2">
      <c r="B351" s="9" t="s">
        <v>1962</v>
      </c>
    </row>
    <row r="352" spans="1:2">
      <c r="B352" s="9" t="s">
        <v>612</v>
      </c>
    </row>
    <row r="353" spans="1:2">
      <c r="A353" s="9" t="s">
        <v>855</v>
      </c>
      <c r="B353" s="9" t="s">
        <v>856</v>
      </c>
    </row>
    <row r="354" spans="1:2">
      <c r="B354" s="9" t="s">
        <v>1398</v>
      </c>
    </row>
    <row r="355" spans="1:2">
      <c r="B355" s="9" t="s">
        <v>857</v>
      </c>
    </row>
    <row r="356" spans="1:2">
      <c r="B356" s="9" t="s">
        <v>858</v>
      </c>
    </row>
    <row r="357" spans="1:2">
      <c r="B357" s="9" t="s">
        <v>1150</v>
      </c>
    </row>
    <row r="359" spans="1:2">
      <c r="A359" s="9" t="s">
        <v>189</v>
      </c>
      <c r="B359" s="9" t="s">
        <v>790</v>
      </c>
    </row>
    <row r="360" spans="1:2">
      <c r="A360" s="9" t="s">
        <v>2214</v>
      </c>
      <c r="B360" s="9" t="s">
        <v>1290</v>
      </c>
    </row>
    <row r="361" spans="1:2">
      <c r="A361" s="2"/>
      <c r="B361" s="9" t="s">
        <v>1291</v>
      </c>
    </row>
    <row r="362" spans="1:2">
      <c r="A362" s="2"/>
      <c r="B362" s="9" t="s">
        <v>811</v>
      </c>
    </row>
    <row r="363" spans="1:2">
      <c r="A363" s="2"/>
      <c r="B363" s="9" t="s">
        <v>1357</v>
      </c>
    </row>
    <row r="364" spans="1:2">
      <c r="A364" s="2"/>
      <c r="B364" s="9" t="s">
        <v>188</v>
      </c>
    </row>
    <row r="365" spans="1:2">
      <c r="A365" s="2" t="s">
        <v>1583</v>
      </c>
      <c r="B365" s="9" t="s">
        <v>1911</v>
      </c>
    </row>
    <row r="366" spans="1:2">
      <c r="A366" s="2"/>
      <c r="B366" s="9" t="s">
        <v>1129</v>
      </c>
    </row>
    <row r="367" spans="1:2">
      <c r="A367" s="2"/>
      <c r="B367" s="9" t="s">
        <v>190</v>
      </c>
    </row>
    <row r="368" spans="1:2">
      <c r="A368" s="2"/>
      <c r="B368" s="9" t="s">
        <v>560</v>
      </c>
    </row>
    <row r="369" spans="1:2">
      <c r="A369" s="2"/>
      <c r="B369" s="9" t="s">
        <v>1630</v>
      </c>
    </row>
    <row r="370" spans="1:2">
      <c r="A370" s="2"/>
      <c r="B370" s="9" t="s">
        <v>1636</v>
      </c>
    </row>
    <row r="371" spans="1:2">
      <c r="A371" s="2"/>
      <c r="B371" s="9" t="s">
        <v>1741</v>
      </c>
    </row>
    <row r="372" spans="1:2">
      <c r="A372" s="2"/>
      <c r="B372" s="9" t="s">
        <v>1631</v>
      </c>
    </row>
    <row r="373" spans="1:2">
      <c r="A373" s="2"/>
      <c r="B373" s="9" t="s">
        <v>1632</v>
      </c>
    </row>
    <row r="374" spans="1:2">
      <c r="A374" s="2"/>
      <c r="B374" s="9" t="s">
        <v>1740</v>
      </c>
    </row>
    <row r="375" spans="1:2">
      <c r="A375" s="2"/>
      <c r="B375" s="9" t="s">
        <v>1633</v>
      </c>
    </row>
    <row r="376" spans="1:2">
      <c r="A376" s="2"/>
      <c r="B376" s="9" t="s">
        <v>45</v>
      </c>
    </row>
    <row r="377" spans="1:2">
      <c r="A377" s="2"/>
      <c r="B377" s="9" t="s">
        <v>52</v>
      </c>
    </row>
    <row r="378" spans="1:2">
      <c r="A378" s="2"/>
      <c r="B378" s="9" t="s">
        <v>1637</v>
      </c>
    </row>
    <row r="379" spans="1:2">
      <c r="A379" s="2" t="s">
        <v>1856</v>
      </c>
      <c r="B379" s="9" t="s">
        <v>1292</v>
      </c>
    </row>
    <row r="380" spans="1:2">
      <c r="A380" s="2"/>
      <c r="B380" s="9" t="s">
        <v>1293</v>
      </c>
    </row>
    <row r="381" spans="1:2">
      <c r="A381" s="2"/>
      <c r="B381" s="9" t="s">
        <v>1130</v>
      </c>
    </row>
    <row r="382" spans="1:2">
      <c r="A382" s="2"/>
      <c r="B382" s="9" t="s">
        <v>1652</v>
      </c>
    </row>
    <row r="383" spans="1:2">
      <c r="A383" s="2"/>
      <c r="B383" s="9" t="s">
        <v>114</v>
      </c>
    </row>
    <row r="384" spans="1:2">
      <c r="A384" s="2"/>
      <c r="B384" s="9" t="s">
        <v>606</v>
      </c>
    </row>
    <row r="385" spans="1:2">
      <c r="A385" s="2"/>
      <c r="B385" s="9" t="s">
        <v>40</v>
      </c>
    </row>
    <row r="386" spans="1:2">
      <c r="A386" s="2"/>
      <c r="B386" s="9" t="s">
        <v>42</v>
      </c>
    </row>
    <row r="387" spans="1:2">
      <c r="A387" s="2"/>
      <c r="B387" s="9" t="s">
        <v>41</v>
      </c>
    </row>
    <row r="388" spans="1:2">
      <c r="A388" s="2" t="s">
        <v>2070</v>
      </c>
      <c r="B388" s="9" t="s">
        <v>43</v>
      </c>
    </row>
    <row r="389" spans="1:2">
      <c r="A389" s="2"/>
      <c r="B389" s="9" t="s">
        <v>51</v>
      </c>
    </row>
    <row r="390" spans="1:2">
      <c r="B390" s="9" t="s">
        <v>1618</v>
      </c>
    </row>
    <row r="391" spans="1:2">
      <c r="B391" s="9" t="s">
        <v>1619</v>
      </c>
    </row>
    <row r="392" spans="1:2">
      <c r="B392" s="9" t="s">
        <v>2068</v>
      </c>
    </row>
    <row r="394" spans="1:2">
      <c r="A394" s="9" t="s">
        <v>1855</v>
      </c>
      <c r="B394" s="9" t="s">
        <v>790</v>
      </c>
    </row>
    <row r="395" spans="1:2">
      <c r="A395" s="9" t="s">
        <v>2214</v>
      </c>
      <c r="B395" s="9" t="s">
        <v>2215</v>
      </c>
    </row>
    <row r="396" spans="1:2">
      <c r="A396" s="9" t="s">
        <v>1856</v>
      </c>
      <c r="B396" s="9" t="s">
        <v>2217</v>
      </c>
    </row>
    <row r="397" spans="1:2">
      <c r="B397" s="9" t="s">
        <v>497</v>
      </c>
    </row>
    <row r="398" spans="1:2">
      <c r="B398" s="9" t="s">
        <v>2216</v>
      </c>
    </row>
    <row r="399" spans="1:2">
      <c r="B399" s="9" t="s">
        <v>995</v>
      </c>
    </row>
    <row r="400" spans="1:2">
      <c r="B400" s="9" t="s">
        <v>1339</v>
      </c>
    </row>
    <row r="401" spans="1:2">
      <c r="B401" s="9" t="s">
        <v>2212</v>
      </c>
    </row>
    <row r="402" spans="1:2">
      <c r="B402" s="9" t="s">
        <v>2218</v>
      </c>
    </row>
    <row r="404" spans="1:2">
      <c r="A404" s="9" t="s">
        <v>1353</v>
      </c>
      <c r="B404" s="9" t="s">
        <v>790</v>
      </c>
    </row>
    <row r="405" spans="1:2">
      <c r="A405" s="9" t="s">
        <v>2247</v>
      </c>
      <c r="B405" s="9" t="s">
        <v>791</v>
      </c>
    </row>
    <row r="406" spans="1:2">
      <c r="A406" s="9" t="s">
        <v>2178</v>
      </c>
      <c r="B406" s="9" t="s">
        <v>1424</v>
      </c>
    </row>
    <row r="407" spans="1:2">
      <c r="B407" s="9" t="s">
        <v>1425</v>
      </c>
    </row>
    <row r="408" spans="1:2">
      <c r="B408" s="9" t="s">
        <v>488</v>
      </c>
    </row>
    <row r="409" spans="1:2">
      <c r="B409" s="9" t="s">
        <v>489</v>
      </c>
    </row>
    <row r="410" spans="1:2">
      <c r="B410" s="9" t="s">
        <v>1336</v>
      </c>
    </row>
    <row r="411" spans="1:2">
      <c r="B411" s="9" t="s">
        <v>873</v>
      </c>
    </row>
    <row r="412" spans="1:2">
      <c r="A412" s="9" t="s">
        <v>2246</v>
      </c>
      <c r="B412" s="9" t="s">
        <v>261</v>
      </c>
    </row>
    <row r="413" spans="1:2">
      <c r="B413" s="9" t="s">
        <v>262</v>
      </c>
    </row>
    <row r="414" spans="1:2">
      <c r="B414" s="9" t="s">
        <v>852</v>
      </c>
    </row>
    <row r="416" spans="1:2">
      <c r="A416" s="9" t="s">
        <v>1964</v>
      </c>
      <c r="B416" s="9" t="s">
        <v>790</v>
      </c>
    </row>
    <row r="417" spans="1:2">
      <c r="A417" s="9" t="s">
        <v>2247</v>
      </c>
      <c r="B417" s="9" t="s">
        <v>534</v>
      </c>
    </row>
    <row r="418" spans="1:2">
      <c r="B418" s="9" t="s">
        <v>889</v>
      </c>
    </row>
    <row r="419" spans="1:2">
      <c r="B419" s="9" t="s">
        <v>890</v>
      </c>
    </row>
    <row r="420" spans="1:2">
      <c r="B420" s="9" t="s">
        <v>1593</v>
      </c>
    </row>
    <row r="421" spans="1:2">
      <c r="A421" s="9" t="s">
        <v>2246</v>
      </c>
      <c r="B421" s="9" t="s">
        <v>1854</v>
      </c>
    </row>
    <row r="422" spans="1:2">
      <c r="A422" s="9" t="s">
        <v>2178</v>
      </c>
      <c r="B422" s="9" t="s">
        <v>1963</v>
      </c>
    </row>
    <row r="423" spans="1:2">
      <c r="B423" s="9" t="s">
        <v>795</v>
      </c>
    </row>
    <row r="424" spans="1:2">
      <c r="B424" s="9" t="s">
        <v>7</v>
      </c>
    </row>
    <row r="425" spans="1:2">
      <c r="B425" s="9" t="s">
        <v>896</v>
      </c>
    </row>
    <row r="426" spans="1:2">
      <c r="B426" s="9" t="s">
        <v>2181</v>
      </c>
    </row>
    <row r="427" spans="1:2">
      <c r="B427" s="9" t="s">
        <v>2182</v>
      </c>
    </row>
    <row r="428" spans="1:2">
      <c r="B428" s="9" t="s">
        <v>2183</v>
      </c>
    </row>
    <row r="429" spans="1:2">
      <c r="B429" s="9" t="s">
        <v>1560</v>
      </c>
    </row>
    <row r="430" spans="1:2">
      <c r="B430" s="9" t="s">
        <v>1853</v>
      </c>
    </row>
    <row r="431" spans="1:2">
      <c r="A431" s="9" t="s">
        <v>1565</v>
      </c>
      <c r="B431" s="9" t="s">
        <v>1561</v>
      </c>
    </row>
    <row r="433" spans="1:2">
      <c r="A433" s="9" t="s">
        <v>500</v>
      </c>
      <c r="B433" s="9" t="s">
        <v>790</v>
      </c>
    </row>
    <row r="434" spans="1:2">
      <c r="A434" s="9" t="s">
        <v>2247</v>
      </c>
      <c r="B434" s="9" t="s">
        <v>1925</v>
      </c>
    </row>
    <row r="435" spans="1:2">
      <c r="B435" s="9" t="s">
        <v>453</v>
      </c>
    </row>
    <row r="436" spans="1:2">
      <c r="B436" s="6" t="s">
        <v>1926</v>
      </c>
    </row>
    <row r="437" spans="1:2">
      <c r="A437" s="9" t="s">
        <v>452</v>
      </c>
      <c r="B437" s="6" t="s">
        <v>907</v>
      </c>
    </row>
    <row r="438" spans="1:2">
      <c r="A438" s="9" t="s">
        <v>2178</v>
      </c>
      <c r="B438" s="9" t="s">
        <v>501</v>
      </c>
    </row>
    <row r="439" spans="1:2">
      <c r="B439" s="9" t="s">
        <v>502</v>
      </c>
    </row>
    <row r="440" spans="1:2">
      <c r="B440" s="9" t="s">
        <v>503</v>
      </c>
    </row>
    <row r="441" spans="1:2">
      <c r="B441" s="9" t="s">
        <v>906</v>
      </c>
    </row>
    <row r="442" spans="1:2">
      <c r="B442" s="9" t="s">
        <v>1924</v>
      </c>
    </row>
    <row r="443" spans="1:2">
      <c r="B443" s="9" t="s">
        <v>905</v>
      </c>
    </row>
    <row r="445" spans="1:2">
      <c r="A445" s="9" t="s">
        <v>1477</v>
      </c>
      <c r="B445" s="9" t="s">
        <v>790</v>
      </c>
    </row>
    <row r="446" spans="1:2">
      <c r="A446" s="9" t="s">
        <v>2246</v>
      </c>
      <c r="B446" s="9" t="s">
        <v>1658</v>
      </c>
    </row>
    <row r="447" spans="1:2">
      <c r="B447" s="9" t="s">
        <v>1007</v>
      </c>
    </row>
    <row r="448" spans="1:2">
      <c r="A448" s="9" t="s">
        <v>2247</v>
      </c>
      <c r="B448" s="9" t="s">
        <v>1006</v>
      </c>
    </row>
    <row r="449" spans="1:2">
      <c r="B449" s="9" t="s">
        <v>1206</v>
      </c>
    </row>
    <row r="450" spans="1:2">
      <c r="B450" s="9" t="s">
        <v>1229</v>
      </c>
    </row>
    <row r="451" spans="1:2">
      <c r="B451" s="9" t="s">
        <v>1230</v>
      </c>
    </row>
    <row r="452" spans="1:2">
      <c r="B452" s="9" t="s">
        <v>1407</v>
      </c>
    </row>
    <row r="453" spans="1:2">
      <c r="B453" s="9" t="s">
        <v>1493</v>
      </c>
    </row>
    <row r="454" spans="1:2">
      <c r="B454" s="9" t="s">
        <v>1496</v>
      </c>
    </row>
    <row r="455" spans="1:2">
      <c r="B455" s="9" t="s">
        <v>1503</v>
      </c>
    </row>
    <row r="456" spans="1:2">
      <c r="B456" s="9" t="s">
        <v>1504</v>
      </c>
    </row>
    <row r="457" spans="1:2">
      <c r="B457" s="9" t="s">
        <v>1505</v>
      </c>
    </row>
    <row r="458" spans="1:2">
      <c r="B458" s="9" t="s">
        <v>1506</v>
      </c>
    </row>
    <row r="459" spans="1:2">
      <c r="B459" s="9" t="s">
        <v>1507</v>
      </c>
    </row>
    <row r="460" spans="1:2">
      <c r="B460" s="9" t="s">
        <v>1508</v>
      </c>
    </row>
    <row r="461" spans="1:2">
      <c r="A461" s="9" t="s">
        <v>1565</v>
      </c>
      <c r="B461" s="9" t="s">
        <v>1913</v>
      </c>
    </row>
    <row r="462" spans="1:2">
      <c r="B462" s="9" t="s">
        <v>1509</v>
      </c>
    </row>
    <row r="463" spans="1:2">
      <c r="A463" s="9" t="s">
        <v>2178</v>
      </c>
      <c r="B463" s="9" t="s">
        <v>1481</v>
      </c>
    </row>
    <row r="464" spans="1:2">
      <c r="B464" s="9" t="s">
        <v>1482</v>
      </c>
    </row>
    <row r="465" spans="1:2">
      <c r="B465" s="9" t="s">
        <v>1467</v>
      </c>
    </row>
    <row r="466" spans="1:2">
      <c r="B466" s="9" t="s">
        <v>136</v>
      </c>
    </row>
    <row r="468" spans="1:2">
      <c r="A468" s="9" t="s">
        <v>1478</v>
      </c>
      <c r="B468" s="9" t="s">
        <v>1479</v>
      </c>
    </row>
    <row r="469" spans="1:2">
      <c r="A469" s="9" t="s">
        <v>2247</v>
      </c>
      <c r="B469" s="9" t="s">
        <v>1480</v>
      </c>
    </row>
    <row r="471" spans="1:2">
      <c r="A471" s="9" t="s">
        <v>1061</v>
      </c>
      <c r="B471" s="9" t="s">
        <v>790</v>
      </c>
    </row>
    <row r="472" spans="1:2">
      <c r="A472" s="9" t="s">
        <v>2246</v>
      </c>
      <c r="B472" s="9" t="s">
        <v>1057</v>
      </c>
    </row>
    <row r="473" spans="1:2">
      <c r="A473" s="9" t="s">
        <v>2178</v>
      </c>
      <c r="B473" s="9" t="s">
        <v>283</v>
      </c>
    </row>
    <row r="474" spans="1:2">
      <c r="B474" s="9" t="s">
        <v>284</v>
      </c>
    </row>
    <row r="475" spans="1:2">
      <c r="B475" s="9" t="s">
        <v>285</v>
      </c>
    </row>
    <row r="476" spans="1:2">
      <c r="B476" s="9" t="s">
        <v>286</v>
      </c>
    </row>
    <row r="477" spans="1:2">
      <c r="B477" s="9" t="s">
        <v>287</v>
      </c>
    </row>
    <row r="478" spans="1:2">
      <c r="B478" s="9" t="s">
        <v>288</v>
      </c>
    </row>
    <row r="479" spans="1:2">
      <c r="B479" s="9" t="s">
        <v>289</v>
      </c>
    </row>
    <row r="480" spans="1:2">
      <c r="B480" s="9" t="s">
        <v>1023</v>
      </c>
    </row>
    <row r="481" spans="1:2">
      <c r="B481" s="9" t="s">
        <v>757</v>
      </c>
    </row>
    <row r="482" spans="1:2">
      <c r="B482" s="9" t="s">
        <v>758</v>
      </c>
    </row>
    <row r="483" spans="1:2">
      <c r="B483" s="9" t="s">
        <v>1058</v>
      </c>
    </row>
    <row r="484" spans="1:2">
      <c r="B484" s="9" t="s">
        <v>1060</v>
      </c>
    </row>
    <row r="485" spans="1:2">
      <c r="B485" s="9" t="s">
        <v>1059</v>
      </c>
    </row>
    <row r="487" spans="1:2">
      <c r="A487" s="9" t="s">
        <v>1125</v>
      </c>
      <c r="B487" s="9" t="s">
        <v>790</v>
      </c>
    </row>
    <row r="488" spans="1:2">
      <c r="A488" s="9" t="s">
        <v>2178</v>
      </c>
      <c r="B488" s="9" t="s">
        <v>1126</v>
      </c>
    </row>
    <row r="489" spans="1:2">
      <c r="B489" s="9" t="s">
        <v>1127</v>
      </c>
    </row>
    <row r="490" spans="1:2">
      <c r="A490" s="9" t="s">
        <v>2247</v>
      </c>
      <c r="B490" s="9" t="s">
        <v>1128</v>
      </c>
    </row>
    <row r="491" spans="1:2">
      <c r="B491" s="9" t="s">
        <v>867</v>
      </c>
    </row>
    <row r="493" spans="1:2">
      <c r="A493" s="9" t="s">
        <v>2263</v>
      </c>
      <c r="B493" s="9" t="s">
        <v>790</v>
      </c>
    </row>
    <row r="494" spans="1:2">
      <c r="A494" s="9" t="s">
        <v>2246</v>
      </c>
      <c r="B494" s="9" t="s">
        <v>160</v>
      </c>
    </row>
    <row r="496" spans="1:2">
      <c r="A496" s="9" t="s">
        <v>2262</v>
      </c>
      <c r="B496" s="9" t="s">
        <v>790</v>
      </c>
    </row>
    <row r="497" spans="1:256">
      <c r="A497" s="9" t="s">
        <v>2246</v>
      </c>
      <c r="B497" s="9" t="s">
        <v>1768</v>
      </c>
    </row>
    <row r="498" spans="1:256">
      <c r="B498" s="9" t="s">
        <v>1959</v>
      </c>
    </row>
    <row r="499" spans="1:256">
      <c r="A499" s="9" t="s">
        <v>2247</v>
      </c>
      <c r="B499" s="9" t="s">
        <v>165</v>
      </c>
    </row>
    <row r="500" spans="1:256">
      <c r="A500" s="9" t="s">
        <v>1565</v>
      </c>
      <c r="B500" s="9" t="s">
        <v>162</v>
      </c>
    </row>
    <row r="501" spans="1:256">
      <c r="B501" s="9" t="s">
        <v>1769</v>
      </c>
    </row>
    <row r="502" spans="1:256">
      <c r="A502" s="9" t="s">
        <v>2178</v>
      </c>
      <c r="B502" s="9" t="s">
        <v>530</v>
      </c>
    </row>
    <row r="503" spans="1:256">
      <c r="B503" s="9" t="s">
        <v>529</v>
      </c>
    </row>
    <row r="504" spans="1:256">
      <c r="B504" s="9" t="s">
        <v>230</v>
      </c>
    </row>
    <row r="505" spans="1:256">
      <c r="B505" s="9" t="s">
        <v>166</v>
      </c>
    </row>
    <row r="506" spans="1:256">
      <c r="B506" s="10" t="s">
        <v>1770</v>
      </c>
    </row>
    <row r="507" spans="1:256">
      <c r="B507" s="9" t="s">
        <v>1956</v>
      </c>
    </row>
    <row r="508" spans="1:256">
      <c r="B508" s="10" t="s">
        <v>1957</v>
      </c>
    </row>
    <row r="509" spans="1:256">
      <c r="B509" s="10" t="s">
        <v>1958</v>
      </c>
      <c r="C509" s="9"/>
      <c r="D509" s="9"/>
      <c r="E509" s="9"/>
      <c r="F509" s="9"/>
      <c r="G509" s="9"/>
      <c r="H509" s="9"/>
      <c r="I509" s="9"/>
      <c r="J509" s="9"/>
      <c r="K509" s="9"/>
      <c r="L509" s="9"/>
      <c r="M509" s="9"/>
      <c r="N509" s="9"/>
      <c r="O509" s="9"/>
      <c r="P509" s="9"/>
      <c r="Q509" s="9"/>
      <c r="R509" s="9"/>
      <c r="S509" s="9"/>
      <c r="T509" s="9"/>
      <c r="U509" s="9"/>
      <c r="V509" s="9"/>
      <c r="W509" s="9"/>
      <c r="X509" s="9"/>
      <c r="Y509" s="9"/>
      <c r="Z509" s="9"/>
      <c r="AA509" s="9"/>
      <c r="AB509" s="9"/>
      <c r="AC509" s="9"/>
      <c r="AD509" s="9"/>
      <c r="AE509" s="9"/>
      <c r="AF509" s="9"/>
      <c r="AG509" s="9"/>
      <c r="AH509" s="9"/>
      <c r="AI509" s="9"/>
      <c r="AJ509" s="9"/>
      <c r="AK509" s="9"/>
      <c r="AL509" s="9"/>
      <c r="AM509" s="9"/>
      <c r="AN509" s="9"/>
      <c r="AO509" s="9"/>
      <c r="AP509" s="9"/>
      <c r="AQ509" s="9"/>
      <c r="AR509" s="9"/>
      <c r="AS509" s="9"/>
      <c r="AT509" s="9"/>
      <c r="AU509" s="9"/>
      <c r="AV509" s="9"/>
      <c r="AW509" s="9"/>
      <c r="AX509" s="9"/>
      <c r="AY509" s="9"/>
      <c r="AZ509" s="9"/>
      <c r="BA509" s="9"/>
      <c r="BB509" s="9"/>
      <c r="BC509" s="9"/>
      <c r="BD509" s="9"/>
      <c r="BE509" s="9"/>
      <c r="BF509" s="9"/>
      <c r="BG509" s="9"/>
      <c r="BH509" s="9"/>
      <c r="BI509" s="9"/>
      <c r="BJ509" s="9"/>
      <c r="BK509" s="9"/>
      <c r="BL509" s="9"/>
      <c r="BM509" s="9"/>
      <c r="BN509" s="9"/>
      <c r="BO509" s="9"/>
      <c r="BP509" s="9"/>
      <c r="BQ509" s="9"/>
      <c r="BR509" s="9"/>
      <c r="BS509" s="9"/>
      <c r="BT509" s="9"/>
      <c r="BU509" s="9"/>
      <c r="BV509" s="9"/>
      <c r="BW509" s="9"/>
      <c r="BX509" s="9"/>
      <c r="BY509" s="9"/>
      <c r="BZ509" s="9"/>
      <c r="CA509" s="9"/>
      <c r="CB509" s="9"/>
      <c r="CC509" s="9"/>
      <c r="CD509" s="9"/>
      <c r="CE509" s="9"/>
      <c r="CF509" s="9"/>
      <c r="CG509" s="9"/>
      <c r="CH509" s="9"/>
      <c r="CI509" s="9"/>
      <c r="CJ509" s="9"/>
      <c r="CK509" s="9"/>
      <c r="CL509" s="9"/>
      <c r="CM509" s="9"/>
      <c r="CN509" s="9"/>
      <c r="CO509" s="9"/>
      <c r="CP509" s="9"/>
      <c r="CQ509" s="9"/>
      <c r="CR509" s="9"/>
      <c r="CS509" s="9"/>
      <c r="CT509" s="9"/>
      <c r="CU509" s="9"/>
      <c r="CV509" s="9"/>
      <c r="CW509" s="9"/>
      <c r="CX509" s="9"/>
      <c r="CY509" s="9"/>
      <c r="CZ509" s="9"/>
      <c r="DA509" s="9"/>
      <c r="DB509" s="9"/>
      <c r="DC509" s="9"/>
      <c r="DD509" s="9"/>
      <c r="DE509" s="9"/>
      <c r="DF509" s="9"/>
      <c r="DG509" s="9"/>
      <c r="DH509" s="9"/>
      <c r="DI509" s="9"/>
      <c r="DJ509" s="9"/>
      <c r="DK509" s="9"/>
      <c r="DL509" s="9"/>
      <c r="DM509" s="9"/>
      <c r="DN509" s="9"/>
      <c r="DO509" s="9"/>
      <c r="DP509" s="9"/>
      <c r="DQ509" s="9"/>
      <c r="DR509" s="9"/>
      <c r="DS509" s="9"/>
      <c r="DT509" s="9"/>
      <c r="DU509" s="9"/>
      <c r="DV509" s="9"/>
      <c r="DW509" s="9"/>
      <c r="DX509" s="9"/>
      <c r="DY509" s="9"/>
      <c r="DZ509" s="9"/>
      <c r="EA509" s="9"/>
      <c r="EB509" s="9"/>
      <c r="EC509" s="9"/>
      <c r="ED509" s="9"/>
      <c r="EE509" s="9"/>
      <c r="EF509" s="9"/>
      <c r="EG509" s="9"/>
      <c r="EH509" s="9"/>
      <c r="EI509" s="9"/>
      <c r="EJ509" s="9"/>
      <c r="EK509" s="9"/>
      <c r="EL509" s="9"/>
      <c r="EM509" s="9"/>
      <c r="EN509" s="9"/>
      <c r="EO509" s="9"/>
      <c r="EP509" s="9"/>
      <c r="EQ509" s="9"/>
      <c r="ER509" s="9"/>
      <c r="ES509" s="9"/>
      <c r="ET509" s="9"/>
      <c r="EU509" s="9"/>
      <c r="EV509" s="9"/>
      <c r="EW509" s="9"/>
      <c r="EX509" s="9"/>
      <c r="EY509" s="9"/>
      <c r="EZ509" s="9"/>
      <c r="FA509" s="9"/>
      <c r="FB509" s="9"/>
      <c r="FC509" s="9"/>
      <c r="FD509" s="9"/>
      <c r="FE509" s="9"/>
      <c r="FF509" s="9"/>
      <c r="FG509" s="9"/>
      <c r="FH509" s="9"/>
      <c r="FI509" s="9"/>
      <c r="FJ509" s="9"/>
      <c r="FK509" s="9"/>
      <c r="FL509" s="9"/>
      <c r="FM509" s="9"/>
      <c r="FN509" s="9"/>
      <c r="FO509" s="9"/>
      <c r="FP509" s="9"/>
      <c r="FQ509" s="9"/>
      <c r="FR509" s="9"/>
      <c r="FS509" s="9"/>
      <c r="FT509" s="9"/>
      <c r="FU509" s="9"/>
      <c r="FV509" s="9"/>
      <c r="FW509" s="9"/>
      <c r="FX509" s="9"/>
      <c r="FY509" s="9"/>
      <c r="FZ509" s="9"/>
      <c r="GA509" s="9"/>
      <c r="GB509" s="9"/>
      <c r="GC509" s="9"/>
      <c r="GD509" s="9"/>
      <c r="GE509" s="9"/>
      <c r="GF509" s="9"/>
      <c r="GG509" s="9"/>
      <c r="GH509" s="9"/>
      <c r="GI509" s="9"/>
      <c r="GJ509" s="9"/>
      <c r="GK509" s="9"/>
      <c r="GL509" s="9"/>
      <c r="GM509" s="9"/>
      <c r="GN509" s="9"/>
      <c r="GO509" s="9"/>
      <c r="GP509" s="9"/>
      <c r="GQ509" s="9"/>
      <c r="GR509" s="9"/>
      <c r="GS509" s="9"/>
      <c r="GT509" s="9"/>
      <c r="GU509" s="9"/>
      <c r="GV509" s="9"/>
      <c r="GW509" s="9"/>
      <c r="GX509" s="9"/>
      <c r="GY509" s="9"/>
      <c r="GZ509" s="9"/>
      <c r="HA509" s="9"/>
      <c r="HB509" s="9"/>
      <c r="HC509" s="9"/>
      <c r="HD509" s="9"/>
      <c r="HE509" s="9"/>
      <c r="HF509" s="9"/>
      <c r="HG509" s="9"/>
      <c r="HH509" s="9"/>
      <c r="HI509" s="9"/>
      <c r="HJ509" s="9"/>
      <c r="HK509" s="9"/>
      <c r="HL509" s="9"/>
      <c r="HM509" s="9"/>
      <c r="HN509" s="9"/>
      <c r="HO509" s="9"/>
      <c r="HP509" s="9"/>
      <c r="HQ509" s="9"/>
      <c r="HR509" s="9"/>
      <c r="HS509" s="9"/>
      <c r="HT509" s="9"/>
      <c r="HU509" s="9"/>
      <c r="HV509" s="9"/>
      <c r="HW509" s="9"/>
      <c r="HX509" s="9"/>
      <c r="HY509" s="9"/>
      <c r="HZ509" s="9"/>
      <c r="IA509" s="9"/>
      <c r="IB509" s="9"/>
      <c r="IC509" s="9"/>
      <c r="ID509" s="9"/>
      <c r="IE509" s="9"/>
      <c r="IF509" s="9"/>
      <c r="IG509" s="9"/>
      <c r="IH509" s="9"/>
      <c r="II509" s="9"/>
      <c r="IJ509" s="9"/>
      <c r="IK509" s="9"/>
      <c r="IL509" s="9"/>
      <c r="IM509" s="9"/>
      <c r="IN509" s="9"/>
      <c r="IO509" s="9"/>
      <c r="IP509" s="9"/>
      <c r="IQ509" s="9"/>
      <c r="IR509" s="9"/>
      <c r="IS509" s="9"/>
      <c r="IT509" s="9"/>
      <c r="IU509" s="9"/>
      <c r="IV509" s="9"/>
    </row>
    <row r="510" spans="1:256">
      <c r="B510" s="10" t="s">
        <v>1960</v>
      </c>
      <c r="C510" s="9"/>
      <c r="D510" s="9"/>
      <c r="E510" s="9"/>
      <c r="F510" s="9"/>
      <c r="G510" s="9"/>
      <c r="H510" s="9"/>
      <c r="I510" s="9"/>
      <c r="J510" s="9"/>
      <c r="K510" s="9"/>
      <c r="L510" s="9"/>
      <c r="M510" s="9"/>
      <c r="N510" s="9"/>
      <c r="O510" s="9"/>
      <c r="P510" s="9"/>
      <c r="Q510" s="9"/>
      <c r="R510" s="9"/>
      <c r="S510" s="9"/>
      <c r="T510" s="9"/>
      <c r="U510" s="9"/>
      <c r="V510" s="9"/>
      <c r="W510" s="9"/>
      <c r="X510" s="9"/>
      <c r="Y510" s="9"/>
      <c r="Z510" s="9"/>
      <c r="AA510" s="9"/>
      <c r="AB510" s="9"/>
      <c r="AC510" s="9"/>
      <c r="AD510" s="9"/>
      <c r="AE510" s="9"/>
      <c r="AF510" s="9"/>
      <c r="AG510" s="9"/>
      <c r="AH510" s="9"/>
      <c r="AI510" s="9"/>
      <c r="AJ510" s="9"/>
      <c r="AK510" s="9"/>
      <c r="AL510" s="9"/>
      <c r="AM510" s="9"/>
      <c r="AN510" s="9"/>
      <c r="AO510" s="9"/>
      <c r="AP510" s="9"/>
      <c r="AQ510" s="9"/>
      <c r="AR510" s="9"/>
      <c r="AS510" s="9"/>
      <c r="AT510" s="9"/>
      <c r="AU510" s="9"/>
      <c r="AV510" s="9"/>
      <c r="AW510" s="9"/>
      <c r="AX510" s="9"/>
      <c r="AY510" s="9"/>
      <c r="AZ510" s="9"/>
      <c r="BA510" s="9"/>
      <c r="BB510" s="9"/>
      <c r="BC510" s="9"/>
      <c r="BD510" s="9"/>
      <c r="BE510" s="9"/>
      <c r="BF510" s="9"/>
      <c r="BG510" s="9"/>
      <c r="BH510" s="9"/>
      <c r="BI510" s="9"/>
      <c r="BJ510" s="9"/>
      <c r="BK510" s="9"/>
      <c r="BL510" s="9"/>
      <c r="BM510" s="9"/>
      <c r="BN510" s="9"/>
      <c r="BO510" s="9"/>
      <c r="BP510" s="9"/>
      <c r="BQ510" s="9"/>
      <c r="BR510" s="9"/>
      <c r="BS510" s="9"/>
      <c r="BT510" s="9"/>
      <c r="BU510" s="9"/>
      <c r="BV510" s="9"/>
      <c r="BW510" s="9"/>
      <c r="BX510" s="9"/>
      <c r="BY510" s="9"/>
      <c r="BZ510" s="9"/>
      <c r="CA510" s="9"/>
      <c r="CB510" s="9"/>
      <c r="CC510" s="9"/>
      <c r="CD510" s="9"/>
      <c r="CE510" s="9"/>
      <c r="CF510" s="9"/>
      <c r="CG510" s="9"/>
      <c r="CH510" s="9"/>
      <c r="CI510" s="9"/>
      <c r="CJ510" s="9"/>
      <c r="CK510" s="9"/>
      <c r="CL510" s="9"/>
      <c r="CM510" s="9"/>
      <c r="CN510" s="9"/>
      <c r="CO510" s="9"/>
      <c r="CP510" s="9"/>
      <c r="CQ510" s="9"/>
      <c r="CR510" s="9"/>
      <c r="CS510" s="9"/>
      <c r="CT510" s="9"/>
      <c r="CU510" s="9"/>
      <c r="CV510" s="9"/>
      <c r="CW510" s="9"/>
      <c r="CX510" s="9"/>
      <c r="CY510" s="9"/>
      <c r="CZ510" s="9"/>
      <c r="DA510" s="9"/>
      <c r="DB510" s="9"/>
      <c r="DC510" s="9"/>
      <c r="DD510" s="9"/>
      <c r="DE510" s="9"/>
      <c r="DF510" s="9"/>
      <c r="DG510" s="9"/>
      <c r="DH510" s="9"/>
      <c r="DI510" s="9"/>
      <c r="DJ510" s="9"/>
      <c r="DK510" s="9"/>
      <c r="DL510" s="9"/>
      <c r="DM510" s="9"/>
      <c r="DN510" s="9"/>
      <c r="DO510" s="9"/>
      <c r="DP510" s="9"/>
      <c r="DQ510" s="9"/>
      <c r="DR510" s="9"/>
      <c r="DS510" s="9"/>
      <c r="DT510" s="9"/>
      <c r="DU510" s="9"/>
      <c r="DV510" s="9"/>
      <c r="DW510" s="9"/>
      <c r="DX510" s="9"/>
      <c r="DY510" s="9"/>
      <c r="DZ510" s="9"/>
      <c r="EA510" s="9"/>
      <c r="EB510" s="9"/>
      <c r="EC510" s="9"/>
      <c r="ED510" s="9"/>
      <c r="EE510" s="9"/>
      <c r="EF510" s="9"/>
      <c r="EG510" s="9"/>
      <c r="EH510" s="9"/>
      <c r="EI510" s="9"/>
      <c r="EJ510" s="9"/>
      <c r="EK510" s="9"/>
      <c r="EL510" s="9"/>
      <c r="EM510" s="9"/>
      <c r="EN510" s="9"/>
      <c r="EO510" s="9"/>
      <c r="EP510" s="9"/>
      <c r="EQ510" s="9"/>
      <c r="ER510" s="9"/>
      <c r="ES510" s="9"/>
      <c r="ET510" s="9"/>
      <c r="EU510" s="9"/>
      <c r="EV510" s="9"/>
      <c r="EW510" s="9"/>
      <c r="EX510" s="9"/>
      <c r="EY510" s="9"/>
      <c r="EZ510" s="9"/>
      <c r="FA510" s="9"/>
      <c r="FB510" s="9"/>
      <c r="FC510" s="9"/>
      <c r="FD510" s="9"/>
      <c r="FE510" s="9"/>
      <c r="FF510" s="9"/>
      <c r="FG510" s="9"/>
      <c r="FH510" s="9"/>
      <c r="FI510" s="9"/>
      <c r="FJ510" s="9"/>
      <c r="FK510" s="9"/>
      <c r="FL510" s="9"/>
      <c r="FM510" s="9"/>
      <c r="FN510" s="9"/>
      <c r="FO510" s="9"/>
      <c r="FP510" s="9"/>
      <c r="FQ510" s="9"/>
      <c r="FR510" s="9"/>
      <c r="FS510" s="9"/>
      <c r="FT510" s="9"/>
      <c r="FU510" s="9"/>
      <c r="FV510" s="9"/>
      <c r="FW510" s="9"/>
      <c r="FX510" s="9"/>
      <c r="FY510" s="9"/>
      <c r="FZ510" s="9"/>
      <c r="GA510" s="9"/>
      <c r="GB510" s="9"/>
      <c r="GC510" s="9"/>
      <c r="GD510" s="9"/>
      <c r="GE510" s="9"/>
      <c r="GF510" s="9"/>
      <c r="GG510" s="9"/>
      <c r="GH510" s="9"/>
      <c r="GI510" s="9"/>
      <c r="GJ510" s="9"/>
      <c r="GK510" s="9"/>
      <c r="GL510" s="9"/>
      <c r="GM510" s="9"/>
      <c r="GN510" s="9"/>
      <c r="GO510" s="9"/>
      <c r="GP510" s="9"/>
      <c r="GQ510" s="9"/>
      <c r="GR510" s="9"/>
      <c r="GS510" s="9"/>
      <c r="GT510" s="9"/>
      <c r="GU510" s="9"/>
      <c r="GV510" s="9"/>
      <c r="GW510" s="9"/>
      <c r="GX510" s="9"/>
      <c r="GY510" s="9"/>
      <c r="GZ510" s="9"/>
      <c r="HA510" s="9"/>
      <c r="HB510" s="9"/>
      <c r="HC510" s="9"/>
      <c r="HD510" s="9"/>
      <c r="HE510" s="9"/>
      <c r="HF510" s="9"/>
      <c r="HG510" s="9"/>
      <c r="HH510" s="9"/>
      <c r="HI510" s="9"/>
      <c r="HJ510" s="9"/>
      <c r="HK510" s="9"/>
      <c r="HL510" s="9"/>
      <c r="HM510" s="9"/>
      <c r="HN510" s="9"/>
      <c r="HO510" s="9"/>
      <c r="HP510" s="9"/>
      <c r="HQ510" s="9"/>
      <c r="HR510" s="9"/>
      <c r="HS510" s="9"/>
      <c r="HT510" s="9"/>
      <c r="HU510" s="9"/>
      <c r="HV510" s="9"/>
      <c r="HW510" s="9"/>
      <c r="HX510" s="9"/>
      <c r="HY510" s="9"/>
      <c r="HZ510" s="9"/>
      <c r="IA510" s="9"/>
      <c r="IB510" s="9"/>
      <c r="IC510" s="9"/>
      <c r="ID510" s="9"/>
      <c r="IE510" s="9"/>
      <c r="IF510" s="9"/>
      <c r="IG510" s="9"/>
      <c r="IH510" s="9"/>
      <c r="II510" s="9"/>
      <c r="IJ510" s="9"/>
      <c r="IK510" s="9"/>
      <c r="IL510" s="9"/>
      <c r="IM510" s="9"/>
      <c r="IN510" s="9"/>
      <c r="IO510" s="9"/>
      <c r="IP510" s="9"/>
      <c r="IQ510" s="9"/>
      <c r="IR510" s="9"/>
      <c r="IS510" s="9"/>
      <c r="IT510" s="9"/>
      <c r="IU510" s="9"/>
      <c r="IV510" s="9"/>
    </row>
    <row r="511" spans="1:256">
      <c r="B511" s="10" t="s">
        <v>1961</v>
      </c>
      <c r="C511" s="9"/>
      <c r="D511" s="9"/>
      <c r="E511" s="9"/>
      <c r="F511" s="9"/>
      <c r="G511" s="9"/>
      <c r="H511" s="9"/>
      <c r="I511" s="9"/>
      <c r="J511" s="9"/>
      <c r="K511" s="9"/>
      <c r="L511" s="9"/>
      <c r="M511" s="9"/>
      <c r="N511" s="9"/>
      <c r="O511" s="9"/>
      <c r="P511" s="9"/>
      <c r="Q511" s="9"/>
      <c r="R511" s="9"/>
      <c r="S511" s="9"/>
      <c r="T511" s="9"/>
      <c r="U511" s="9"/>
      <c r="V511" s="9"/>
      <c r="W511" s="9"/>
      <c r="X511" s="9"/>
      <c r="Y511" s="9"/>
      <c r="Z511" s="9"/>
      <c r="AA511" s="9"/>
      <c r="AB511" s="9"/>
      <c r="AC511" s="9"/>
      <c r="AD511" s="9"/>
      <c r="AE511" s="9"/>
      <c r="AF511" s="9"/>
      <c r="AG511" s="9"/>
      <c r="AH511" s="9"/>
      <c r="AI511" s="9"/>
      <c r="AJ511" s="9"/>
      <c r="AK511" s="9"/>
      <c r="AL511" s="9"/>
      <c r="AM511" s="9"/>
      <c r="AN511" s="9"/>
      <c r="AO511" s="9"/>
      <c r="AP511" s="9"/>
      <c r="AQ511" s="9"/>
      <c r="AR511" s="9"/>
      <c r="AS511" s="9"/>
      <c r="AT511" s="9"/>
      <c r="AU511" s="9"/>
      <c r="AV511" s="9"/>
      <c r="AW511" s="9"/>
      <c r="AX511" s="9"/>
      <c r="AY511" s="9"/>
      <c r="AZ511" s="9"/>
      <c r="BA511" s="9"/>
      <c r="BB511" s="9"/>
      <c r="BC511" s="9"/>
      <c r="BD511" s="9"/>
      <c r="BE511" s="9"/>
      <c r="BF511" s="9"/>
      <c r="BG511" s="9"/>
      <c r="BH511" s="9"/>
      <c r="BI511" s="9"/>
      <c r="BJ511" s="9"/>
      <c r="BK511" s="9"/>
      <c r="BL511" s="9"/>
      <c r="BM511" s="9"/>
      <c r="BN511" s="9"/>
      <c r="BO511" s="9"/>
      <c r="BP511" s="9"/>
      <c r="BQ511" s="9"/>
      <c r="BR511" s="9"/>
      <c r="BS511" s="9"/>
      <c r="BT511" s="9"/>
      <c r="BU511" s="9"/>
      <c r="BV511" s="9"/>
      <c r="BW511" s="9"/>
      <c r="BX511" s="9"/>
      <c r="BY511" s="9"/>
      <c r="BZ511" s="9"/>
      <c r="CA511" s="9"/>
      <c r="CB511" s="9"/>
      <c r="CC511" s="9"/>
      <c r="CD511" s="9"/>
      <c r="CE511" s="9"/>
      <c r="CF511" s="9"/>
      <c r="CG511" s="9"/>
      <c r="CH511" s="9"/>
      <c r="CI511" s="9"/>
      <c r="CJ511" s="9"/>
      <c r="CK511" s="9"/>
      <c r="CL511" s="9"/>
      <c r="CM511" s="9"/>
      <c r="CN511" s="9"/>
      <c r="CO511" s="9"/>
      <c r="CP511" s="9"/>
      <c r="CQ511" s="9"/>
      <c r="CR511" s="9"/>
      <c r="CS511" s="9"/>
      <c r="CT511" s="9"/>
      <c r="CU511" s="9"/>
      <c r="CV511" s="9"/>
      <c r="CW511" s="9"/>
      <c r="CX511" s="9"/>
      <c r="CY511" s="9"/>
      <c r="CZ511" s="9"/>
      <c r="DA511" s="9"/>
      <c r="DB511" s="9"/>
      <c r="DC511" s="9"/>
      <c r="DD511" s="9"/>
      <c r="DE511" s="9"/>
      <c r="DF511" s="9"/>
      <c r="DG511" s="9"/>
      <c r="DH511" s="9"/>
      <c r="DI511" s="9"/>
      <c r="DJ511" s="9"/>
      <c r="DK511" s="9"/>
      <c r="DL511" s="9"/>
      <c r="DM511" s="9"/>
      <c r="DN511" s="9"/>
      <c r="DO511" s="9"/>
      <c r="DP511" s="9"/>
      <c r="DQ511" s="9"/>
      <c r="DR511" s="9"/>
      <c r="DS511" s="9"/>
      <c r="DT511" s="9"/>
      <c r="DU511" s="9"/>
      <c r="DV511" s="9"/>
      <c r="DW511" s="9"/>
      <c r="DX511" s="9"/>
      <c r="DY511" s="9"/>
      <c r="DZ511" s="9"/>
      <c r="EA511" s="9"/>
      <c r="EB511" s="9"/>
      <c r="EC511" s="9"/>
      <c r="ED511" s="9"/>
      <c r="EE511" s="9"/>
      <c r="EF511" s="9"/>
      <c r="EG511" s="9"/>
      <c r="EH511" s="9"/>
      <c r="EI511" s="9"/>
      <c r="EJ511" s="9"/>
      <c r="EK511" s="9"/>
      <c r="EL511" s="9"/>
      <c r="EM511" s="9"/>
      <c r="EN511" s="9"/>
      <c r="EO511" s="9"/>
      <c r="EP511" s="9"/>
      <c r="EQ511" s="9"/>
      <c r="ER511" s="9"/>
      <c r="ES511" s="9"/>
      <c r="ET511" s="9"/>
      <c r="EU511" s="9"/>
      <c r="EV511" s="9"/>
      <c r="EW511" s="9"/>
      <c r="EX511" s="9"/>
      <c r="EY511" s="9"/>
      <c r="EZ511" s="9"/>
      <c r="FA511" s="9"/>
      <c r="FB511" s="9"/>
      <c r="FC511" s="9"/>
      <c r="FD511" s="9"/>
      <c r="FE511" s="9"/>
      <c r="FF511" s="9"/>
      <c r="FG511" s="9"/>
      <c r="FH511" s="9"/>
      <c r="FI511" s="9"/>
      <c r="FJ511" s="9"/>
      <c r="FK511" s="9"/>
      <c r="FL511" s="9"/>
      <c r="FM511" s="9"/>
      <c r="FN511" s="9"/>
      <c r="FO511" s="9"/>
      <c r="FP511" s="9"/>
      <c r="FQ511" s="9"/>
      <c r="FR511" s="9"/>
      <c r="FS511" s="9"/>
      <c r="FT511" s="9"/>
      <c r="FU511" s="9"/>
      <c r="FV511" s="9"/>
      <c r="FW511" s="9"/>
      <c r="FX511" s="9"/>
      <c r="FY511" s="9"/>
      <c r="FZ511" s="9"/>
      <c r="GA511" s="9"/>
      <c r="GB511" s="9"/>
      <c r="GC511" s="9"/>
      <c r="GD511" s="9"/>
      <c r="GE511" s="9"/>
      <c r="GF511" s="9"/>
      <c r="GG511" s="9"/>
      <c r="GH511" s="9"/>
      <c r="GI511" s="9"/>
      <c r="GJ511" s="9"/>
      <c r="GK511" s="9"/>
      <c r="GL511" s="9"/>
      <c r="GM511" s="9"/>
      <c r="GN511" s="9"/>
      <c r="GO511" s="9"/>
      <c r="GP511" s="9"/>
      <c r="GQ511" s="9"/>
      <c r="GR511" s="9"/>
      <c r="GS511" s="9"/>
      <c r="GT511" s="9"/>
      <c r="GU511" s="9"/>
      <c r="GV511" s="9"/>
      <c r="GW511" s="9"/>
      <c r="GX511" s="9"/>
      <c r="GY511" s="9"/>
      <c r="GZ511" s="9"/>
      <c r="HA511" s="9"/>
      <c r="HB511" s="9"/>
      <c r="HC511" s="9"/>
      <c r="HD511" s="9"/>
      <c r="HE511" s="9"/>
      <c r="HF511" s="9"/>
      <c r="HG511" s="9"/>
      <c r="HH511" s="9"/>
      <c r="HI511" s="9"/>
      <c r="HJ511" s="9"/>
      <c r="HK511" s="9"/>
      <c r="HL511" s="9"/>
      <c r="HM511" s="9"/>
      <c r="HN511" s="9"/>
      <c r="HO511" s="9"/>
      <c r="HP511" s="9"/>
      <c r="HQ511" s="9"/>
      <c r="HR511" s="9"/>
      <c r="HS511" s="9"/>
      <c r="HT511" s="9"/>
      <c r="HU511" s="9"/>
      <c r="HV511" s="9"/>
      <c r="HW511" s="9"/>
      <c r="HX511" s="9"/>
      <c r="HY511" s="9"/>
      <c r="HZ511" s="9"/>
      <c r="IA511" s="9"/>
      <c r="IB511" s="9"/>
      <c r="IC511" s="9"/>
      <c r="ID511" s="9"/>
      <c r="IE511" s="9"/>
      <c r="IF511" s="9"/>
      <c r="IG511" s="9"/>
      <c r="IH511" s="9"/>
      <c r="II511" s="9"/>
      <c r="IJ511" s="9"/>
      <c r="IK511" s="9"/>
      <c r="IL511" s="9"/>
      <c r="IM511" s="9"/>
      <c r="IN511" s="9"/>
      <c r="IO511" s="9"/>
      <c r="IP511" s="9"/>
      <c r="IQ511" s="9"/>
      <c r="IR511" s="9"/>
      <c r="IS511" s="9"/>
      <c r="IT511" s="9"/>
      <c r="IU511" s="9"/>
      <c r="IV511" s="9"/>
    </row>
    <row r="512" spans="1:256">
      <c r="C512" s="9"/>
      <c r="D512" s="9"/>
      <c r="E512" s="9"/>
      <c r="F512" s="9"/>
      <c r="G512" s="9"/>
      <c r="H512" s="9"/>
      <c r="I512" s="9"/>
      <c r="J512" s="9"/>
      <c r="K512" s="9"/>
      <c r="L512" s="9"/>
      <c r="M512" s="9"/>
      <c r="N512" s="9"/>
      <c r="O512" s="9"/>
      <c r="P512" s="9"/>
      <c r="Q512" s="9"/>
      <c r="R512" s="9"/>
      <c r="S512" s="9"/>
      <c r="T512" s="9"/>
      <c r="U512" s="9"/>
      <c r="V512" s="9"/>
      <c r="W512" s="9"/>
      <c r="X512" s="9"/>
      <c r="Y512" s="9"/>
      <c r="Z512" s="9"/>
      <c r="AA512" s="9"/>
      <c r="AB512" s="9"/>
      <c r="AC512" s="9"/>
      <c r="AD512" s="9"/>
      <c r="AE512" s="9"/>
      <c r="AF512" s="9"/>
      <c r="AG512" s="9"/>
      <c r="AH512" s="9"/>
      <c r="AI512" s="9"/>
      <c r="AJ512" s="9"/>
      <c r="AK512" s="9"/>
      <c r="AL512" s="9"/>
      <c r="AM512" s="9"/>
      <c r="AN512" s="9"/>
      <c r="AO512" s="9"/>
      <c r="AP512" s="9"/>
      <c r="AQ512" s="9"/>
      <c r="AR512" s="9"/>
      <c r="AS512" s="9"/>
      <c r="AT512" s="9"/>
      <c r="AU512" s="9"/>
      <c r="AV512" s="9"/>
      <c r="AW512" s="9"/>
      <c r="AX512" s="9"/>
      <c r="AY512" s="9"/>
      <c r="AZ512" s="9"/>
      <c r="BA512" s="9"/>
      <c r="BB512" s="9"/>
      <c r="BC512" s="9"/>
      <c r="BD512" s="9"/>
      <c r="BE512" s="9"/>
      <c r="BF512" s="9"/>
      <c r="BG512" s="9"/>
      <c r="BH512" s="9"/>
      <c r="BI512" s="9"/>
      <c r="BJ512" s="9"/>
      <c r="BK512" s="9"/>
      <c r="BL512" s="9"/>
      <c r="BM512" s="9"/>
      <c r="BN512" s="9"/>
      <c r="BO512" s="9"/>
      <c r="BP512" s="9"/>
      <c r="BQ512" s="9"/>
      <c r="BR512" s="9"/>
      <c r="BS512" s="9"/>
      <c r="BT512" s="9"/>
      <c r="BU512" s="9"/>
      <c r="BV512" s="9"/>
      <c r="BW512" s="9"/>
      <c r="BX512" s="9"/>
      <c r="BY512" s="9"/>
      <c r="BZ512" s="9"/>
      <c r="CA512" s="9"/>
      <c r="CB512" s="9"/>
      <c r="CC512" s="9"/>
      <c r="CD512" s="9"/>
      <c r="CE512" s="9"/>
      <c r="CF512" s="9"/>
      <c r="CG512" s="9"/>
      <c r="CH512" s="9"/>
      <c r="CI512" s="9"/>
      <c r="CJ512" s="9"/>
      <c r="CK512" s="9"/>
      <c r="CL512" s="9"/>
      <c r="CM512" s="9"/>
      <c r="CN512" s="9"/>
      <c r="CO512" s="9"/>
      <c r="CP512" s="9"/>
      <c r="CQ512" s="9"/>
      <c r="CR512" s="9"/>
      <c r="CS512" s="9"/>
      <c r="CT512" s="9"/>
      <c r="CU512" s="9"/>
      <c r="CV512" s="9"/>
      <c r="CW512" s="9"/>
      <c r="CX512" s="9"/>
      <c r="CY512" s="9"/>
      <c r="CZ512" s="9"/>
      <c r="DA512" s="9"/>
      <c r="DB512" s="9"/>
      <c r="DC512" s="9"/>
      <c r="DD512" s="9"/>
      <c r="DE512" s="9"/>
      <c r="DF512" s="9"/>
      <c r="DG512" s="9"/>
      <c r="DH512" s="9"/>
      <c r="DI512" s="9"/>
      <c r="DJ512" s="9"/>
      <c r="DK512" s="9"/>
      <c r="DL512" s="9"/>
      <c r="DM512" s="9"/>
      <c r="DN512" s="9"/>
      <c r="DO512" s="9"/>
      <c r="DP512" s="9"/>
      <c r="DQ512" s="9"/>
      <c r="DR512" s="9"/>
      <c r="DS512" s="9"/>
      <c r="DT512" s="9"/>
      <c r="DU512" s="9"/>
      <c r="DV512" s="9"/>
      <c r="DW512" s="9"/>
      <c r="DX512" s="9"/>
      <c r="DY512" s="9"/>
      <c r="DZ512" s="9"/>
      <c r="EA512" s="9"/>
      <c r="EB512" s="9"/>
      <c r="EC512" s="9"/>
      <c r="ED512" s="9"/>
      <c r="EE512" s="9"/>
      <c r="EF512" s="9"/>
      <c r="EG512" s="9"/>
      <c r="EH512" s="9"/>
      <c r="EI512" s="9"/>
      <c r="EJ512" s="9"/>
      <c r="EK512" s="9"/>
      <c r="EL512" s="9"/>
      <c r="EM512" s="9"/>
      <c r="EN512" s="9"/>
      <c r="EO512" s="9"/>
      <c r="EP512" s="9"/>
      <c r="EQ512" s="9"/>
      <c r="ER512" s="9"/>
      <c r="ES512" s="9"/>
      <c r="ET512" s="9"/>
      <c r="EU512" s="9"/>
      <c r="EV512" s="9"/>
      <c r="EW512" s="9"/>
      <c r="EX512" s="9"/>
      <c r="EY512" s="9"/>
      <c r="EZ512" s="9"/>
      <c r="FA512" s="9"/>
      <c r="FB512" s="9"/>
      <c r="FC512" s="9"/>
      <c r="FD512" s="9"/>
      <c r="FE512" s="9"/>
      <c r="FF512" s="9"/>
      <c r="FG512" s="9"/>
      <c r="FH512" s="9"/>
      <c r="FI512" s="9"/>
      <c r="FJ512" s="9"/>
      <c r="FK512" s="9"/>
      <c r="FL512" s="9"/>
      <c r="FM512" s="9"/>
      <c r="FN512" s="9"/>
      <c r="FO512" s="9"/>
      <c r="FP512" s="9"/>
      <c r="FQ512" s="9"/>
      <c r="FR512" s="9"/>
      <c r="FS512" s="9"/>
      <c r="FT512" s="9"/>
      <c r="FU512" s="9"/>
      <c r="FV512" s="9"/>
      <c r="FW512" s="9"/>
      <c r="FX512" s="9"/>
      <c r="FY512" s="9"/>
      <c r="FZ512" s="9"/>
      <c r="GA512" s="9"/>
      <c r="GB512" s="9"/>
      <c r="GC512" s="9"/>
      <c r="GD512" s="9"/>
      <c r="GE512" s="9"/>
      <c r="GF512" s="9"/>
      <c r="GG512" s="9"/>
      <c r="GH512" s="9"/>
      <c r="GI512" s="9"/>
      <c r="GJ512" s="9"/>
      <c r="GK512" s="9"/>
      <c r="GL512" s="9"/>
      <c r="GM512" s="9"/>
      <c r="GN512" s="9"/>
      <c r="GO512" s="9"/>
      <c r="GP512" s="9"/>
      <c r="GQ512" s="9"/>
      <c r="GR512" s="9"/>
      <c r="GS512" s="9"/>
      <c r="GT512" s="9"/>
      <c r="GU512" s="9"/>
      <c r="GV512" s="9"/>
      <c r="GW512" s="9"/>
      <c r="GX512" s="9"/>
      <c r="GY512" s="9"/>
      <c r="GZ512" s="9"/>
      <c r="HA512" s="9"/>
      <c r="HB512" s="9"/>
      <c r="HC512" s="9"/>
      <c r="HD512" s="9"/>
      <c r="HE512" s="9"/>
      <c r="HF512" s="9"/>
      <c r="HG512" s="9"/>
      <c r="HH512" s="9"/>
      <c r="HI512" s="9"/>
      <c r="HJ512" s="9"/>
      <c r="HK512" s="9"/>
      <c r="HL512" s="9"/>
      <c r="HM512" s="9"/>
      <c r="HN512" s="9"/>
      <c r="HO512" s="9"/>
      <c r="HP512" s="9"/>
      <c r="HQ512" s="9"/>
      <c r="HR512" s="9"/>
      <c r="HS512" s="9"/>
      <c r="HT512" s="9"/>
      <c r="HU512" s="9"/>
      <c r="HV512" s="9"/>
      <c r="HW512" s="9"/>
      <c r="HX512" s="9"/>
      <c r="HY512" s="9"/>
      <c r="HZ512" s="9"/>
      <c r="IA512" s="9"/>
      <c r="IB512" s="9"/>
      <c r="IC512" s="9"/>
      <c r="ID512" s="9"/>
      <c r="IE512" s="9"/>
      <c r="IF512" s="9"/>
      <c r="IG512" s="9"/>
      <c r="IH512" s="9"/>
      <c r="II512" s="9"/>
      <c r="IJ512" s="9"/>
      <c r="IK512" s="9"/>
      <c r="IL512" s="9"/>
      <c r="IM512" s="9"/>
      <c r="IN512" s="9"/>
      <c r="IO512" s="9"/>
      <c r="IP512" s="9"/>
      <c r="IQ512" s="9"/>
      <c r="IR512" s="9"/>
      <c r="IS512" s="9"/>
      <c r="IT512" s="9"/>
      <c r="IU512" s="9"/>
      <c r="IV512" s="9"/>
    </row>
    <row r="513" spans="1:256">
      <c r="A513" s="9" t="s">
        <v>823</v>
      </c>
      <c r="B513" s="9" t="s">
        <v>1671</v>
      </c>
      <c r="C513" s="9"/>
      <c r="D513" s="10"/>
      <c r="E513" s="9"/>
      <c r="F513" s="10"/>
      <c r="G513" s="9"/>
      <c r="H513" s="10"/>
      <c r="I513" s="9"/>
      <c r="J513" s="10"/>
      <c r="K513" s="9"/>
      <c r="L513" s="10"/>
      <c r="M513" s="9"/>
      <c r="N513" s="10"/>
      <c r="O513" s="9"/>
      <c r="P513" s="10"/>
      <c r="Q513" s="9"/>
      <c r="R513" s="10"/>
      <c r="S513" s="9"/>
      <c r="T513" s="10"/>
      <c r="U513" s="9"/>
      <c r="V513" s="10"/>
      <c r="W513" s="9"/>
      <c r="X513" s="10"/>
      <c r="Y513" s="9"/>
      <c r="Z513" s="10"/>
      <c r="AA513" s="9"/>
      <c r="AB513" s="10"/>
      <c r="AC513" s="9"/>
      <c r="AD513" s="10"/>
      <c r="AE513" s="9"/>
      <c r="AF513" s="10"/>
      <c r="AG513" s="9"/>
      <c r="AH513" s="10"/>
      <c r="AI513" s="9"/>
      <c r="AJ513" s="10"/>
      <c r="AK513" s="9"/>
      <c r="AL513" s="10"/>
      <c r="AM513" s="9"/>
      <c r="AN513" s="10"/>
      <c r="AO513" s="9"/>
      <c r="AP513" s="10"/>
      <c r="AQ513" s="9"/>
      <c r="AR513" s="10"/>
      <c r="AS513" s="9"/>
      <c r="AT513" s="10"/>
      <c r="AU513" s="9"/>
      <c r="AV513" s="10"/>
      <c r="AW513" s="9"/>
      <c r="AX513" s="10"/>
      <c r="AY513" s="9"/>
      <c r="AZ513" s="10"/>
      <c r="BA513" s="9"/>
      <c r="BB513" s="10"/>
      <c r="BC513" s="9"/>
      <c r="BD513" s="10"/>
      <c r="BE513" s="9"/>
      <c r="BF513" s="10"/>
      <c r="BG513" s="9"/>
      <c r="BH513" s="10"/>
      <c r="BI513" s="9"/>
      <c r="BJ513" s="10"/>
      <c r="BK513" s="9"/>
      <c r="BL513" s="10"/>
      <c r="BM513" s="9"/>
      <c r="BN513" s="10"/>
      <c r="BO513" s="9"/>
      <c r="BP513" s="10"/>
      <c r="BQ513" s="9"/>
      <c r="BR513" s="10"/>
      <c r="BS513" s="9"/>
      <c r="BT513" s="10"/>
      <c r="BU513" s="9"/>
      <c r="BV513" s="10"/>
      <c r="BW513" s="9"/>
      <c r="BX513" s="10"/>
      <c r="BY513" s="9"/>
      <c r="BZ513" s="10"/>
      <c r="CA513" s="9"/>
      <c r="CB513" s="10"/>
      <c r="CC513" s="9"/>
      <c r="CD513" s="10"/>
      <c r="CE513" s="9"/>
      <c r="CF513" s="10"/>
      <c r="CG513" s="9"/>
      <c r="CH513" s="10"/>
      <c r="CI513" s="9"/>
      <c r="CJ513" s="10"/>
      <c r="CK513" s="9"/>
      <c r="CL513" s="10"/>
      <c r="CM513" s="9"/>
      <c r="CN513" s="10"/>
      <c r="CO513" s="9"/>
      <c r="CP513" s="10"/>
      <c r="CQ513" s="9"/>
      <c r="CR513" s="10"/>
      <c r="CS513" s="9"/>
      <c r="CT513" s="10"/>
      <c r="CU513" s="9"/>
      <c r="CV513" s="10"/>
      <c r="CW513" s="9"/>
      <c r="CX513" s="10"/>
      <c r="CY513" s="9"/>
      <c r="CZ513" s="10"/>
      <c r="DA513" s="9"/>
      <c r="DB513" s="10"/>
      <c r="DC513" s="9"/>
      <c r="DD513" s="10"/>
      <c r="DE513" s="9"/>
      <c r="DF513" s="10"/>
      <c r="DG513" s="9"/>
      <c r="DH513" s="10"/>
      <c r="DI513" s="9"/>
      <c r="DJ513" s="10"/>
      <c r="DK513" s="9"/>
      <c r="DL513" s="10"/>
      <c r="DM513" s="9"/>
      <c r="DN513" s="10"/>
      <c r="DO513" s="9"/>
      <c r="DP513" s="10"/>
      <c r="DQ513" s="9"/>
      <c r="DR513" s="10"/>
      <c r="DS513" s="9"/>
      <c r="DT513" s="10"/>
      <c r="DU513" s="9"/>
      <c r="DV513" s="10"/>
      <c r="DW513" s="9"/>
      <c r="DX513" s="10"/>
      <c r="DY513" s="9"/>
      <c r="DZ513" s="10"/>
      <c r="EA513" s="9"/>
      <c r="EB513" s="10"/>
      <c r="EC513" s="9"/>
      <c r="ED513" s="10"/>
      <c r="EE513" s="9"/>
      <c r="EF513" s="10"/>
      <c r="EG513" s="9"/>
      <c r="EH513" s="10"/>
      <c r="EI513" s="9"/>
      <c r="EJ513" s="10"/>
      <c r="EK513" s="9"/>
      <c r="EL513" s="10"/>
      <c r="EM513" s="9"/>
      <c r="EN513" s="10"/>
      <c r="EO513" s="9"/>
      <c r="EP513" s="10"/>
      <c r="EQ513" s="9"/>
      <c r="ER513" s="10"/>
      <c r="ES513" s="9"/>
      <c r="ET513" s="10"/>
      <c r="EU513" s="9"/>
      <c r="EV513" s="10"/>
      <c r="EW513" s="9"/>
      <c r="EX513" s="10"/>
      <c r="EY513" s="9"/>
      <c r="EZ513" s="10"/>
      <c r="FA513" s="9"/>
      <c r="FB513" s="10"/>
      <c r="FC513" s="9"/>
      <c r="FD513" s="10"/>
      <c r="FE513" s="9"/>
      <c r="FF513" s="10"/>
      <c r="FG513" s="9"/>
      <c r="FH513" s="10"/>
      <c r="FI513" s="9"/>
      <c r="FJ513" s="10"/>
      <c r="FK513" s="9"/>
      <c r="FL513" s="10"/>
      <c r="FM513" s="9"/>
      <c r="FN513" s="10"/>
      <c r="FO513" s="9"/>
      <c r="FP513" s="10"/>
      <c r="FQ513" s="9"/>
      <c r="FR513" s="10"/>
      <c r="FS513" s="9"/>
      <c r="FT513" s="10"/>
      <c r="FU513" s="9"/>
      <c r="FV513" s="10"/>
      <c r="FW513" s="9"/>
      <c r="FX513" s="10"/>
      <c r="FY513" s="9"/>
      <c r="FZ513" s="10"/>
      <c r="GA513" s="9"/>
      <c r="GB513" s="10"/>
      <c r="GC513" s="9"/>
      <c r="GD513" s="10"/>
      <c r="GE513" s="9"/>
      <c r="GF513" s="10"/>
      <c r="GG513" s="9"/>
      <c r="GH513" s="10"/>
      <c r="GI513" s="9"/>
      <c r="GJ513" s="10"/>
      <c r="GK513" s="9"/>
      <c r="GL513" s="10"/>
      <c r="GM513" s="9"/>
      <c r="GN513" s="10"/>
      <c r="GO513" s="9"/>
      <c r="GP513" s="10"/>
      <c r="GQ513" s="9"/>
      <c r="GR513" s="10"/>
      <c r="GS513" s="9"/>
      <c r="GT513" s="10"/>
      <c r="GU513" s="9"/>
      <c r="GV513" s="10"/>
      <c r="GW513" s="9"/>
      <c r="GX513" s="10"/>
      <c r="GY513" s="9"/>
      <c r="GZ513" s="10"/>
      <c r="HA513" s="9"/>
      <c r="HB513" s="10"/>
      <c r="HC513" s="9"/>
      <c r="HD513" s="10"/>
      <c r="HE513" s="9"/>
      <c r="HF513" s="10"/>
      <c r="HG513" s="9"/>
      <c r="HH513" s="10"/>
      <c r="HI513" s="9"/>
      <c r="HJ513" s="10"/>
      <c r="HK513" s="9"/>
      <c r="HL513" s="10"/>
      <c r="HM513" s="9"/>
      <c r="HN513" s="10"/>
      <c r="HO513" s="9"/>
      <c r="HP513" s="10"/>
      <c r="HQ513" s="9"/>
      <c r="HR513" s="10"/>
      <c r="HS513" s="9"/>
      <c r="HT513" s="10"/>
      <c r="HU513" s="9"/>
      <c r="HV513" s="10"/>
      <c r="HW513" s="9"/>
      <c r="HX513" s="10"/>
      <c r="HY513" s="9"/>
      <c r="HZ513" s="10"/>
      <c r="IA513" s="9"/>
      <c r="IB513" s="10"/>
      <c r="IC513" s="9"/>
      <c r="ID513" s="10"/>
      <c r="IE513" s="9"/>
      <c r="IF513" s="10"/>
      <c r="IG513" s="9"/>
      <c r="IH513" s="10"/>
      <c r="II513" s="9"/>
      <c r="IJ513" s="10"/>
      <c r="IK513" s="9"/>
      <c r="IL513" s="10"/>
      <c r="IM513" s="9"/>
      <c r="IN513" s="10"/>
      <c r="IO513" s="9"/>
      <c r="IP513" s="10"/>
      <c r="IQ513" s="9"/>
      <c r="IR513" s="10"/>
      <c r="IS513" s="9"/>
      <c r="IT513" s="10"/>
      <c r="IU513" s="9"/>
      <c r="IV513" s="10"/>
    </row>
    <row r="514" spans="1:256">
      <c r="A514" s="9" t="s">
        <v>2246</v>
      </c>
      <c r="B514" s="9" t="s">
        <v>1672</v>
      </c>
      <c r="C514" s="9"/>
      <c r="D514" s="9"/>
      <c r="E514" s="9"/>
      <c r="F514" s="9"/>
      <c r="G514" s="9"/>
      <c r="H514" s="9"/>
      <c r="I514" s="9"/>
      <c r="J514" s="9"/>
      <c r="K514" s="9"/>
      <c r="L514" s="9"/>
      <c r="M514" s="9"/>
      <c r="N514" s="9"/>
      <c r="O514" s="9"/>
      <c r="P514" s="9"/>
      <c r="Q514" s="9"/>
      <c r="R514" s="9"/>
      <c r="S514" s="9"/>
      <c r="T514" s="9"/>
      <c r="U514" s="9"/>
      <c r="V514" s="9"/>
      <c r="W514" s="9"/>
      <c r="X514" s="9"/>
      <c r="Y514" s="9"/>
      <c r="Z514" s="9"/>
      <c r="AA514" s="9"/>
      <c r="AB514" s="9"/>
      <c r="AC514" s="9"/>
      <c r="AD514" s="9"/>
      <c r="AE514" s="9"/>
      <c r="AF514" s="9"/>
      <c r="AG514" s="9"/>
      <c r="AH514" s="9"/>
      <c r="AI514" s="9"/>
      <c r="AJ514" s="9"/>
      <c r="AK514" s="9"/>
      <c r="AL514" s="9"/>
      <c r="AM514" s="9"/>
      <c r="AN514" s="9"/>
      <c r="AO514" s="9"/>
      <c r="AP514" s="9"/>
      <c r="AQ514" s="9"/>
      <c r="AR514" s="9"/>
      <c r="AS514" s="9"/>
      <c r="AT514" s="9"/>
      <c r="AU514" s="9"/>
      <c r="AV514" s="9"/>
      <c r="AW514" s="9"/>
      <c r="AX514" s="9"/>
      <c r="AY514" s="9"/>
      <c r="AZ514" s="9"/>
      <c r="BA514" s="9"/>
      <c r="BB514" s="9"/>
      <c r="BC514" s="9"/>
      <c r="BD514" s="9"/>
      <c r="BE514" s="9"/>
      <c r="BF514" s="9"/>
      <c r="BG514" s="9"/>
      <c r="BH514" s="9"/>
      <c r="BI514" s="9"/>
      <c r="BJ514" s="9"/>
      <c r="BK514" s="9"/>
      <c r="BL514" s="9"/>
      <c r="BM514" s="9"/>
      <c r="BN514" s="9"/>
      <c r="BO514" s="9"/>
      <c r="BP514" s="9"/>
      <c r="BQ514" s="9"/>
      <c r="BR514" s="9"/>
      <c r="BS514" s="9"/>
      <c r="BT514" s="9"/>
      <c r="BU514" s="9"/>
      <c r="BV514" s="9"/>
      <c r="BW514" s="9"/>
      <c r="BX514" s="9"/>
      <c r="BY514" s="9"/>
      <c r="BZ514" s="9"/>
      <c r="CA514" s="9"/>
      <c r="CB514" s="9"/>
      <c r="CC514" s="9"/>
      <c r="CD514" s="9"/>
      <c r="CE514" s="9"/>
      <c r="CF514" s="9"/>
      <c r="CG514" s="9"/>
      <c r="CH514" s="9"/>
      <c r="CI514" s="9"/>
      <c r="CJ514" s="9"/>
      <c r="CK514" s="9"/>
      <c r="CL514" s="9"/>
      <c r="CM514" s="9"/>
      <c r="CN514" s="9"/>
      <c r="CO514" s="9"/>
      <c r="CP514" s="9"/>
      <c r="CQ514" s="9"/>
      <c r="CR514" s="9"/>
      <c r="CS514" s="9"/>
      <c r="CT514" s="9"/>
      <c r="CU514" s="9"/>
      <c r="CV514" s="9"/>
      <c r="CW514" s="9"/>
      <c r="CX514" s="9"/>
      <c r="CY514" s="9"/>
      <c r="CZ514" s="9"/>
      <c r="DA514" s="9"/>
      <c r="DB514" s="9"/>
      <c r="DC514" s="9"/>
      <c r="DD514" s="9"/>
      <c r="DE514" s="9"/>
      <c r="DF514" s="9"/>
      <c r="DG514" s="9"/>
      <c r="DH514" s="9"/>
      <c r="DI514" s="9"/>
      <c r="DJ514" s="9"/>
      <c r="DK514" s="9"/>
      <c r="DL514" s="9"/>
      <c r="DM514" s="9"/>
      <c r="DN514" s="9"/>
      <c r="DO514" s="9"/>
      <c r="DP514" s="9"/>
      <c r="DQ514" s="9"/>
      <c r="DR514" s="9"/>
      <c r="DS514" s="9"/>
      <c r="DT514" s="9"/>
      <c r="DU514" s="9"/>
      <c r="DV514" s="9"/>
      <c r="DW514" s="9"/>
      <c r="DX514" s="9"/>
      <c r="DY514" s="9"/>
      <c r="DZ514" s="9"/>
      <c r="EA514" s="9"/>
      <c r="EB514" s="9"/>
      <c r="EC514" s="9"/>
      <c r="ED514" s="9"/>
      <c r="EE514" s="9"/>
      <c r="EF514" s="9"/>
      <c r="EG514" s="9"/>
      <c r="EH514" s="9"/>
      <c r="EI514" s="9"/>
      <c r="EJ514" s="9"/>
      <c r="EK514" s="9"/>
      <c r="EL514" s="9"/>
      <c r="EM514" s="9"/>
      <c r="EN514" s="9"/>
      <c r="EO514" s="9"/>
      <c r="EP514" s="9"/>
      <c r="EQ514" s="9"/>
      <c r="ER514" s="9"/>
      <c r="ES514" s="9"/>
      <c r="ET514" s="9"/>
      <c r="EU514" s="9"/>
      <c r="EV514" s="9"/>
      <c r="EW514" s="9"/>
      <c r="EX514" s="9"/>
      <c r="EY514" s="9"/>
      <c r="EZ514" s="9"/>
      <c r="FA514" s="9"/>
      <c r="FB514" s="9"/>
      <c r="FC514" s="9"/>
      <c r="FD514" s="9"/>
      <c r="FE514" s="9"/>
      <c r="FF514" s="9"/>
      <c r="FG514" s="9"/>
      <c r="FH514" s="9"/>
      <c r="FI514" s="9"/>
      <c r="FJ514" s="9"/>
      <c r="FK514" s="9"/>
      <c r="FL514" s="9"/>
      <c r="FM514" s="9"/>
      <c r="FN514" s="9"/>
      <c r="FO514" s="9"/>
      <c r="FP514" s="9"/>
      <c r="FQ514" s="9"/>
      <c r="FR514" s="9"/>
      <c r="FS514" s="9"/>
      <c r="FT514" s="9"/>
      <c r="FU514" s="9"/>
      <c r="FV514" s="9"/>
      <c r="FW514" s="9"/>
      <c r="FX514" s="9"/>
      <c r="FY514" s="9"/>
      <c r="FZ514" s="9"/>
      <c r="GA514" s="9"/>
      <c r="GB514" s="9"/>
      <c r="GC514" s="9"/>
      <c r="GD514" s="9"/>
      <c r="GE514" s="9"/>
      <c r="GF514" s="9"/>
      <c r="GG514" s="9"/>
      <c r="GH514" s="9"/>
      <c r="GI514" s="9"/>
      <c r="GJ514" s="9"/>
      <c r="GK514" s="9"/>
      <c r="GL514" s="9"/>
      <c r="GM514" s="9"/>
      <c r="GN514" s="9"/>
      <c r="GO514" s="9"/>
      <c r="GP514" s="9"/>
      <c r="GQ514" s="9"/>
      <c r="GR514" s="9"/>
      <c r="GS514" s="9"/>
      <c r="GT514" s="9"/>
      <c r="GU514" s="9"/>
      <c r="GV514" s="9"/>
      <c r="GW514" s="9"/>
      <c r="GX514" s="9"/>
      <c r="GY514" s="9"/>
      <c r="GZ514" s="9"/>
      <c r="HA514" s="9"/>
      <c r="HB514" s="9"/>
      <c r="HC514" s="9"/>
      <c r="HD514" s="9"/>
      <c r="HE514" s="9"/>
      <c r="HF514" s="9"/>
      <c r="HG514" s="9"/>
      <c r="HH514" s="9"/>
      <c r="HI514" s="9"/>
      <c r="HJ514" s="9"/>
      <c r="HK514" s="9"/>
      <c r="HL514" s="9"/>
      <c r="HM514" s="9"/>
      <c r="HN514" s="9"/>
      <c r="HO514" s="9"/>
      <c r="HP514" s="9"/>
      <c r="HQ514" s="9"/>
      <c r="HR514" s="9"/>
      <c r="HS514" s="9"/>
      <c r="HT514" s="9"/>
      <c r="HU514" s="9"/>
      <c r="HV514" s="9"/>
      <c r="HW514" s="9"/>
      <c r="HX514" s="9"/>
      <c r="HY514" s="9"/>
      <c r="HZ514" s="9"/>
      <c r="IA514" s="9"/>
      <c r="IB514" s="9"/>
      <c r="IC514" s="9"/>
      <c r="ID514" s="9"/>
      <c r="IE514" s="9"/>
      <c r="IF514" s="9"/>
      <c r="IG514" s="9"/>
      <c r="IH514" s="9"/>
      <c r="II514" s="9"/>
      <c r="IJ514" s="9"/>
      <c r="IK514" s="9"/>
      <c r="IL514" s="9"/>
      <c r="IM514" s="9"/>
      <c r="IN514" s="9"/>
      <c r="IO514" s="9"/>
      <c r="IP514" s="9"/>
      <c r="IQ514" s="9"/>
      <c r="IR514" s="9"/>
      <c r="IS514" s="9"/>
      <c r="IT514" s="9"/>
      <c r="IU514" s="9"/>
      <c r="IV514" s="9"/>
    </row>
    <row r="515" spans="1:256">
      <c r="B515" s="9" t="s">
        <v>1241</v>
      </c>
      <c r="C515" s="9"/>
      <c r="D515" s="10"/>
      <c r="E515" s="9"/>
      <c r="F515" s="10"/>
      <c r="G515" s="9"/>
      <c r="H515" s="10"/>
      <c r="I515" s="9"/>
      <c r="J515" s="10"/>
      <c r="K515" s="9"/>
      <c r="L515" s="10"/>
      <c r="M515" s="9"/>
      <c r="N515" s="10"/>
      <c r="O515" s="9"/>
      <c r="P515" s="10"/>
      <c r="Q515" s="9"/>
      <c r="R515" s="10"/>
      <c r="S515" s="9"/>
      <c r="T515" s="10"/>
      <c r="U515" s="9"/>
      <c r="V515" s="10"/>
      <c r="W515" s="9"/>
      <c r="X515" s="10"/>
      <c r="Y515" s="9"/>
      <c r="Z515" s="10"/>
      <c r="AA515" s="9"/>
      <c r="AB515" s="10"/>
      <c r="AC515" s="9"/>
      <c r="AD515" s="10"/>
      <c r="AE515" s="9"/>
      <c r="AF515" s="10"/>
      <c r="AG515" s="9"/>
      <c r="AH515" s="10"/>
      <c r="AI515" s="9"/>
      <c r="AJ515" s="10"/>
      <c r="AK515" s="9"/>
      <c r="AL515" s="10"/>
      <c r="AM515" s="9"/>
      <c r="AN515" s="10"/>
      <c r="AO515" s="9"/>
      <c r="AP515" s="10"/>
      <c r="AQ515" s="9"/>
      <c r="AR515" s="10"/>
      <c r="AS515" s="9"/>
      <c r="AT515" s="10"/>
      <c r="AU515" s="9"/>
      <c r="AV515" s="10"/>
      <c r="AW515" s="9"/>
      <c r="AX515" s="10"/>
      <c r="AY515" s="9"/>
      <c r="AZ515" s="10"/>
      <c r="BA515" s="9"/>
      <c r="BB515" s="10"/>
      <c r="BC515" s="9"/>
      <c r="BD515" s="10"/>
      <c r="BE515" s="9"/>
      <c r="BF515" s="10"/>
      <c r="BG515" s="9"/>
      <c r="BH515" s="10"/>
      <c r="BI515" s="9"/>
      <c r="BJ515" s="10"/>
      <c r="BK515" s="9"/>
      <c r="BL515" s="10"/>
      <c r="BM515" s="9"/>
      <c r="BN515" s="10"/>
      <c r="BO515" s="9"/>
      <c r="BP515" s="10"/>
      <c r="BQ515" s="9"/>
      <c r="BR515" s="10"/>
      <c r="BS515" s="9"/>
      <c r="BT515" s="10"/>
      <c r="BU515" s="9"/>
      <c r="BV515" s="10"/>
      <c r="BW515" s="9"/>
      <c r="BX515" s="10"/>
      <c r="BY515" s="9"/>
      <c r="BZ515" s="10"/>
      <c r="CA515" s="9"/>
      <c r="CB515" s="10"/>
      <c r="CC515" s="9"/>
      <c r="CD515" s="10"/>
      <c r="CE515" s="9"/>
      <c r="CF515" s="10"/>
      <c r="CG515" s="9"/>
      <c r="CH515" s="10"/>
      <c r="CI515" s="9"/>
      <c r="CJ515" s="10"/>
      <c r="CK515" s="9"/>
      <c r="CL515" s="10"/>
      <c r="CM515" s="9"/>
      <c r="CN515" s="10"/>
      <c r="CO515" s="9"/>
      <c r="CP515" s="10"/>
      <c r="CQ515" s="9"/>
      <c r="CR515" s="10"/>
      <c r="CS515" s="9"/>
      <c r="CT515" s="10"/>
      <c r="CU515" s="9"/>
      <c r="CV515" s="10"/>
      <c r="CW515" s="9"/>
      <c r="CX515" s="10"/>
      <c r="CY515" s="9"/>
      <c r="CZ515" s="10"/>
      <c r="DA515" s="9"/>
      <c r="DB515" s="10"/>
      <c r="DC515" s="9"/>
      <c r="DD515" s="10"/>
      <c r="DE515" s="9"/>
      <c r="DF515" s="10"/>
      <c r="DG515" s="9"/>
      <c r="DH515" s="10"/>
      <c r="DI515" s="9"/>
      <c r="DJ515" s="10"/>
      <c r="DK515" s="9"/>
      <c r="DL515" s="10"/>
      <c r="DM515" s="9"/>
      <c r="DN515" s="10"/>
      <c r="DO515" s="9"/>
      <c r="DP515" s="10"/>
      <c r="DQ515" s="9"/>
      <c r="DR515" s="10"/>
      <c r="DS515" s="9"/>
      <c r="DT515" s="10"/>
      <c r="DU515" s="9"/>
      <c r="DV515" s="10"/>
      <c r="DW515" s="9"/>
      <c r="DX515" s="10"/>
      <c r="DY515" s="9"/>
      <c r="DZ515" s="10"/>
      <c r="EA515" s="9"/>
      <c r="EB515" s="10"/>
      <c r="EC515" s="9"/>
      <c r="ED515" s="10"/>
      <c r="EE515" s="9"/>
      <c r="EF515" s="10"/>
      <c r="EG515" s="9"/>
      <c r="EH515" s="10"/>
      <c r="EI515" s="9"/>
      <c r="EJ515" s="10"/>
      <c r="EK515" s="9"/>
      <c r="EL515" s="10"/>
      <c r="EM515" s="9"/>
      <c r="EN515" s="10"/>
      <c r="EO515" s="9"/>
      <c r="EP515" s="10"/>
      <c r="EQ515" s="9"/>
      <c r="ER515" s="10"/>
      <c r="ES515" s="9"/>
      <c r="ET515" s="10"/>
      <c r="EU515" s="9"/>
      <c r="EV515" s="10"/>
      <c r="EW515" s="9"/>
      <c r="EX515" s="10"/>
      <c r="EY515" s="9"/>
      <c r="EZ515" s="10"/>
      <c r="FA515" s="9"/>
      <c r="FB515" s="10"/>
      <c r="FC515" s="9"/>
      <c r="FD515" s="10"/>
      <c r="FE515" s="9"/>
      <c r="FF515" s="10"/>
      <c r="FG515" s="9"/>
      <c r="FH515" s="10"/>
      <c r="FI515" s="9"/>
      <c r="FJ515" s="10"/>
      <c r="FK515" s="9"/>
      <c r="FL515" s="10"/>
      <c r="FM515" s="9"/>
      <c r="FN515" s="10"/>
      <c r="FO515" s="9"/>
      <c r="FP515" s="10"/>
      <c r="FQ515" s="9"/>
      <c r="FR515" s="10"/>
      <c r="FS515" s="9"/>
      <c r="FT515" s="10"/>
      <c r="FU515" s="9"/>
      <c r="FV515" s="10"/>
      <c r="FW515" s="9"/>
      <c r="FX515" s="10"/>
      <c r="FY515" s="9"/>
      <c r="FZ515" s="10"/>
      <c r="GA515" s="9"/>
      <c r="GB515" s="10"/>
      <c r="GC515" s="9"/>
      <c r="GD515" s="10"/>
      <c r="GE515" s="9"/>
      <c r="GF515" s="10"/>
      <c r="GG515" s="9"/>
      <c r="GH515" s="10"/>
      <c r="GI515" s="9"/>
      <c r="GJ515" s="10"/>
      <c r="GK515" s="9"/>
      <c r="GL515" s="10"/>
      <c r="GM515" s="9"/>
      <c r="GN515" s="10"/>
      <c r="GO515" s="9"/>
      <c r="GP515" s="10"/>
      <c r="GQ515" s="9"/>
      <c r="GR515" s="10"/>
      <c r="GS515" s="9"/>
      <c r="GT515" s="10"/>
      <c r="GU515" s="9"/>
      <c r="GV515" s="10"/>
      <c r="GW515" s="9"/>
      <c r="GX515" s="10"/>
      <c r="GY515" s="9"/>
      <c r="GZ515" s="10"/>
      <c r="HA515" s="9"/>
      <c r="HB515" s="10"/>
      <c r="HC515" s="9"/>
      <c r="HD515" s="10"/>
      <c r="HE515" s="9"/>
      <c r="HF515" s="10"/>
      <c r="HG515" s="9"/>
      <c r="HH515" s="10"/>
      <c r="HI515" s="9"/>
      <c r="HJ515" s="10"/>
      <c r="HK515" s="9"/>
      <c r="HL515" s="10"/>
      <c r="HM515" s="9"/>
      <c r="HN515" s="10"/>
      <c r="HO515" s="9"/>
      <c r="HP515" s="10"/>
      <c r="HQ515" s="9"/>
      <c r="HR515" s="10"/>
      <c r="HS515" s="9"/>
      <c r="HT515" s="10"/>
      <c r="HU515" s="9"/>
      <c r="HV515" s="10"/>
      <c r="HW515" s="9"/>
      <c r="HX515" s="10"/>
      <c r="HY515" s="9"/>
      <c r="HZ515" s="10"/>
      <c r="IA515" s="9"/>
      <c r="IB515" s="10"/>
      <c r="IC515" s="9"/>
      <c r="ID515" s="10"/>
      <c r="IE515" s="9"/>
      <c r="IF515" s="10"/>
      <c r="IG515" s="9"/>
      <c r="IH515" s="10"/>
      <c r="II515" s="9"/>
      <c r="IJ515" s="10"/>
      <c r="IK515" s="9"/>
      <c r="IL515" s="10"/>
      <c r="IM515" s="9"/>
      <c r="IN515" s="10"/>
      <c r="IO515" s="9"/>
      <c r="IP515" s="10"/>
      <c r="IQ515" s="9"/>
      <c r="IR515" s="10"/>
      <c r="IS515" s="9"/>
      <c r="IT515" s="10"/>
      <c r="IU515" s="9"/>
      <c r="IV515" s="10"/>
    </row>
    <row r="516" spans="1:256">
      <c r="B516" s="9" t="s">
        <v>2175</v>
      </c>
      <c r="C516" s="9"/>
      <c r="D516" s="10"/>
      <c r="E516" s="9"/>
      <c r="F516" s="10"/>
      <c r="G516" s="9"/>
      <c r="H516" s="10"/>
      <c r="I516" s="9"/>
      <c r="J516" s="10"/>
      <c r="K516" s="9"/>
      <c r="L516" s="10"/>
      <c r="M516" s="9"/>
      <c r="N516" s="10"/>
      <c r="O516" s="9"/>
      <c r="P516" s="10"/>
      <c r="Q516" s="9"/>
      <c r="R516" s="10"/>
      <c r="S516" s="9"/>
      <c r="T516" s="10"/>
      <c r="U516" s="9"/>
      <c r="V516" s="10"/>
      <c r="W516" s="9"/>
      <c r="X516" s="10"/>
      <c r="Y516" s="9"/>
      <c r="Z516" s="10"/>
      <c r="AA516" s="9"/>
      <c r="AB516" s="10"/>
      <c r="AC516" s="9"/>
      <c r="AD516" s="10"/>
      <c r="AE516" s="9"/>
      <c r="AF516" s="10"/>
      <c r="AG516" s="9"/>
      <c r="AH516" s="10"/>
      <c r="AI516" s="9"/>
      <c r="AJ516" s="10"/>
      <c r="AK516" s="9"/>
      <c r="AL516" s="10"/>
      <c r="AM516" s="9"/>
      <c r="AN516" s="10"/>
      <c r="AO516" s="9"/>
      <c r="AP516" s="10"/>
      <c r="AQ516" s="9"/>
      <c r="AR516" s="10"/>
      <c r="AS516" s="9"/>
      <c r="AT516" s="10"/>
      <c r="AU516" s="9"/>
      <c r="AV516" s="10"/>
      <c r="AW516" s="9"/>
      <c r="AX516" s="10"/>
      <c r="AY516" s="9"/>
      <c r="AZ516" s="10"/>
      <c r="BA516" s="9"/>
      <c r="BB516" s="10"/>
      <c r="BC516" s="9"/>
      <c r="BD516" s="10"/>
      <c r="BE516" s="9"/>
      <c r="BF516" s="10"/>
      <c r="BG516" s="9"/>
      <c r="BH516" s="10"/>
      <c r="BI516" s="9"/>
      <c r="BJ516" s="10"/>
      <c r="BK516" s="9"/>
      <c r="BL516" s="10"/>
      <c r="BM516" s="9"/>
      <c r="BN516" s="10"/>
      <c r="BO516" s="9"/>
      <c r="BP516" s="10"/>
      <c r="BQ516" s="9"/>
      <c r="BR516" s="10"/>
      <c r="BS516" s="9"/>
      <c r="BT516" s="10"/>
      <c r="BU516" s="9"/>
      <c r="BV516" s="10"/>
      <c r="BW516" s="9"/>
      <c r="BX516" s="10"/>
      <c r="BY516" s="9"/>
      <c r="BZ516" s="10"/>
      <c r="CA516" s="9"/>
      <c r="CB516" s="10"/>
      <c r="CC516" s="9"/>
      <c r="CD516" s="10"/>
      <c r="CE516" s="9"/>
      <c r="CF516" s="10"/>
      <c r="CG516" s="9"/>
      <c r="CH516" s="10"/>
      <c r="CI516" s="9"/>
      <c r="CJ516" s="10"/>
      <c r="CK516" s="9"/>
      <c r="CL516" s="10"/>
      <c r="CM516" s="9"/>
      <c r="CN516" s="10"/>
      <c r="CO516" s="9"/>
      <c r="CP516" s="10"/>
      <c r="CQ516" s="9"/>
      <c r="CR516" s="10"/>
      <c r="CS516" s="9"/>
      <c r="CT516" s="10"/>
      <c r="CU516" s="9"/>
      <c r="CV516" s="10"/>
      <c r="CW516" s="9"/>
      <c r="CX516" s="10"/>
      <c r="CY516" s="9"/>
      <c r="CZ516" s="10"/>
      <c r="DA516" s="9"/>
      <c r="DB516" s="10"/>
      <c r="DC516" s="9"/>
      <c r="DD516" s="10"/>
      <c r="DE516" s="9"/>
      <c r="DF516" s="10"/>
      <c r="DG516" s="9"/>
      <c r="DH516" s="10"/>
      <c r="DI516" s="9"/>
      <c r="DJ516" s="10"/>
      <c r="DK516" s="9"/>
      <c r="DL516" s="10"/>
      <c r="DM516" s="9"/>
      <c r="DN516" s="10"/>
      <c r="DO516" s="9"/>
      <c r="DP516" s="10"/>
      <c r="DQ516" s="9"/>
      <c r="DR516" s="10"/>
      <c r="DS516" s="9"/>
      <c r="DT516" s="10"/>
      <c r="DU516" s="9"/>
      <c r="DV516" s="10"/>
      <c r="DW516" s="9"/>
      <c r="DX516" s="10"/>
      <c r="DY516" s="9"/>
      <c r="DZ516" s="10"/>
      <c r="EA516" s="9"/>
      <c r="EB516" s="10"/>
      <c r="EC516" s="9"/>
      <c r="ED516" s="10"/>
      <c r="EE516" s="9"/>
      <c r="EF516" s="10"/>
      <c r="EG516" s="9"/>
      <c r="EH516" s="10"/>
      <c r="EI516" s="9"/>
      <c r="EJ516" s="10"/>
      <c r="EK516" s="9"/>
      <c r="EL516" s="10"/>
      <c r="EM516" s="9"/>
      <c r="EN516" s="10"/>
      <c r="EO516" s="9"/>
      <c r="EP516" s="10"/>
      <c r="EQ516" s="9"/>
      <c r="ER516" s="10"/>
      <c r="ES516" s="9"/>
      <c r="ET516" s="10"/>
      <c r="EU516" s="9"/>
      <c r="EV516" s="10"/>
      <c r="EW516" s="9"/>
      <c r="EX516" s="10"/>
      <c r="EY516" s="9"/>
      <c r="EZ516" s="10"/>
      <c r="FA516" s="9"/>
      <c r="FB516" s="10"/>
      <c r="FC516" s="9"/>
      <c r="FD516" s="10"/>
      <c r="FE516" s="9"/>
      <c r="FF516" s="10"/>
      <c r="FG516" s="9"/>
      <c r="FH516" s="10"/>
      <c r="FI516" s="9"/>
      <c r="FJ516" s="10"/>
      <c r="FK516" s="9"/>
      <c r="FL516" s="10"/>
      <c r="FM516" s="9"/>
      <c r="FN516" s="10"/>
      <c r="FO516" s="9"/>
      <c r="FP516" s="10"/>
      <c r="FQ516" s="9"/>
      <c r="FR516" s="10"/>
      <c r="FS516" s="9"/>
      <c r="FT516" s="10"/>
      <c r="FU516" s="9"/>
      <c r="FV516" s="10"/>
      <c r="FW516" s="9"/>
      <c r="FX516" s="10"/>
      <c r="FY516" s="9"/>
      <c r="FZ516" s="10"/>
      <c r="GA516" s="9"/>
      <c r="GB516" s="10"/>
      <c r="GC516" s="9"/>
      <c r="GD516" s="10"/>
      <c r="GE516" s="9"/>
      <c r="GF516" s="10"/>
      <c r="GG516" s="9"/>
      <c r="GH516" s="10"/>
      <c r="GI516" s="9"/>
      <c r="GJ516" s="10"/>
      <c r="GK516" s="9"/>
      <c r="GL516" s="10"/>
      <c r="GM516" s="9"/>
      <c r="GN516" s="10"/>
      <c r="GO516" s="9"/>
      <c r="GP516" s="10"/>
      <c r="GQ516" s="9"/>
      <c r="GR516" s="10"/>
      <c r="GS516" s="9"/>
      <c r="GT516" s="10"/>
      <c r="GU516" s="9"/>
      <c r="GV516" s="10"/>
      <c r="GW516" s="9"/>
      <c r="GX516" s="10"/>
      <c r="GY516" s="9"/>
      <c r="GZ516" s="10"/>
      <c r="HA516" s="9"/>
      <c r="HB516" s="10"/>
      <c r="HC516" s="9"/>
      <c r="HD516" s="10"/>
      <c r="HE516" s="9"/>
      <c r="HF516" s="10"/>
      <c r="HG516" s="9"/>
      <c r="HH516" s="10"/>
      <c r="HI516" s="9"/>
      <c r="HJ516" s="10"/>
      <c r="HK516" s="9"/>
      <c r="HL516" s="10"/>
      <c r="HM516" s="9"/>
      <c r="HN516" s="10"/>
      <c r="HO516" s="9"/>
      <c r="HP516" s="10"/>
      <c r="HQ516" s="9"/>
      <c r="HR516" s="10"/>
      <c r="HS516" s="9"/>
      <c r="HT516" s="10"/>
      <c r="HU516" s="9"/>
      <c r="HV516" s="10"/>
      <c r="HW516" s="9"/>
      <c r="HX516" s="10"/>
      <c r="HY516" s="9"/>
      <c r="HZ516" s="10"/>
      <c r="IA516" s="9"/>
      <c r="IB516" s="10"/>
      <c r="IC516" s="9"/>
      <c r="ID516" s="10"/>
      <c r="IE516" s="9"/>
      <c r="IF516" s="10"/>
      <c r="IG516" s="9"/>
      <c r="IH516" s="10"/>
      <c r="II516" s="9"/>
      <c r="IJ516" s="10"/>
      <c r="IK516" s="9"/>
      <c r="IL516" s="10"/>
      <c r="IM516" s="9"/>
      <c r="IN516" s="10"/>
      <c r="IO516" s="9"/>
      <c r="IP516" s="10"/>
      <c r="IQ516" s="9"/>
      <c r="IR516" s="10"/>
      <c r="IS516" s="9"/>
      <c r="IT516" s="10"/>
      <c r="IU516" s="9"/>
      <c r="IV516" s="10"/>
    </row>
    <row r="517" spans="1:256">
      <c r="B517" s="10" t="s">
        <v>2176</v>
      </c>
      <c r="C517" s="9"/>
      <c r="D517" s="10"/>
      <c r="E517" s="9"/>
      <c r="F517" s="10"/>
      <c r="G517" s="9"/>
      <c r="H517" s="10"/>
      <c r="I517" s="9"/>
      <c r="J517" s="10"/>
      <c r="K517" s="9"/>
      <c r="L517" s="10"/>
      <c r="M517" s="9"/>
      <c r="N517" s="10"/>
      <c r="O517" s="9"/>
      <c r="P517" s="10"/>
      <c r="Q517" s="9"/>
      <c r="R517" s="10"/>
      <c r="S517" s="9"/>
      <c r="T517" s="10"/>
      <c r="U517" s="9"/>
      <c r="V517" s="10"/>
      <c r="W517" s="9"/>
      <c r="X517" s="10"/>
      <c r="Y517" s="9"/>
      <c r="Z517" s="10"/>
      <c r="AA517" s="9"/>
      <c r="AB517" s="10"/>
      <c r="AC517" s="9"/>
      <c r="AD517" s="10"/>
      <c r="AE517" s="9"/>
      <c r="AF517" s="10"/>
      <c r="AG517" s="9"/>
      <c r="AH517" s="10"/>
      <c r="AI517" s="9"/>
      <c r="AJ517" s="10"/>
      <c r="AK517" s="9"/>
      <c r="AL517" s="10"/>
      <c r="AM517" s="9"/>
      <c r="AN517" s="10"/>
      <c r="AO517" s="9"/>
      <c r="AP517" s="10"/>
      <c r="AQ517" s="9"/>
      <c r="AR517" s="10"/>
      <c r="AS517" s="9"/>
      <c r="AT517" s="10"/>
      <c r="AU517" s="9"/>
      <c r="AV517" s="10"/>
      <c r="AW517" s="9"/>
      <c r="AX517" s="10"/>
      <c r="AY517" s="9"/>
      <c r="AZ517" s="10"/>
      <c r="BA517" s="9"/>
      <c r="BB517" s="10"/>
      <c r="BC517" s="9"/>
      <c r="BD517" s="10"/>
      <c r="BE517" s="9"/>
      <c r="BF517" s="10"/>
      <c r="BG517" s="9"/>
      <c r="BH517" s="10"/>
      <c r="BI517" s="9"/>
      <c r="BJ517" s="10"/>
      <c r="BK517" s="9"/>
      <c r="BL517" s="10"/>
      <c r="BM517" s="9"/>
      <c r="BN517" s="10"/>
      <c r="BO517" s="9"/>
      <c r="BP517" s="10"/>
      <c r="BQ517" s="9"/>
      <c r="BR517" s="10"/>
      <c r="BS517" s="9"/>
      <c r="BT517" s="10"/>
      <c r="BU517" s="9"/>
      <c r="BV517" s="10"/>
      <c r="BW517" s="9"/>
      <c r="BX517" s="10"/>
      <c r="BY517" s="9"/>
      <c r="BZ517" s="10"/>
      <c r="CA517" s="9"/>
      <c r="CB517" s="10"/>
      <c r="CC517" s="9"/>
      <c r="CD517" s="10"/>
      <c r="CE517" s="9"/>
      <c r="CF517" s="10"/>
      <c r="CG517" s="9"/>
      <c r="CH517" s="10"/>
      <c r="CI517" s="9"/>
      <c r="CJ517" s="10"/>
      <c r="CK517" s="9"/>
      <c r="CL517" s="10"/>
      <c r="CM517" s="9"/>
      <c r="CN517" s="10"/>
      <c r="CO517" s="9"/>
      <c r="CP517" s="10"/>
      <c r="CQ517" s="9"/>
      <c r="CR517" s="10"/>
      <c r="CS517" s="9"/>
      <c r="CT517" s="10"/>
      <c r="CU517" s="9"/>
      <c r="CV517" s="10"/>
      <c r="CW517" s="9"/>
      <c r="CX517" s="10"/>
      <c r="CY517" s="9"/>
      <c r="CZ517" s="10"/>
      <c r="DA517" s="9"/>
      <c r="DB517" s="10"/>
      <c r="DC517" s="9"/>
      <c r="DD517" s="10"/>
      <c r="DE517" s="9"/>
      <c r="DF517" s="10"/>
      <c r="DG517" s="9"/>
      <c r="DH517" s="10"/>
      <c r="DI517" s="9"/>
      <c r="DJ517" s="10"/>
      <c r="DK517" s="9"/>
      <c r="DL517" s="10"/>
      <c r="DM517" s="9"/>
      <c r="DN517" s="10"/>
      <c r="DO517" s="9"/>
      <c r="DP517" s="10"/>
      <c r="DQ517" s="9"/>
      <c r="DR517" s="10"/>
      <c r="DS517" s="9"/>
      <c r="DT517" s="10"/>
      <c r="DU517" s="9"/>
      <c r="DV517" s="10"/>
      <c r="DW517" s="9"/>
      <c r="DX517" s="10"/>
      <c r="DY517" s="9"/>
      <c r="DZ517" s="10"/>
      <c r="EA517" s="9"/>
      <c r="EB517" s="10"/>
      <c r="EC517" s="9"/>
      <c r="ED517" s="10"/>
      <c r="EE517" s="9"/>
      <c r="EF517" s="10"/>
      <c r="EG517" s="9"/>
      <c r="EH517" s="10"/>
      <c r="EI517" s="9"/>
      <c r="EJ517" s="10"/>
      <c r="EK517" s="9"/>
      <c r="EL517" s="10"/>
      <c r="EM517" s="9"/>
      <c r="EN517" s="10"/>
      <c r="EO517" s="9"/>
      <c r="EP517" s="10"/>
      <c r="EQ517" s="9"/>
      <c r="ER517" s="10"/>
      <c r="ES517" s="9"/>
      <c r="ET517" s="10"/>
      <c r="EU517" s="9"/>
      <c r="EV517" s="10"/>
      <c r="EW517" s="9"/>
      <c r="EX517" s="10"/>
      <c r="EY517" s="9"/>
      <c r="EZ517" s="10"/>
      <c r="FA517" s="9"/>
      <c r="FB517" s="10"/>
      <c r="FC517" s="9"/>
      <c r="FD517" s="10"/>
      <c r="FE517" s="9"/>
      <c r="FF517" s="10"/>
      <c r="FG517" s="9"/>
      <c r="FH517" s="10"/>
      <c r="FI517" s="9"/>
      <c r="FJ517" s="10"/>
      <c r="FK517" s="9"/>
      <c r="FL517" s="10"/>
      <c r="FM517" s="9"/>
      <c r="FN517" s="10"/>
      <c r="FO517" s="9"/>
      <c r="FP517" s="10"/>
      <c r="FQ517" s="9"/>
      <c r="FR517" s="10"/>
      <c r="FS517" s="9"/>
      <c r="FT517" s="10"/>
      <c r="FU517" s="9"/>
      <c r="FV517" s="10"/>
      <c r="FW517" s="9"/>
      <c r="FX517" s="10"/>
      <c r="FY517" s="9"/>
      <c r="FZ517" s="10"/>
      <c r="GA517" s="9"/>
      <c r="GB517" s="10"/>
      <c r="GC517" s="9"/>
      <c r="GD517" s="10"/>
      <c r="GE517" s="9"/>
      <c r="GF517" s="10"/>
      <c r="GG517" s="9"/>
      <c r="GH517" s="10"/>
      <c r="GI517" s="9"/>
      <c r="GJ517" s="10"/>
      <c r="GK517" s="9"/>
      <c r="GL517" s="10"/>
      <c r="GM517" s="9"/>
      <c r="GN517" s="10"/>
      <c r="GO517" s="9"/>
      <c r="GP517" s="10"/>
      <c r="GQ517" s="9"/>
      <c r="GR517" s="10"/>
      <c r="GS517" s="9"/>
      <c r="GT517" s="10"/>
      <c r="GU517" s="9"/>
      <c r="GV517" s="10"/>
      <c r="GW517" s="9"/>
      <c r="GX517" s="10"/>
      <c r="GY517" s="9"/>
      <c r="GZ517" s="10"/>
      <c r="HA517" s="9"/>
      <c r="HB517" s="10"/>
      <c r="HC517" s="9"/>
      <c r="HD517" s="10"/>
      <c r="HE517" s="9"/>
      <c r="HF517" s="10"/>
      <c r="HG517" s="9"/>
      <c r="HH517" s="10"/>
      <c r="HI517" s="9"/>
      <c r="HJ517" s="10"/>
      <c r="HK517" s="9"/>
      <c r="HL517" s="10"/>
      <c r="HM517" s="9"/>
      <c r="HN517" s="10"/>
      <c r="HO517" s="9"/>
      <c r="HP517" s="10"/>
      <c r="HQ517" s="9"/>
      <c r="HR517" s="10"/>
      <c r="HS517" s="9"/>
      <c r="HT517" s="10"/>
      <c r="HU517" s="9"/>
      <c r="HV517" s="10"/>
      <c r="HW517" s="9"/>
      <c r="HX517" s="10"/>
      <c r="HY517" s="9"/>
      <c r="HZ517" s="10"/>
      <c r="IA517" s="9"/>
      <c r="IB517" s="10"/>
      <c r="IC517" s="9"/>
      <c r="ID517" s="10"/>
      <c r="IE517" s="9"/>
      <c r="IF517" s="10"/>
      <c r="IG517" s="9"/>
      <c r="IH517" s="10"/>
      <c r="II517" s="9"/>
      <c r="IJ517" s="10"/>
      <c r="IK517" s="9"/>
      <c r="IL517" s="10"/>
      <c r="IM517" s="9"/>
      <c r="IN517" s="10"/>
      <c r="IO517" s="9"/>
      <c r="IP517" s="10"/>
      <c r="IQ517" s="9"/>
      <c r="IR517" s="10"/>
      <c r="IS517" s="9"/>
      <c r="IT517" s="10"/>
      <c r="IU517" s="9"/>
      <c r="IV517" s="10"/>
    </row>
    <row r="518" spans="1:256">
      <c r="A518" s="9" t="s">
        <v>2247</v>
      </c>
      <c r="B518" s="9" t="s">
        <v>2177</v>
      </c>
    </row>
    <row r="519" spans="1:256">
      <c r="A519" s="9" t="s">
        <v>2178</v>
      </c>
      <c r="B519" s="10" t="s">
        <v>2179</v>
      </c>
    </row>
    <row r="520" spans="1:256">
      <c r="B520" s="10" t="s">
        <v>2180</v>
      </c>
    </row>
    <row r="521" spans="1:256">
      <c r="B521" s="10"/>
    </row>
    <row r="522" spans="1:256">
      <c r="A522" s="9" t="s">
        <v>1670</v>
      </c>
    </row>
    <row r="523" spans="1:256">
      <c r="A523" s="9" t="s">
        <v>2246</v>
      </c>
      <c r="B523" s="9" t="s">
        <v>1669</v>
      </c>
    </row>
    <row r="524" spans="1:256">
      <c r="B524" s="9" t="s">
        <v>2210</v>
      </c>
      <c r="J524" s="10"/>
    </row>
    <row r="525" spans="1:256">
      <c r="A525" s="9" t="s">
        <v>2247</v>
      </c>
      <c r="B525" s="9" t="s">
        <v>161</v>
      </c>
    </row>
    <row r="527" spans="1:256">
      <c r="A527" s="9" t="s">
        <v>1579</v>
      </c>
      <c r="B527" s="9" t="s">
        <v>1580</v>
      </c>
    </row>
    <row r="528" spans="1:256">
      <c r="A528" s="9" t="s">
        <v>1583</v>
      </c>
      <c r="B528" s="9" t="s">
        <v>1584</v>
      </c>
    </row>
    <row r="529" spans="1:2">
      <c r="B529" s="9" t="s">
        <v>1582</v>
      </c>
    </row>
    <row r="530" spans="1:2">
      <c r="B530" s="9" t="s">
        <v>1426</v>
      </c>
    </row>
    <row r="531" spans="1:2">
      <c r="B531" s="9" t="s">
        <v>1715</v>
      </c>
    </row>
    <row r="532" spans="1:2">
      <c r="B532" s="9" t="s">
        <v>1716</v>
      </c>
    </row>
    <row r="533" spans="1:2">
      <c r="B533" s="9" t="s">
        <v>219</v>
      </c>
    </row>
    <row r="534" spans="1:2">
      <c r="B534" s="9" t="s">
        <v>220</v>
      </c>
    </row>
    <row r="535" spans="1:2">
      <c r="B535" s="9" t="s">
        <v>221</v>
      </c>
    </row>
    <row r="537" spans="1:2">
      <c r="A537" s="9" t="s">
        <v>725</v>
      </c>
    </row>
    <row r="538" spans="1:2">
      <c r="A538" s="9" t="s">
        <v>2246</v>
      </c>
      <c r="B538" s="10" t="s">
        <v>724</v>
      </c>
    </row>
    <row r="539" spans="1:2">
      <c r="B539" s="9" t="s">
        <v>936</v>
      </c>
    </row>
    <row r="540" spans="1:2">
      <c r="A540" s="9" t="s">
        <v>1565</v>
      </c>
      <c r="B540" s="9" t="s">
        <v>543</v>
      </c>
    </row>
    <row r="541" spans="1:2">
      <c r="A541" s="9" t="s">
        <v>2247</v>
      </c>
      <c r="B541" s="285" t="s">
        <v>1437</v>
      </c>
    </row>
    <row r="542" spans="1:2">
      <c r="B542" s="10" t="s">
        <v>282</v>
      </c>
    </row>
    <row r="543" spans="1:2">
      <c r="B543" s="10" t="s">
        <v>278</v>
      </c>
    </row>
    <row r="544" spans="1:2">
      <c r="B544" s="10" t="s">
        <v>1759</v>
      </c>
    </row>
    <row r="545" spans="1:6">
      <c r="B545" s="10" t="s">
        <v>1529</v>
      </c>
    </row>
    <row r="546" spans="1:6">
      <c r="B546" s="10" t="s">
        <v>544</v>
      </c>
    </row>
    <row r="547" spans="1:6">
      <c r="B547" s="48" t="s">
        <v>1429</v>
      </c>
    </row>
    <row r="548" spans="1:6">
      <c r="B548" s="126" t="s">
        <v>1428</v>
      </c>
    </row>
    <row r="549" spans="1:6">
      <c r="B549" s="10" t="s">
        <v>280</v>
      </c>
    </row>
    <row r="550" spans="1:6">
      <c r="B550" s="10" t="s">
        <v>547</v>
      </c>
    </row>
    <row r="551" spans="1:6">
      <c r="B551" s="10" t="s">
        <v>281</v>
      </c>
    </row>
    <row r="552" spans="1:6">
      <c r="B552" s="10" t="s">
        <v>1431</v>
      </c>
    </row>
    <row r="553" spans="1:6">
      <c r="B553" s="10" t="s">
        <v>1430</v>
      </c>
    </row>
    <row r="554" spans="1:6">
      <c r="B554" s="10" t="s">
        <v>1530</v>
      </c>
    </row>
    <row r="555" spans="1:6">
      <c r="A555" s="2"/>
      <c r="B555" s="10" t="s">
        <v>279</v>
      </c>
    </row>
    <row r="556" spans="1:6">
      <c r="A556" s="2"/>
      <c r="B556" s="10" t="s">
        <v>726</v>
      </c>
      <c r="F556" s="286"/>
    </row>
    <row r="557" spans="1:6">
      <c r="A557" s="2"/>
      <c r="B557" s="10" t="s">
        <v>545</v>
      </c>
    </row>
    <row r="558" spans="1:6">
      <c r="A558" s="2"/>
      <c r="B558" s="10" t="s">
        <v>1432</v>
      </c>
    </row>
    <row r="559" spans="1:6">
      <c r="A559" s="2"/>
      <c r="B559" s="10" t="s">
        <v>1301</v>
      </c>
    </row>
    <row r="560" spans="1:6">
      <c r="A560" s="2"/>
      <c r="B560" s="10" t="s">
        <v>1436</v>
      </c>
    </row>
    <row r="561" spans="1:2">
      <c r="A561" s="2"/>
      <c r="B561" s="10" t="s">
        <v>277</v>
      </c>
    </row>
    <row r="562" spans="1:2">
      <c r="A562" s="2"/>
      <c r="B562" s="10" t="s">
        <v>1433</v>
      </c>
    </row>
    <row r="563" spans="1:2">
      <c r="A563" s="2"/>
      <c r="B563" s="10" t="s">
        <v>1434</v>
      </c>
    </row>
    <row r="564" spans="1:2">
      <c r="A564" s="2"/>
      <c r="B564" s="10" t="s">
        <v>1435</v>
      </c>
    </row>
    <row r="565" spans="1:2">
      <c r="A565" s="2"/>
      <c r="B565" s="10" t="s">
        <v>1762</v>
      </c>
    </row>
    <row r="566" spans="1:2">
      <c r="A566" s="2"/>
      <c r="B566" s="10" t="s">
        <v>1527</v>
      </c>
    </row>
    <row r="567" spans="1:2">
      <c r="A567" s="2"/>
      <c r="B567" s="10" t="s">
        <v>1524</v>
      </c>
    </row>
    <row r="568" spans="1:2">
      <c r="A568" s="2"/>
      <c r="B568" s="10" t="s">
        <v>1528</v>
      </c>
    </row>
    <row r="569" spans="1:2">
      <c r="A569" s="2"/>
      <c r="B569" s="10" t="s">
        <v>1525</v>
      </c>
    </row>
    <row r="570" spans="1:2">
      <c r="A570" s="2"/>
      <c r="B570" s="10" t="s">
        <v>1526</v>
      </c>
    </row>
    <row r="571" spans="1:2">
      <c r="A571" s="2"/>
      <c r="B571" s="10" t="s">
        <v>1761</v>
      </c>
    </row>
    <row r="572" spans="1:2">
      <c r="A572" s="2"/>
      <c r="B572" s="10" t="s">
        <v>1420</v>
      </c>
    </row>
    <row r="573" spans="1:2">
      <c r="A573" s="2"/>
      <c r="B573" s="10" t="s">
        <v>1765</v>
      </c>
    </row>
    <row r="574" spans="1:2">
      <c r="A574" s="2"/>
      <c r="B574" s="10" t="s">
        <v>1760</v>
      </c>
    </row>
    <row r="575" spans="1:2">
      <c r="A575" s="2"/>
      <c r="B575" s="10" t="s">
        <v>1766</v>
      </c>
    </row>
    <row r="576" spans="1:2">
      <c r="A576" s="2"/>
      <c r="B576" s="10" t="s">
        <v>1764</v>
      </c>
    </row>
    <row r="577" spans="1:2">
      <c r="A577" s="2"/>
      <c r="B577" s="10" t="s">
        <v>1763</v>
      </c>
    </row>
    <row r="578" spans="1:2">
      <c r="A578" s="2"/>
      <c r="B578" s="10" t="s">
        <v>1767</v>
      </c>
    </row>
    <row r="579" spans="1:2">
      <c r="A579" s="2"/>
      <c r="B579" s="10" t="s">
        <v>546</v>
      </c>
    </row>
    <row r="580" spans="1:2">
      <c r="A580" s="2"/>
      <c r="B580" s="10" t="s">
        <v>159</v>
      </c>
    </row>
    <row r="581" spans="1:2">
      <c r="A581" s="2"/>
      <c r="B581" s="10" t="s">
        <v>1421</v>
      </c>
    </row>
    <row r="582" spans="1:2">
      <c r="A582" s="2"/>
      <c r="B582" s="10" t="s">
        <v>1422</v>
      </c>
    </row>
    <row r="583" spans="1:2">
      <c r="A583" s="2"/>
      <c r="B583" s="10" t="s">
        <v>1423</v>
      </c>
    </row>
    <row r="584" spans="1:2">
      <c r="A584" s="2"/>
      <c r="B584" s="10" t="s">
        <v>158</v>
      </c>
    </row>
    <row r="585" spans="1:2">
      <c r="A585" s="2"/>
      <c r="B585" s="10"/>
    </row>
    <row r="586" spans="1:2">
      <c r="A586" s="2"/>
      <c r="B586" s="10"/>
    </row>
    <row r="587" spans="1:2">
      <c r="A587" s="2"/>
      <c r="B587" s="285" t="s">
        <v>542</v>
      </c>
    </row>
    <row r="588" spans="1:2">
      <c r="B588" s="286" t="s">
        <v>548</v>
      </c>
    </row>
    <row r="590" spans="1:2">
      <c r="A590" s="9" t="s">
        <v>1030</v>
      </c>
    </row>
    <row r="591" spans="1:2">
      <c r="A591" s="9" t="s">
        <v>276</v>
      </c>
      <c r="B591" s="9" t="s">
        <v>962</v>
      </c>
    </row>
    <row r="592" spans="1:2">
      <c r="A592" s="9" t="s">
        <v>273</v>
      </c>
      <c r="B592" s="9" t="s">
        <v>962</v>
      </c>
    </row>
    <row r="593" spans="1:2">
      <c r="A593" s="9" t="s">
        <v>1342</v>
      </c>
      <c r="B593" s="9" t="s">
        <v>962</v>
      </c>
    </row>
    <row r="594" spans="1:2">
      <c r="A594" s="9" t="s">
        <v>1564</v>
      </c>
      <c r="B594" s="9" t="s">
        <v>962</v>
      </c>
    </row>
    <row r="595" spans="1:2">
      <c r="A595" s="9" t="s">
        <v>1899</v>
      </c>
      <c r="B595" s="9" t="s">
        <v>2245</v>
      </c>
    </row>
    <row r="596" spans="1:2">
      <c r="A596" s="9" t="s">
        <v>1663</v>
      </c>
      <c r="B596" s="9" t="s">
        <v>2245</v>
      </c>
    </row>
    <row r="597" spans="1:2">
      <c r="A597" s="9" t="s">
        <v>1917</v>
      </c>
      <c r="B597" s="9" t="s">
        <v>2245</v>
      </c>
    </row>
    <row r="598" spans="1:2">
      <c r="A598" s="9" t="s">
        <v>2229</v>
      </c>
      <c r="B598" s="9" t="s">
        <v>962</v>
      </c>
    </row>
    <row r="599" spans="1:2">
      <c r="A599" s="9" t="s">
        <v>806</v>
      </c>
      <c r="B599" s="9" t="s">
        <v>962</v>
      </c>
    </row>
    <row r="600" spans="1:2">
      <c r="A600" s="9" t="s">
        <v>804</v>
      </c>
      <c r="B600" s="9" t="s">
        <v>962</v>
      </c>
    </row>
    <row r="601" spans="1:2">
      <c r="A601" s="9" t="s">
        <v>2073</v>
      </c>
      <c r="B601" s="9" t="s">
        <v>962</v>
      </c>
    </row>
    <row r="602" spans="1:2">
      <c r="A602" s="9" t="s">
        <v>1852</v>
      </c>
      <c r="B602" s="10" t="s">
        <v>962</v>
      </c>
    </row>
    <row r="603" spans="1:2">
      <c r="A603" s="9" t="s">
        <v>1851</v>
      </c>
      <c r="B603" s="9" t="s">
        <v>2245</v>
      </c>
    </row>
    <row r="604" spans="1:2">
      <c r="A604" s="9" t="s">
        <v>1469</v>
      </c>
      <c r="B604" s="9" t="s">
        <v>2245</v>
      </c>
    </row>
    <row r="605" spans="1:2">
      <c r="A605" s="9" t="s">
        <v>819</v>
      </c>
      <c r="B605" s="9" t="s">
        <v>962</v>
      </c>
    </row>
    <row r="606" spans="1:2">
      <c r="A606" s="9" t="s">
        <v>930</v>
      </c>
      <c r="B606" s="9" t="s">
        <v>2245</v>
      </c>
    </row>
    <row r="607" spans="1:2">
      <c r="A607" s="9" t="s">
        <v>929</v>
      </c>
      <c r="B607" s="9" t="s">
        <v>962</v>
      </c>
    </row>
    <row r="608" spans="1:2">
      <c r="A608" s="9" t="s">
        <v>2244</v>
      </c>
      <c r="B608" s="9" t="s">
        <v>962</v>
      </c>
    </row>
    <row r="609" spans="1:8">
      <c r="A609" s="9" t="s">
        <v>2249</v>
      </c>
      <c r="B609" s="9" t="s">
        <v>2245</v>
      </c>
    </row>
    <row r="610" spans="1:8">
      <c r="A610" s="9" t="s">
        <v>2094</v>
      </c>
      <c r="B610" s="9" t="s">
        <v>962</v>
      </c>
    </row>
    <row r="611" spans="1:8">
      <c r="A611" s="9" t="s">
        <v>2095</v>
      </c>
      <c r="B611" s="9" t="s">
        <v>962</v>
      </c>
    </row>
    <row r="612" spans="1:8">
      <c r="A612" s="9" t="s">
        <v>2096</v>
      </c>
      <c r="B612" s="9" t="s">
        <v>962</v>
      </c>
    </row>
    <row r="613" spans="1:8">
      <c r="A613" s="9" t="s">
        <v>2097</v>
      </c>
      <c r="B613" s="9" t="s">
        <v>962</v>
      </c>
    </row>
    <row r="614" spans="1:8">
      <c r="A614" s="9" t="s">
        <v>2098</v>
      </c>
      <c r="B614" s="9" t="s">
        <v>962</v>
      </c>
      <c r="G614" s="10"/>
    </row>
    <row r="615" spans="1:8">
      <c r="A615" s="9" t="s">
        <v>2100</v>
      </c>
      <c r="B615" s="9" t="s">
        <v>2099</v>
      </c>
      <c r="G615" s="10"/>
    </row>
    <row r="616" spans="1:8">
      <c r="A616" s="9" t="s">
        <v>2101</v>
      </c>
      <c r="B616" s="9" t="s">
        <v>2245</v>
      </c>
      <c r="H616" s="2"/>
    </row>
    <row r="617" spans="1:8">
      <c r="A617" s="9" t="s">
        <v>2102</v>
      </c>
      <c r="B617" s="9" t="s">
        <v>2245</v>
      </c>
      <c r="H617" s="2"/>
    </row>
    <row r="618" spans="1:8">
      <c r="A618" s="9" t="s">
        <v>2104</v>
      </c>
      <c r="B618" s="9" t="s">
        <v>2103</v>
      </c>
      <c r="H618" s="2"/>
    </row>
    <row r="619" spans="1:8">
      <c r="A619" s="9" t="s">
        <v>2105</v>
      </c>
      <c r="B619" s="9" t="s">
        <v>962</v>
      </c>
      <c r="H619" s="2"/>
    </row>
    <row r="620" spans="1:8">
      <c r="A620" s="9" t="s">
        <v>2106</v>
      </c>
      <c r="B620" s="9" t="s">
        <v>2245</v>
      </c>
      <c r="H620" s="2"/>
    </row>
    <row r="621" spans="1:8">
      <c r="A621" s="9" t="s">
        <v>2107</v>
      </c>
      <c r="B621" s="9" t="s">
        <v>962</v>
      </c>
    </row>
    <row r="622" spans="1:8">
      <c r="A622" s="9" t="s">
        <v>2108</v>
      </c>
      <c r="B622" s="9" t="s">
        <v>2245</v>
      </c>
      <c r="H622" s="2"/>
    </row>
    <row r="623" spans="1:8">
      <c r="A623" s="9" t="s">
        <v>2109</v>
      </c>
      <c r="B623" s="9" t="s">
        <v>962</v>
      </c>
      <c r="H623" s="2"/>
    </row>
    <row r="624" spans="1:8">
      <c r="A624" s="9" t="s">
        <v>2110</v>
      </c>
      <c r="B624" s="9" t="s">
        <v>962</v>
      </c>
    </row>
    <row r="625" spans="1:8">
      <c r="A625" s="9" t="s">
        <v>2112</v>
      </c>
      <c r="B625" s="9" t="s">
        <v>2111</v>
      </c>
      <c r="H625" s="2"/>
    </row>
    <row r="626" spans="1:8">
      <c r="A626" s="9" t="s">
        <v>2113</v>
      </c>
      <c r="B626" s="9" t="s">
        <v>2245</v>
      </c>
      <c r="G626" s="8"/>
      <c r="H626" s="2"/>
    </row>
    <row r="627" spans="1:8">
      <c r="A627" s="9" t="s">
        <v>2114</v>
      </c>
      <c r="B627" s="9" t="s">
        <v>2111</v>
      </c>
      <c r="H627" s="2"/>
    </row>
    <row r="628" spans="1:8">
      <c r="A628" s="9" t="s">
        <v>2115</v>
      </c>
      <c r="B628" s="9" t="s">
        <v>2245</v>
      </c>
      <c r="H628" s="2"/>
    </row>
    <row r="629" spans="1:8">
      <c r="A629" s="9" t="s">
        <v>2116</v>
      </c>
      <c r="B629" s="9" t="s">
        <v>2245</v>
      </c>
      <c r="H629" s="2"/>
    </row>
    <row r="630" spans="1:8">
      <c r="A630" s="9" t="s">
        <v>2117</v>
      </c>
      <c r="B630" s="9" t="s">
        <v>2111</v>
      </c>
    </row>
    <row r="631" spans="1:8">
      <c r="A631" s="9" t="s">
        <v>2118</v>
      </c>
      <c r="B631" s="9" t="s">
        <v>2245</v>
      </c>
      <c r="H631" s="2"/>
    </row>
    <row r="632" spans="1:8">
      <c r="A632" s="9" t="s">
        <v>2119</v>
      </c>
      <c r="B632" s="9" t="s">
        <v>2111</v>
      </c>
      <c r="H632" s="2"/>
    </row>
    <row r="633" spans="1:8">
      <c r="A633" s="9" t="s">
        <v>2120</v>
      </c>
      <c r="B633" s="9" t="s">
        <v>2245</v>
      </c>
      <c r="H633" s="2"/>
    </row>
    <row r="634" spans="1:8">
      <c r="A634" s="9" t="s">
        <v>2121</v>
      </c>
      <c r="B634" s="9" t="s">
        <v>2245</v>
      </c>
      <c r="H634" s="2"/>
    </row>
    <row r="635" spans="1:8">
      <c r="A635" s="9" t="s">
        <v>2122</v>
      </c>
      <c r="B635" s="9" t="s">
        <v>2245</v>
      </c>
      <c r="H635" s="2"/>
    </row>
    <row r="636" spans="1:8">
      <c r="A636" s="9" t="s">
        <v>2123</v>
      </c>
      <c r="B636" s="9" t="s">
        <v>2245</v>
      </c>
      <c r="H636" s="2"/>
    </row>
    <row r="637" spans="1:8">
      <c r="A637" s="9" t="s">
        <v>2125</v>
      </c>
      <c r="B637" s="9" t="s">
        <v>2124</v>
      </c>
      <c r="H637" s="2"/>
    </row>
    <row r="638" spans="1:8">
      <c r="A638" s="9" t="s">
        <v>2126</v>
      </c>
      <c r="B638" s="9" t="s">
        <v>2245</v>
      </c>
      <c r="H638" s="2"/>
    </row>
    <row r="639" spans="1:8">
      <c r="A639" s="9" t="s">
        <v>2127</v>
      </c>
      <c r="B639" s="9" t="s">
        <v>2124</v>
      </c>
      <c r="H639" s="2"/>
    </row>
    <row r="640" spans="1:8">
      <c r="A640" s="9" t="s">
        <v>2128</v>
      </c>
      <c r="B640" s="9" t="s">
        <v>2245</v>
      </c>
      <c r="H640" s="2"/>
    </row>
    <row r="641" spans="1:8">
      <c r="A641" s="9" t="s">
        <v>2129</v>
      </c>
      <c r="B641" s="9" t="s">
        <v>2245</v>
      </c>
      <c r="H641" s="2"/>
    </row>
    <row r="642" spans="1:8">
      <c r="A642" s="9" t="s">
        <v>2130</v>
      </c>
      <c r="B642" s="9" t="s">
        <v>2245</v>
      </c>
      <c r="H642" s="2"/>
    </row>
    <row r="643" spans="1:8">
      <c r="A643" s="9" t="s">
        <v>2131</v>
      </c>
      <c r="B643" s="9" t="s">
        <v>2124</v>
      </c>
      <c r="H643" s="2"/>
    </row>
    <row r="644" spans="1:8">
      <c r="A644" s="9" t="s">
        <v>2132</v>
      </c>
      <c r="B644" s="9" t="s">
        <v>2245</v>
      </c>
      <c r="H644" s="2"/>
    </row>
    <row r="645" spans="1:8">
      <c r="A645" s="9" t="s">
        <v>2133</v>
      </c>
      <c r="B645" s="9" t="s">
        <v>2245</v>
      </c>
      <c r="H645" s="2"/>
    </row>
    <row r="646" spans="1:8">
      <c r="A646" s="9" t="s">
        <v>2134</v>
      </c>
      <c r="B646" s="2"/>
    </row>
    <row r="647" spans="1:8">
      <c r="A647" s="9" t="s">
        <v>2135</v>
      </c>
      <c r="B647" s="2"/>
      <c r="H647" s="2"/>
    </row>
    <row r="648" spans="1:8">
      <c r="B648" s="2"/>
      <c r="H648" s="2"/>
    </row>
    <row r="649" spans="1:8">
      <c r="H649" s="2"/>
    </row>
    <row r="650" spans="1:8">
      <c r="H650" s="2"/>
    </row>
    <row r="651" spans="1:8">
      <c r="G651" s="11"/>
      <c r="H651" s="2"/>
    </row>
    <row r="652" spans="1:8">
      <c r="G652" s="11"/>
      <c r="H652" s="2"/>
    </row>
    <row r="653" spans="1:8">
      <c r="G653" s="11"/>
      <c r="H653" s="2"/>
    </row>
    <row r="654" spans="1:8">
      <c r="H654" s="2"/>
    </row>
    <row r="655" spans="1:8">
      <c r="H655" s="2"/>
    </row>
    <row r="656" spans="1:8">
      <c r="H656" s="2"/>
    </row>
    <row r="657" spans="7:8">
      <c r="H657" s="2"/>
    </row>
    <row r="658" spans="7:8">
      <c r="H658" s="2"/>
    </row>
    <row r="659" spans="7:8">
      <c r="H659" s="2"/>
    </row>
    <row r="660" spans="7:8">
      <c r="H660" s="2"/>
    </row>
    <row r="662" spans="7:8">
      <c r="H662" s="2"/>
    </row>
    <row r="663" spans="7:8">
      <c r="H663" s="2"/>
    </row>
    <row r="664" spans="7:8">
      <c r="H664" s="2"/>
    </row>
    <row r="666" spans="7:8">
      <c r="H666" s="2"/>
    </row>
    <row r="667" spans="7:8">
      <c r="G667" s="12"/>
      <c r="H667" s="2"/>
    </row>
    <row r="668" spans="7:8">
      <c r="G668" s="287"/>
      <c r="H668" s="2"/>
    </row>
    <row r="669" spans="7:8">
      <c r="G669" s="287"/>
      <c r="H669" s="2"/>
    </row>
    <row r="670" spans="7:8">
      <c r="G670" s="287"/>
      <c r="H670" s="2"/>
    </row>
    <row r="671" spans="7:8">
      <c r="G671" s="287"/>
      <c r="H671" s="2"/>
    </row>
    <row r="672" spans="7:8">
      <c r="G672" s="287"/>
      <c r="H672" s="2"/>
    </row>
    <row r="673" spans="7:8">
      <c r="H673" s="2"/>
    </row>
    <row r="674" spans="7:8">
      <c r="H674" s="2"/>
    </row>
    <row r="675" spans="7:8">
      <c r="H675" s="2"/>
    </row>
    <row r="676" spans="7:8">
      <c r="G676" s="12"/>
      <c r="H676" s="2"/>
    </row>
    <row r="677" spans="7:8">
      <c r="G677" s="12"/>
      <c r="H677" s="2"/>
    </row>
    <row r="678" spans="7:8">
      <c r="H678" s="2"/>
    </row>
    <row r="681" spans="7:8">
      <c r="G681" s="12"/>
    </row>
    <row r="690" spans="1:8">
      <c r="G690" s="9"/>
    </row>
    <row r="691" spans="1:8">
      <c r="G691" s="9"/>
    </row>
    <row r="692" spans="1:8">
      <c r="G692" s="9"/>
    </row>
    <row r="693" spans="1:8">
      <c r="B693" s="8"/>
      <c r="G693" s="9"/>
    </row>
    <row r="694" spans="1:8">
      <c r="A694" s="2"/>
      <c r="H694" s="2"/>
    </row>
    <row r="695" spans="1:8">
      <c r="A695" s="2"/>
      <c r="B695" s="13"/>
      <c r="H695" s="2"/>
    </row>
    <row r="696" spans="1:8">
      <c r="H696" s="2"/>
    </row>
    <row r="697" spans="1:8">
      <c r="B697" s="8"/>
      <c r="H697" s="2"/>
    </row>
    <row r="698" spans="1:8">
      <c r="H698" s="2"/>
    </row>
    <row r="699" spans="1:8">
      <c r="B699" s="8"/>
    </row>
    <row r="700" spans="1:8">
      <c r="H700" s="2"/>
    </row>
    <row r="701" spans="1:8">
      <c r="H701" s="2"/>
    </row>
    <row r="702" spans="1:8">
      <c r="H702" s="2"/>
    </row>
    <row r="703" spans="1:8">
      <c r="H703" s="2"/>
    </row>
    <row r="704" spans="1:8">
      <c r="H704" s="2"/>
    </row>
    <row r="705" spans="7:8">
      <c r="H705" s="2"/>
    </row>
    <row r="706" spans="7:8">
      <c r="H706" s="2"/>
    </row>
    <row r="707" spans="7:8">
      <c r="H707" s="2"/>
    </row>
    <row r="709" spans="7:8">
      <c r="H709" s="2"/>
    </row>
    <row r="710" spans="7:8">
      <c r="H710" s="2"/>
    </row>
    <row r="711" spans="7:8">
      <c r="H711" s="2"/>
    </row>
    <row r="712" spans="7:8">
      <c r="G712" s="9"/>
      <c r="H712" s="2"/>
    </row>
    <row r="713" spans="7:8">
      <c r="H713" s="2"/>
    </row>
    <row r="714" spans="7:8">
      <c r="H714" s="2"/>
    </row>
    <row r="716" spans="7:8">
      <c r="H716" s="2"/>
    </row>
    <row r="717" spans="7:8">
      <c r="H717" s="2"/>
    </row>
    <row r="718" spans="7:8">
      <c r="H718" s="2"/>
    </row>
    <row r="720" spans="7:8">
      <c r="H720" s="2"/>
    </row>
    <row r="721" spans="6:8">
      <c r="F721" s="9"/>
      <c r="G721" s="9"/>
      <c r="H721" s="2"/>
    </row>
    <row r="722" spans="6:8">
      <c r="F722" s="9"/>
      <c r="H722" s="2"/>
    </row>
    <row r="723" spans="6:8">
      <c r="F723" s="9"/>
      <c r="G723" s="9"/>
      <c r="H723" s="2"/>
    </row>
    <row r="724" spans="6:8">
      <c r="H724" s="2"/>
    </row>
    <row r="725" spans="6:8">
      <c r="H725" s="2"/>
    </row>
    <row r="726" spans="6:8">
      <c r="H726" s="2"/>
    </row>
    <row r="728" spans="6:8">
      <c r="H728" s="2"/>
    </row>
    <row r="729" spans="6:8">
      <c r="H729" s="2"/>
    </row>
    <row r="730" spans="6:8">
      <c r="H730" s="2"/>
    </row>
    <row r="731" spans="6:8">
      <c r="H731" s="2"/>
    </row>
    <row r="732" spans="6:8">
      <c r="H732" s="2"/>
    </row>
    <row r="733" spans="6:8">
      <c r="H733" s="2"/>
    </row>
    <row r="734" spans="6:8">
      <c r="H734" s="2"/>
    </row>
    <row r="735" spans="6:8">
      <c r="H735" s="2"/>
    </row>
    <row r="737" spans="5:8">
      <c r="H737" s="2"/>
    </row>
    <row r="738" spans="5:8">
      <c r="H738" s="2"/>
    </row>
    <row r="739" spans="5:8">
      <c r="H739" s="2"/>
    </row>
    <row r="740" spans="5:8">
      <c r="H740" s="2"/>
    </row>
    <row r="742" spans="5:8">
      <c r="F742" s="8"/>
      <c r="H742" s="2"/>
    </row>
    <row r="743" spans="5:8">
      <c r="E743" s="285"/>
      <c r="F743" s="8"/>
      <c r="H743" s="2"/>
    </row>
    <row r="744" spans="5:8">
      <c r="F744" s="8"/>
      <c r="H744" s="2"/>
    </row>
    <row r="745" spans="5:8">
      <c r="F745" s="8"/>
      <c r="H745" s="2"/>
    </row>
    <row r="746" spans="5:8">
      <c r="E746" s="285"/>
      <c r="F746" s="8"/>
      <c r="H746" s="2"/>
    </row>
    <row r="747" spans="5:8">
      <c r="F747" s="8"/>
      <c r="H747" s="2"/>
    </row>
    <row r="748" spans="5:8">
      <c r="F748" s="8"/>
      <c r="H748" s="2"/>
    </row>
    <row r="749" spans="5:8">
      <c r="F749" s="8"/>
      <c r="H749" s="2"/>
    </row>
    <row r="750" spans="5:8">
      <c r="F750" s="8"/>
      <c r="H750" s="2"/>
    </row>
    <row r="751" spans="5:8">
      <c r="F751" s="8"/>
      <c r="H751" s="2"/>
    </row>
    <row r="752" spans="5:8">
      <c r="F752" s="8"/>
      <c r="H752" s="2"/>
    </row>
    <row r="753" spans="1:8">
      <c r="F753" s="8"/>
      <c r="H753" s="2"/>
    </row>
    <row r="754" spans="1:8">
      <c r="A754" s="2"/>
      <c r="B754" s="2"/>
      <c r="F754" s="8"/>
      <c r="H754" s="2"/>
    </row>
    <row r="755" spans="1:8">
      <c r="A755" s="2"/>
      <c r="B755" s="2"/>
      <c r="F755" s="8"/>
      <c r="H755" s="2"/>
    </row>
    <row r="756" spans="1:8">
      <c r="A756" s="2"/>
      <c r="B756" s="2"/>
      <c r="F756" s="8"/>
      <c r="H756" s="2"/>
    </row>
    <row r="757" spans="1:8">
      <c r="A757" s="2"/>
      <c r="B757" s="2"/>
      <c r="F757" s="8"/>
      <c r="H757" s="2"/>
    </row>
    <row r="758" spans="1:8">
      <c r="A758" s="2"/>
      <c r="B758" s="2"/>
      <c r="F758" s="8"/>
      <c r="H758" s="2"/>
    </row>
    <row r="759" spans="1:8">
      <c r="A759" s="2"/>
      <c r="B759" s="2"/>
      <c r="F759" s="8"/>
      <c r="H759" s="2"/>
    </row>
    <row r="760" spans="1:8">
      <c r="A760" s="2"/>
      <c r="B760" s="2"/>
      <c r="F760" s="8"/>
      <c r="H760" s="2"/>
    </row>
    <row r="761" spans="1:8">
      <c r="A761" s="2"/>
      <c r="B761" s="2"/>
      <c r="F761" s="8"/>
      <c r="H761" s="2"/>
    </row>
    <row r="762" spans="1:8">
      <c r="A762" s="2"/>
      <c r="B762" s="2"/>
      <c r="F762" s="8"/>
      <c r="H762" s="2"/>
    </row>
    <row r="763" spans="1:8">
      <c r="A763" s="2"/>
      <c r="B763" s="2"/>
      <c r="F763" s="8"/>
      <c r="H763" s="2"/>
    </row>
    <row r="764" spans="1:8">
      <c r="A764" s="2"/>
      <c r="B764" s="2"/>
      <c r="F764" s="8"/>
      <c r="H764" s="2"/>
    </row>
    <row r="765" spans="1:8">
      <c r="A765" s="2"/>
      <c r="B765" s="2"/>
      <c r="F765" s="8"/>
      <c r="H765" s="2"/>
    </row>
    <row r="766" spans="1:8">
      <c r="A766" s="2"/>
      <c r="B766" s="2"/>
      <c r="E766" s="8"/>
      <c r="F766" s="8"/>
      <c r="H766" s="2"/>
    </row>
    <row r="767" spans="1:8">
      <c r="A767" s="2"/>
      <c r="B767" s="2"/>
      <c r="E767" s="8"/>
      <c r="F767" s="8"/>
      <c r="H767" s="2"/>
    </row>
    <row r="768" spans="1:8">
      <c r="A768" s="2"/>
      <c r="B768" s="2"/>
      <c r="E768" s="8"/>
      <c r="F768" s="8"/>
      <c r="H768" s="2"/>
    </row>
    <row r="769" spans="1:8">
      <c r="A769" s="2"/>
      <c r="B769" s="2"/>
      <c r="C769" s="8"/>
      <c r="E769" s="8"/>
      <c r="F769" s="8"/>
      <c r="H769" s="2"/>
    </row>
    <row r="770" spans="1:8">
      <c r="A770" s="2"/>
      <c r="B770" s="2"/>
      <c r="C770" s="8"/>
      <c r="E770" s="8"/>
      <c r="F770" s="8"/>
      <c r="H770" s="2"/>
    </row>
    <row r="771" spans="1:8">
      <c r="A771" s="2"/>
      <c r="B771" s="2"/>
      <c r="C771" s="8"/>
      <c r="E771" s="8"/>
      <c r="F771" s="8"/>
      <c r="H771" s="2"/>
    </row>
    <row r="772" spans="1:8">
      <c r="A772" s="2"/>
      <c r="B772" s="2"/>
      <c r="C772" s="8"/>
      <c r="D772" s="8"/>
      <c r="E772" s="8"/>
      <c r="F772" s="8"/>
      <c r="H772" s="2"/>
    </row>
    <row r="773" spans="1:8">
      <c r="A773" s="2"/>
      <c r="B773" s="2"/>
      <c r="C773" s="8"/>
      <c r="E773" s="8"/>
      <c r="F773" s="14"/>
      <c r="H773" s="2"/>
    </row>
    <row r="774" spans="1:8">
      <c r="A774" s="2"/>
      <c r="B774" s="2"/>
      <c r="C774" s="8"/>
      <c r="E774" s="8"/>
      <c r="F774" s="14"/>
      <c r="H774" s="2"/>
    </row>
    <row r="775" spans="1:8">
      <c r="A775" s="2"/>
      <c r="B775" s="2"/>
      <c r="C775" s="8"/>
      <c r="F775" s="14"/>
      <c r="H775" s="2"/>
    </row>
    <row r="776" spans="1:8">
      <c r="B776" s="2"/>
      <c r="C776" s="8"/>
      <c r="F776" s="8"/>
      <c r="H776" s="2"/>
    </row>
    <row r="777" spans="1:8">
      <c r="C777" s="8"/>
      <c r="F777" s="8"/>
      <c r="H777" s="2"/>
    </row>
    <row r="778" spans="1:8">
      <c r="F778" s="8"/>
      <c r="H778" s="2"/>
    </row>
    <row r="779" spans="1:8">
      <c r="F779" s="8"/>
      <c r="H779" s="2"/>
    </row>
    <row r="780" spans="1:8">
      <c r="F780" s="8"/>
      <c r="H780" s="2"/>
    </row>
    <row r="781" spans="1:8">
      <c r="F781" s="8"/>
      <c r="H781" s="2"/>
    </row>
    <row r="782" spans="1:8">
      <c r="F782" s="8"/>
      <c r="H782" s="2"/>
    </row>
    <row r="783" spans="1:8">
      <c r="F783" s="8"/>
      <c r="H783" s="2"/>
    </row>
    <row r="784" spans="1:8">
      <c r="D784" s="8"/>
      <c r="F784" s="8"/>
      <c r="H784" s="2"/>
    </row>
    <row r="785" spans="4:8">
      <c r="D785" s="8"/>
      <c r="F785" s="8"/>
      <c r="H785" s="2"/>
    </row>
    <row r="786" spans="4:8">
      <c r="D786" s="8"/>
      <c r="F786" s="8"/>
      <c r="H786" s="2"/>
    </row>
    <row r="787" spans="4:8">
      <c r="D787" s="8"/>
      <c r="F787" s="8"/>
      <c r="H787"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selection sqref="A1:A2"/>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52" t="s">
        <v>3081</v>
      </c>
      <c r="B1" s="1438"/>
      <c r="C1" s="1439"/>
      <c r="D1" s="1138" t="s">
        <v>271</v>
      </c>
      <c r="E1" s="1444" t="s">
        <v>2137</v>
      </c>
      <c r="F1" s="1445"/>
      <c r="G1" s="1445"/>
      <c r="H1" s="1445"/>
      <c r="I1" s="1445"/>
      <c r="J1" s="1445"/>
      <c r="K1" s="1446"/>
      <c r="L1" s="1454">
        <f>E143/20/100</f>
        <v>0.39383314060168295</v>
      </c>
      <c r="M1" s="1454"/>
      <c r="N1" s="105" t="s">
        <v>1214</v>
      </c>
      <c r="O1" s="18"/>
      <c r="P1" s="490"/>
      <c r="Q1" s="490"/>
      <c r="R1" s="490"/>
      <c r="S1" s="491"/>
      <c r="T1" s="1118"/>
      <c r="U1" s="1119" t="s">
        <v>3042</v>
      </c>
      <c r="V1" s="1120"/>
      <c r="W1" s="1120"/>
      <c r="X1" s="1121"/>
      <c r="Y1" s="1122"/>
      <c r="Z1" s="27"/>
      <c r="AD1" s="1338"/>
      <c r="AE1" s="1338"/>
      <c r="AF1" s="1338"/>
    </row>
    <row r="2" spans="1:32" ht="13.5" thickBot="1">
      <c r="A2" s="1453"/>
      <c r="B2" s="1109" t="s">
        <v>1137</v>
      </c>
      <c r="C2" s="1110">
        <f>SUM('Damage Calc'!J2:J7)</f>
        <v>1002.017991686008</v>
      </c>
      <c r="D2" s="1111">
        <f>C2/$C$6</f>
        <v>0.64430892978265919</v>
      </c>
      <c r="E2" s="1440" t="str">
        <f>cycle</f>
        <v>Cycle: 1s/5r   SnD Slack: 1.24</v>
      </c>
      <c r="F2" s="1441"/>
      <c r="G2" s="1441"/>
      <c r="H2" s="1441"/>
      <c r="I2" s="1441"/>
      <c r="J2" s="1441"/>
      <c r="K2" s="1442"/>
      <c r="L2" s="1454">
        <f>(K143/dorate)/100</f>
        <v>0</v>
      </c>
      <c r="M2" s="1454"/>
      <c r="N2" s="105" t="s">
        <v>264</v>
      </c>
      <c r="O2" s="483"/>
      <c r="P2" s="490"/>
      <c r="Q2" s="490"/>
      <c r="R2" s="490"/>
      <c r="S2" s="491"/>
      <c r="T2" s="589" t="s">
        <v>3152</v>
      </c>
      <c r="U2" s="590"/>
      <c r="V2" s="590"/>
      <c r="W2" s="591"/>
      <c r="X2" s="1123"/>
      <c r="Y2" s="1125"/>
      <c r="Z2" s="27"/>
      <c r="AD2" s="1338"/>
      <c r="AE2" s="1338"/>
      <c r="AF2" s="1338"/>
    </row>
    <row r="3" spans="1:32">
      <c r="A3" s="642"/>
      <c r="B3" s="1112" t="str">
        <f>instatklng&amp;" DPS"</f>
        <v>Sinister Strike DPS</v>
      </c>
      <c r="C3" s="1113">
        <f>'Damage Calc'!J8</f>
        <v>327.58159382962725</v>
      </c>
      <c r="D3" s="1114">
        <f>C3/$C$6</f>
        <v>0.21063867903382291</v>
      </c>
      <c r="E3" s="1447" t="s">
        <v>2136</v>
      </c>
      <c r="F3" s="1448"/>
      <c r="G3" s="1449" t="s">
        <v>770</v>
      </c>
      <c r="H3" s="1449"/>
      <c r="I3" s="1448" t="s">
        <v>767</v>
      </c>
      <c r="J3" s="1448"/>
      <c r="K3" s="1134" t="s">
        <v>769</v>
      </c>
      <c r="L3" s="1454">
        <f>(ROUNDDOWN(M143/defrating_def,0)*0.04)/100</f>
        <v>0</v>
      </c>
      <c r="M3" s="1454"/>
      <c r="N3" s="105" t="s">
        <v>1286</v>
      </c>
      <c r="O3" s="483"/>
      <c r="P3" s="18"/>
      <c r="Q3" s="18"/>
      <c r="R3" s="484"/>
      <c r="S3" s="485"/>
      <c r="T3" s="1129"/>
      <c r="U3" s="1124"/>
      <c r="V3" s="1124"/>
      <c r="W3" s="1124"/>
      <c r="X3" s="1124" t="s">
        <v>3072</v>
      </c>
      <c r="Y3" s="1126"/>
      <c r="Z3" s="1313"/>
      <c r="AD3" s="1338"/>
      <c r="AE3" s="1338"/>
      <c r="AF3" s="1338"/>
    </row>
    <row r="4" spans="1:32">
      <c r="A4" s="642"/>
      <c r="B4" s="1115" t="s">
        <v>2141</v>
      </c>
      <c r="C4" s="1116">
        <f>'Damage Calc'!J10+'Damage Calc'!J11+'Damage Calc'!J12</f>
        <v>119.18260098388045</v>
      </c>
      <c r="D4" s="1117">
        <f>C4/$C$6</f>
        <v>7.6635763754530198E-2</v>
      </c>
      <c r="E4" s="1450">
        <f>3524+INT(F143)*10</f>
        <v>9674</v>
      </c>
      <c r="F4" s="1451"/>
      <c r="G4" s="1414">
        <f>(1+'Gear &amp; Buffs'!$P$143/(hasterate*100))</f>
        <v>1.0808524183153847</v>
      </c>
      <c r="H4" s="1414"/>
      <c r="I4" s="1443">
        <f>ap</f>
        <v>3165.5289383329646</v>
      </c>
      <c r="J4" s="1443"/>
      <c r="K4" s="1135">
        <f>'Damage Calc'!$Q$42</f>
        <v>4010</v>
      </c>
      <c r="L4" s="1413">
        <f>-0.59/100</f>
        <v>-5.8999999999999999E-3</v>
      </c>
      <c r="M4" s="1413"/>
      <c r="N4" s="105" t="s">
        <v>393</v>
      </c>
      <c r="O4" s="483"/>
      <c r="P4" s="45"/>
      <c r="Q4" s="158"/>
      <c r="R4" s="45"/>
      <c r="S4" s="45"/>
      <c r="T4" s="1129"/>
      <c r="U4" s="1124"/>
      <c r="V4" s="1124"/>
      <c r="W4" s="1124"/>
      <c r="X4" s="1124" t="s">
        <v>1897</v>
      </c>
      <c r="Y4" s="1126" t="b">
        <v>1</v>
      </c>
      <c r="Z4" s="1313"/>
      <c r="AD4" s="1338"/>
      <c r="AE4" s="1338"/>
      <c r="AF4" s="1338"/>
    </row>
    <row r="5" spans="1:32" ht="13.5" thickBot="1">
      <c r="A5" s="642"/>
      <c r="B5" s="1112" t="s">
        <v>2142</v>
      </c>
      <c r="C5" s="1113">
        <f>'Damage Calc'!J13+'Damage Calc'!J14+'Damage Calc'!J15+'Damage Calc'!J9</f>
        <v>106.40034375660329</v>
      </c>
      <c r="D5" s="1114">
        <f>C5/$C$6</f>
        <v>6.84166274289877E-2</v>
      </c>
      <c r="E5" s="1435" t="s">
        <v>2139</v>
      </c>
      <c r="F5" s="1436"/>
      <c r="G5" s="1437" t="s">
        <v>2138</v>
      </c>
      <c r="H5" s="1437"/>
      <c r="I5" s="1436" t="s">
        <v>2140</v>
      </c>
      <c r="J5" s="1436"/>
      <c r="K5" s="1136" t="s">
        <v>2143</v>
      </c>
      <c r="L5" s="1413">
        <f>((CharLevel-BossLevel)*(0.2))/100</f>
        <v>-6.000000000000001E-3</v>
      </c>
      <c r="M5" s="1413"/>
      <c r="N5" s="482" t="s">
        <v>394</v>
      </c>
      <c r="O5" s="483"/>
      <c r="P5" s="18"/>
      <c r="Q5" s="484"/>
      <c r="R5" s="484"/>
      <c r="S5" s="486"/>
      <c r="T5" s="1129"/>
      <c r="U5" s="1124"/>
      <c r="V5" s="1124"/>
      <c r="W5" s="1124"/>
      <c r="X5" s="1124" t="s">
        <v>1914</v>
      </c>
      <c r="Y5" s="1126" t="b">
        <v>1</v>
      </c>
      <c r="Z5" s="1313"/>
      <c r="AD5" s="1338"/>
      <c r="AE5" s="1338"/>
      <c r="AF5" s="1338"/>
    </row>
    <row r="6" spans="1:32" ht="13.5" thickBot="1">
      <c r="A6" s="642"/>
      <c r="B6" s="1131" t="s">
        <v>2144</v>
      </c>
      <c r="C6" s="1132">
        <f>'Damage Calc'!J16</f>
        <v>1555.182530256119</v>
      </c>
      <c r="D6" s="1133">
        <f>D2+D3+D4+D5</f>
        <v>1</v>
      </c>
      <c r="E6" s="1434">
        <f>((E143/agicrit+G143/crrate)/100)+bwrath+(CharLevel-BossLevel)*bosscrit*5-IF(BossLevel*5-CharLevel*5&gt;10, 1.8%, 0)</f>
        <v>0.22111169225206101</v>
      </c>
      <c r="F6" s="1431"/>
      <c r="G6" s="1431">
        <f>'Damage Calc'!Q2+-'Gear &amp; Buffs'!I6</f>
        <v>0.26956097560975611</v>
      </c>
      <c r="H6" s="1431"/>
      <c r="I6" s="1431">
        <f>'Damage Calc'!B19</f>
        <v>4.3902439024390283E-4</v>
      </c>
      <c r="J6" s="1431"/>
      <c r="K6" s="1137">
        <f>'Damage Calc'!B20</f>
        <v>2.0000000000000004E-2</v>
      </c>
      <c r="L6" s="1412">
        <f>MAX((-0.59+E143/20+(K143/dorate)+(ROUNDDOWN(M143/defrating_def,0)*0.04))/100+0.2%*(CharLevel-BossLevel),0%)</f>
        <v>0.38193314060168293</v>
      </c>
      <c r="M6" s="1413"/>
      <c r="N6" s="105" t="s">
        <v>2143</v>
      </c>
      <c r="O6" s="487"/>
      <c r="P6" s="158"/>
      <c r="Q6" s="158"/>
      <c r="R6" s="158"/>
      <c r="S6" s="45"/>
      <c r="T6" s="1129"/>
      <c r="U6" s="1124"/>
      <c r="V6" s="1124"/>
      <c r="W6" s="1124"/>
      <c r="X6" s="1124" t="s">
        <v>74</v>
      </c>
      <c r="Y6" s="1126" t="b">
        <v>1</v>
      </c>
      <c r="Z6" s="1313"/>
      <c r="AD6" s="1338"/>
      <c r="AE6" s="1338"/>
      <c r="AF6" s="1338"/>
    </row>
    <row r="7" spans="1:32" ht="13.5" thickBot="1">
      <c r="A7" s="643"/>
      <c r="B7" s="284">
        <v>2</v>
      </c>
      <c r="C7" s="107">
        <v>1555.182530256119</v>
      </c>
      <c r="D7" s="492">
        <f>C7*0.71</f>
        <v>1104.1795964818443</v>
      </c>
      <c r="E7" s="44" t="s">
        <v>1176</v>
      </c>
      <c r="L7" s="1422">
        <f>Talents!H8</f>
        <v>0.4699331406016829</v>
      </c>
      <c r="M7" s="1423"/>
      <c r="N7" s="105" t="s">
        <v>1175</v>
      </c>
      <c r="O7" s="62"/>
      <c r="P7" s="488"/>
      <c r="Q7" s="488"/>
      <c r="R7" s="488"/>
      <c r="S7" s="488"/>
      <c r="T7" s="1130"/>
      <c r="U7" s="1127"/>
      <c r="V7" s="1127"/>
      <c r="W7" s="1127"/>
      <c r="X7" s="1127" t="s">
        <v>75</v>
      </c>
      <c r="Y7" s="1128" t="b">
        <v>1</v>
      </c>
      <c r="Z7" s="1313"/>
      <c r="AD7" s="1338"/>
      <c r="AE7" s="1338"/>
      <c r="AF7" s="1338"/>
    </row>
    <row r="8" spans="1:32" ht="22.5" customHeight="1" thickBot="1">
      <c r="A8" s="644"/>
      <c r="B8" s="34" t="s">
        <v>3080</v>
      </c>
      <c r="C8" s="1312">
        <f>C6-C7</f>
        <v>0</v>
      </c>
      <c r="D8" s="1405">
        <f>C8/$C$6</f>
        <v>0</v>
      </c>
      <c r="M8" s="35"/>
      <c r="N8" s="634"/>
      <c r="O8" s="635"/>
      <c r="R8" s="205" t="s">
        <v>274</v>
      </c>
      <c r="Y8" s="281" t="b">
        <v>1</v>
      </c>
      <c r="AD8" s="1338"/>
      <c r="AE8" s="1338"/>
      <c r="AF8" s="1338"/>
    </row>
    <row r="9" spans="1:32" ht="13.5" thickBot="1">
      <c r="A9" s="645"/>
      <c r="B9" s="641" t="s">
        <v>1212</v>
      </c>
      <c r="C9" s="638" t="s">
        <v>665</v>
      </c>
      <c r="D9" s="636" t="s">
        <v>1213</v>
      </c>
      <c r="E9" s="636" t="s">
        <v>1214</v>
      </c>
      <c r="F9" s="636" t="s">
        <v>1215</v>
      </c>
      <c r="G9" s="637" t="s">
        <v>2139</v>
      </c>
      <c r="H9" s="637" t="s">
        <v>2138</v>
      </c>
      <c r="I9" s="636" t="s">
        <v>767</v>
      </c>
      <c r="J9" s="636" t="s">
        <v>1216</v>
      </c>
      <c r="K9" s="636" t="s">
        <v>2143</v>
      </c>
      <c r="L9" s="638" t="s">
        <v>1581</v>
      </c>
      <c r="M9" s="638" t="s">
        <v>2165</v>
      </c>
      <c r="N9" s="638"/>
      <c r="O9" s="638"/>
      <c r="P9" s="638" t="s">
        <v>770</v>
      </c>
      <c r="Q9" s="639" t="s">
        <v>769</v>
      </c>
      <c r="R9" s="638" t="s">
        <v>1219</v>
      </c>
      <c r="S9" s="638" t="s">
        <v>1220</v>
      </c>
      <c r="T9" s="638" t="s">
        <v>1221</v>
      </c>
      <c r="U9" s="638" t="s">
        <v>1222</v>
      </c>
      <c r="V9" s="638" t="s">
        <v>763</v>
      </c>
      <c r="W9" s="636" t="s">
        <v>1223</v>
      </c>
      <c r="X9" s="636" t="s">
        <v>1224</v>
      </c>
      <c r="Y9" s="640" t="s">
        <v>1225</v>
      </c>
      <c r="AD9" s="1338"/>
      <c r="AE9" s="1338"/>
      <c r="AF9" s="1338"/>
    </row>
    <row r="10" spans="1:32">
      <c r="A10" s="611" t="s">
        <v>3044</v>
      </c>
      <c r="B10" s="610" t="s">
        <v>1380</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1"/>
      <c r="AC10" s="1341" t="b">
        <f>Sockfit!$O$3</f>
        <v>0</v>
      </c>
      <c r="AD10" s="1341" t="str">
        <f>Sockfit!$P$3</f>
        <v>0000</v>
      </c>
      <c r="AE10" s="122"/>
      <c r="AF10" s="1338"/>
    </row>
    <row r="11" spans="1:32">
      <c r="A11" s="189" t="s">
        <v>1227</v>
      </c>
      <c r="B11" s="608" t="s">
        <v>1228</v>
      </c>
      <c r="C11" s="1307"/>
      <c r="D11" s="40">
        <f>VLOOKUP(B11,MHEnchantStats,3,FALSE)</f>
        <v>0</v>
      </c>
      <c r="E11" s="40">
        <f>VLOOKUP(B11,MHEnchantStats,4,FALSE)</f>
        <v>67.753947516836675</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17.807127231989124</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1"/>
      <c r="AC11" s="1341" t="b">
        <f>Sockfit!$O$7</f>
        <v>0</v>
      </c>
      <c r="AD11" s="1341" t="str">
        <f>Sockfit!$P$7</f>
        <v>0000</v>
      </c>
      <c r="AE11" s="122"/>
      <c r="AF11" s="1338"/>
    </row>
    <row r="12" spans="1:32">
      <c r="A12" s="189" t="s">
        <v>519</v>
      </c>
      <c r="B12" s="608" t="s">
        <v>520</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1"/>
      <c r="AC12" s="1341" t="b">
        <f>Sockfit!$O$43</f>
        <v>0</v>
      </c>
      <c r="AD12" s="1341" t="str">
        <f>Sockfit!$P$43</f>
        <v>0000</v>
      </c>
      <c r="AE12" s="122"/>
      <c r="AF12" s="1338"/>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1"/>
      <c r="AC13" s="1341" t="b">
        <f>Sockfit!$O$11</f>
        <v>1</v>
      </c>
      <c r="AD13" s="1341" t="str">
        <f>Sockfit!$P$11</f>
        <v>ag 4</v>
      </c>
      <c r="AE13" s="122"/>
      <c r="AF13" s="1338"/>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1"/>
      <c r="AC14" s="1341" t="b">
        <f>Sockfit!$O$16</f>
        <v>0</v>
      </c>
      <c r="AD14" s="1341" t="str">
        <f>Sockfit!$P$16</f>
        <v>0000</v>
      </c>
      <c r="AE14" s="122"/>
      <c r="AF14" s="1339"/>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1"/>
      <c r="AC15" s="1341" t="b">
        <f>Sockfit!$O$20</f>
        <v>0</v>
      </c>
      <c r="AD15" s="1341" t="str">
        <f>Sockfit!$P$20</f>
        <v>0000</v>
      </c>
      <c r="AE15" s="122"/>
      <c r="AF15" s="1339"/>
    </row>
    <row r="16" spans="1:32">
      <c r="A16" s="611" t="s">
        <v>3045</v>
      </c>
      <c r="B16" s="610" t="s">
        <v>1391</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1"/>
      <c r="AC16" s="1341" t="b">
        <f>Sockfit!$O$22</f>
        <v>1</v>
      </c>
      <c r="AD16" s="1341" t="str">
        <f>Sockfit!$P$22</f>
        <v>ag 4</v>
      </c>
      <c r="AE16" s="122"/>
      <c r="AF16" s="1339"/>
    </row>
    <row r="17" spans="1:32">
      <c r="A17" s="189" t="s">
        <v>522</v>
      </c>
      <c r="B17" s="608" t="s">
        <v>1228</v>
      </c>
      <c r="C17" s="1307"/>
      <c r="D17" s="40">
        <f>VLOOKUP(B17,OHEnchantStats,3,FALSE)</f>
        <v>0</v>
      </c>
      <c r="E17" s="40">
        <f>VLOOKUP(B17,OHEnchantStats,4,FALSE)</f>
        <v>37.162426636543863</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9.7670480262711425</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1"/>
      <c r="AC17" s="1341" t="b">
        <f>Sockfit!$O$26</f>
        <v>0</v>
      </c>
      <c r="AD17" s="1341" t="str">
        <f>Sockfit!$P$26</f>
        <v>0000</v>
      </c>
      <c r="AE17" s="122"/>
      <c r="AF17" s="1338"/>
    </row>
    <row r="18" spans="1:32">
      <c r="A18" s="189" t="s">
        <v>2204</v>
      </c>
      <c r="B18" s="608" t="s">
        <v>2205</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77.558933726510688</v>
      </c>
      <c r="Z18" s="36"/>
      <c r="AA18" s="38"/>
      <c r="AB18" s="1341"/>
      <c r="AC18" s="1341" t="b">
        <f>Sockfit!$O$28</f>
        <v>0</v>
      </c>
      <c r="AD18" s="1341" t="str">
        <f>Sockfit!$P$28</f>
        <v>0000</v>
      </c>
      <c r="AE18" s="122"/>
      <c r="AF18" s="1338"/>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1"/>
      <c r="AC19" s="1341" t="b">
        <f>Sockfit!$O$31</f>
        <v>0</v>
      </c>
      <c r="AD19" s="1341" t="str">
        <f>Sockfit!$P$31</f>
        <v>0000</v>
      </c>
      <c r="AE19" s="122"/>
      <c r="AF19" s="1338"/>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1"/>
      <c r="AC20" s="1341" t="b">
        <f>Sockfit!$O$34</f>
        <v>0</v>
      </c>
      <c r="AD20" s="1341" t="str">
        <f>Sockfit!$P$34</f>
        <v>0000</v>
      </c>
      <c r="AE20" s="122"/>
      <c r="AF20" s="1338"/>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1"/>
      <c r="AC21" s="1341" t="b">
        <f>Sockfit!$O$38</f>
        <v>1</v>
      </c>
      <c r="AD21" s="1341" t="str">
        <f>Sockfit!$P$38</f>
        <v>ht 3</v>
      </c>
      <c r="AE21" s="122"/>
      <c r="AF21" s="1338"/>
    </row>
    <row r="22" spans="1:32" ht="13.5" thickBot="1">
      <c r="A22" s="611" t="s">
        <v>2207</v>
      </c>
      <c r="B22" s="616" t="s">
        <v>1932</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24" t="s">
        <v>2209</v>
      </c>
      <c r="V22" s="1425"/>
      <c r="W22" s="1425"/>
      <c r="X22" s="1426"/>
      <c r="AB22" s="1341" t="s">
        <v>459</v>
      </c>
      <c r="AC22" s="1341" t="b">
        <f>Sockfit!$O$41</f>
        <v>0</v>
      </c>
      <c r="AD22" s="1341" t="str">
        <f>Sockfit!$P$41</f>
        <v>0000</v>
      </c>
      <c r="AE22" s="122"/>
      <c r="AF22" s="1341">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17" t="s">
        <v>3266</v>
      </c>
      <c r="V23" s="1421"/>
      <c r="W23" s="1421"/>
      <c r="X23" s="1106" t="b">
        <f>AND($Y$44,COUNTIF($S$10:$S$71,"Assassination")&gt;=4)</f>
        <v>0</v>
      </c>
      <c r="AA23" s="26"/>
      <c r="AB23" s="224"/>
      <c r="AC23" s="224"/>
      <c r="AD23" s="1338"/>
      <c r="AE23" s="122"/>
      <c r="AF23" s="1341"/>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19" t="s">
        <v>3267</v>
      </c>
      <c r="V24" s="1416"/>
      <c r="W24" s="1416"/>
      <c r="X24" s="1107" t="b">
        <f>AND($Y$44,COUNTIF($S$10:$S$71,"Bonescythe")&gt;=4)</f>
        <v>0</v>
      </c>
      <c r="Y24" s="23"/>
      <c r="AA24" s="26"/>
      <c r="AB24" s="224"/>
      <c r="AC24" s="224"/>
      <c r="AD24" s="1338"/>
      <c r="AE24" s="122"/>
      <c r="AF24" s="1341"/>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19" t="s">
        <v>3268</v>
      </c>
      <c r="V25" s="1416"/>
      <c r="W25" s="1416"/>
      <c r="X25" s="1107" t="b">
        <f>AND($Y$44,COUNTIF($S$10:$S$71,"Bonescythe")&gt;=8)</f>
        <v>0</v>
      </c>
      <c r="Y25" s="43"/>
      <c r="AA25" s="26"/>
      <c r="AB25" s="224"/>
      <c r="AC25" s="224"/>
      <c r="AD25" s="1338"/>
      <c r="AE25" s="122"/>
      <c r="AF25" s="1341"/>
    </row>
    <row r="26" spans="1:32">
      <c r="A26" s="611" t="s">
        <v>460</v>
      </c>
      <c r="B26" s="616" t="s">
        <v>461</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17" t="s">
        <v>462</v>
      </c>
      <c r="V26" s="1421"/>
      <c r="W26" s="1421"/>
      <c r="X26" s="1106" t="b">
        <f>AND($Y$44,COUNTIF($S$10:$S$71,"Deathmantle")&gt;=2)</f>
        <v>0</v>
      </c>
      <c r="Y26" s="23"/>
      <c r="AA26" s="26"/>
      <c r="AB26" s="224"/>
      <c r="AC26" s="224"/>
      <c r="AD26" s="1338"/>
      <c r="AE26" s="122"/>
      <c r="AF26" s="1341">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141.9695488072216</v>
      </c>
    </row>
    <row r="27" spans="1:32">
      <c r="A27" s="189" t="s">
        <v>463</v>
      </c>
      <c r="B27" s="608" t="s">
        <v>464</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17" t="s">
        <v>433</v>
      </c>
      <c r="V27" s="1421"/>
      <c r="W27" s="1421"/>
      <c r="X27" s="1106" t="b">
        <f>AND($Y$44,COUNTIF($S$10:$S$71,"Deathmantle")&gt;=4)</f>
        <v>0</v>
      </c>
      <c r="Y27" s="43"/>
      <c r="AA27" s="26"/>
      <c r="AB27" s="224"/>
      <c r="AC27" s="224"/>
      <c r="AD27" s="1338"/>
      <c r="AE27" s="122"/>
      <c r="AF27" s="1341">
        <f>$D27*dpsStr+$E27*dpsAgi+$G27*dpsCrit+$H27*dpsHit+$I27*dpsAP+$L27*dpsExp+$P27*dpsHaste+$Q27*dpsArmor</f>
        <v>100.94972435311001</v>
      </c>
    </row>
    <row r="28" spans="1:32">
      <c r="A28" s="189" t="s">
        <v>773</v>
      </c>
      <c r="B28" s="598" t="s">
        <v>292</v>
      </c>
      <c r="C28" s="1308">
        <f>MID($R$26,7,1)+0</f>
        <v>1</v>
      </c>
      <c r="D28" s="599">
        <f>IF($C28,VLOOKUP($B28,MetaSocketStats,lookStr,FALSE),0)</f>
        <v>0</v>
      </c>
      <c r="E28" s="599">
        <f>IF($C28,VLOOKUP($B28,MetaSocketStats,lookAgi,FALSE),0)</f>
        <v>12</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0</v>
      </c>
      <c r="Q28" s="599">
        <f>IF($C28,VLOOKUP($B28,MetaSocketStats,lookArmor,FALSE),0)</f>
        <v>0</v>
      </c>
      <c r="R28" s="601">
        <f>IF(B28="none",0,1)</f>
        <v>1</v>
      </c>
      <c r="S28" s="601">
        <f>IF($C18,VLOOKUP($B28,MetaSocketStats,lookSet,FALSE),0)</f>
        <v>0</v>
      </c>
      <c r="T28" s="201">
        <f>IF($C28,VLOOKUP($B28,MetaSocketStats,20,FALSE),0)</f>
        <v>0</v>
      </c>
      <c r="U28" s="1419" t="s">
        <v>434</v>
      </c>
      <c r="V28" s="1416"/>
      <c r="W28" s="1416"/>
      <c r="X28" s="1107" t="b">
        <f>AND($Y$44,COUNTIF($S$10:$S$71,"Gladiator's")&gt;=2)</f>
        <v>0</v>
      </c>
      <c r="Y28" s="23">
        <f>IF(X28,35,0)</f>
        <v>0</v>
      </c>
      <c r="AA28" s="26"/>
      <c r="AB28" s="224"/>
      <c r="AC28" s="224"/>
      <c r="AD28" s="1338"/>
      <c r="AE28" s="122"/>
      <c r="AF28" s="1341"/>
    </row>
    <row r="29" spans="1:32">
      <c r="A29" s="603" t="str">
        <f>IF(AC13,"+"&amp;MID(AD13,4,2)&amp;" "&amp;MID(AD13,1,2),MID($R$26,1,1)&amp;" Red "&amp;MID($R$26,3,1)&amp;" Blue "&amp;MID($R$26,5,1)&amp;" Yellow")</f>
        <v>+4 ag</v>
      </c>
      <c r="B29" s="605" t="s">
        <v>1978</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15" t="s">
        <v>2213</v>
      </c>
      <c r="V29" s="1416"/>
      <c r="W29" s="1416"/>
      <c r="X29" s="1107" t="b">
        <f>AND($Y$44,COUNTIF($S$10:$S$71,"Gladiator's")&gt;=4)</f>
        <v>0</v>
      </c>
      <c r="Y29" s="23"/>
      <c r="AA29" s="26"/>
      <c r="AB29" s="224"/>
      <c r="AC29" s="223"/>
      <c r="AD29" s="1338"/>
      <c r="AE29" s="122"/>
      <c r="AF29" s="1341"/>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17" t="s">
        <v>435</v>
      </c>
      <c r="V30" s="1421"/>
      <c r="W30" s="1421"/>
      <c r="X30" s="1106" t="b">
        <f>AND($Y$44,COUNTIF($S$10:$S$71,"Netherblade")&gt;=2)</f>
        <v>1</v>
      </c>
      <c r="Y30" s="23"/>
      <c r="AB30" s="224"/>
      <c r="AC30" s="223"/>
      <c r="AD30" s="1338"/>
      <c r="AE30" s="122"/>
      <c r="AF30" s="1341"/>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17" t="s">
        <v>436</v>
      </c>
      <c r="V31" s="1421"/>
      <c r="W31" s="1421"/>
      <c r="X31" s="1106" t="b">
        <f>AND($Y$44,COUNTIF($S$10:$S$71,"Netherblade")&gt;=4)</f>
        <v>0</v>
      </c>
      <c r="AA31" s="26"/>
      <c r="AB31" s="224"/>
      <c r="AC31" s="224"/>
      <c r="AD31" s="1338"/>
      <c r="AE31" s="122"/>
      <c r="AF31" s="1341"/>
    </row>
    <row r="32" spans="1:32">
      <c r="A32" s="611" t="s">
        <v>437</v>
      </c>
      <c r="B32" s="616" t="s">
        <v>656</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19" t="s">
        <v>657</v>
      </c>
      <c r="V32" s="1416"/>
      <c r="W32" s="1416"/>
      <c r="X32" s="1107" t="b">
        <f>AND($Y$44,COUNTIF($S$10:$S$71,"Fel Skin")&gt;=3)</f>
        <v>0</v>
      </c>
      <c r="Y32" s="23">
        <f>IF(X32,20,0)</f>
        <v>0</v>
      </c>
      <c r="AA32" s="26"/>
      <c r="AB32" s="224"/>
      <c r="AC32" s="223"/>
      <c r="AD32" s="1338"/>
      <c r="AE32" s="122"/>
      <c r="AF32" s="1341">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17" t="s">
        <v>658</v>
      </c>
      <c r="V33" s="1421"/>
      <c r="W33" s="1421"/>
      <c r="X33" s="1106" t="b">
        <f>AND($Y$44,COUNTIF($S$10:$S$71,"Primal Intent")&gt;=3)</f>
        <v>0</v>
      </c>
      <c r="Y33" s="23">
        <f>IF(X33,40,0)</f>
        <v>0</v>
      </c>
      <c r="AA33" s="26"/>
      <c r="AB33" s="224"/>
      <c r="AC33" s="223"/>
      <c r="AD33" s="1338"/>
      <c r="AE33" s="122"/>
      <c r="AF33" s="1341"/>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19" t="s">
        <v>1114</v>
      </c>
      <c r="V34" s="1420"/>
      <c r="W34" s="1420"/>
      <c r="X34" s="1107" t="b">
        <f>AND($Y$44,COUNTIF($S$10:$S$71,"Wastewalker")&gt;=2)</f>
        <v>1</v>
      </c>
      <c r="Y34" s="23">
        <f>IF(X34,35,0)</f>
        <v>35</v>
      </c>
      <c r="AA34" s="26"/>
      <c r="AB34" s="224"/>
      <c r="AC34" s="223"/>
      <c r="AD34" s="1338"/>
      <c r="AE34" s="122"/>
      <c r="AF34" s="1341"/>
    </row>
    <row r="35" spans="1:32">
      <c r="A35" s="611" t="s">
        <v>659</v>
      </c>
      <c r="B35" s="616" t="s">
        <v>1014</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19" t="s">
        <v>1115</v>
      </c>
      <c r="V35" s="1420"/>
      <c r="W35" s="1420"/>
      <c r="X35" s="1107" t="b">
        <f>AND($Y$44,COUNTIF($S$10:$S$71,"Wastewalker")&gt;=4)</f>
        <v>0</v>
      </c>
      <c r="Y35" s="23">
        <f>IF(X35,160*Optimize!C58,0)</f>
        <v>0</v>
      </c>
      <c r="AA35" s="26"/>
      <c r="AB35" s="224"/>
      <c r="AC35" s="223"/>
      <c r="AD35" s="1338"/>
      <c r="AE35" s="122"/>
      <c r="AF35" s="1341">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661</v>
      </c>
      <c r="B36" s="609" t="s">
        <v>1017</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17" t="s">
        <v>1118</v>
      </c>
      <c r="V36" s="1418"/>
      <c r="W36" s="1418"/>
      <c r="X36" s="1106" t="b">
        <f>AND($Y$44,COUNTIF($S$10:$S$71,"Slayer")&gt;=2)</f>
        <v>0</v>
      </c>
      <c r="Y36" s="44">
        <f>IF(Slayer2,1.35,1.3)</f>
        <v>1.3</v>
      </c>
      <c r="AA36" s="26"/>
      <c r="AB36" s="224"/>
      <c r="AC36" s="223"/>
      <c r="AD36" s="1338"/>
      <c r="AE36" s="122"/>
      <c r="AF36" s="1341">
        <f>$D36*dpsStr+$E36*dpsAgi+$G36*dpsCrit+$H36*dpsHit+$I36*dpsAP+$L36*dpsExp+$P36*dpsHaste+$Q36*dpsArmor</f>
        <v>18.891728949367007</v>
      </c>
    </row>
    <row r="37" spans="1:32">
      <c r="A37" s="603" t="str">
        <f>IF(AC15,"+"&amp;MID(AD15,4,2)&amp;" "&amp;MID(AD15,1,2),MID($R$35,1,1)&amp;" Red "&amp;MID($R$35,3,1)&amp;" Blue "&amp;MID($R$35,5,1)&amp;" Yellow")</f>
        <v>1 Red 1 Blue 0 Yellow</v>
      </c>
      <c r="B37" s="598" t="s">
        <v>1982</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17" t="s">
        <v>1121</v>
      </c>
      <c r="V37" s="1418"/>
      <c r="W37" s="1418"/>
      <c r="X37" s="1106" t="b">
        <f>AND($Y$44,COUNTIF($S$10:$S$71,"Slayer")&gt;=4)</f>
        <v>0</v>
      </c>
      <c r="Y37" s="23">
        <f>IF(Slayer4=TRUE,1.06,1)</f>
        <v>1</v>
      </c>
      <c r="AA37" s="26"/>
      <c r="AB37" s="224"/>
      <c r="AC37" s="224"/>
      <c r="AD37" s="1338"/>
      <c r="AE37" s="122"/>
      <c r="AF37" s="1341"/>
    </row>
    <row r="38" spans="1:32">
      <c r="A38" s="189"/>
      <c r="B38" s="598" t="s">
        <v>1982</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19" t="s">
        <v>1122</v>
      </c>
      <c r="V38" s="1416"/>
      <c r="W38" s="1416"/>
      <c r="X38" s="1107" t="b">
        <f>AND($Y$44,COUNTIF($S$10:$S$71,"Twinblade")&gt;=2)</f>
        <v>0</v>
      </c>
      <c r="Y38" s="44"/>
      <c r="Z38" s="201"/>
      <c r="AB38" s="224"/>
      <c r="AC38" s="224"/>
      <c r="AD38" s="1338"/>
      <c r="AE38" s="122"/>
      <c r="AF38" s="1341"/>
    </row>
    <row r="39" spans="1:32" ht="13.5" thickBot="1">
      <c r="A39" s="611" t="s">
        <v>1116</v>
      </c>
      <c r="B39" s="616" t="s">
        <v>1117</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29" t="s">
        <v>961</v>
      </c>
      <c r="V39" s="1430"/>
      <c r="W39" s="1430"/>
      <c r="X39" s="1108" t="b">
        <f>AND($Y$44,COUNTIF($S$10:$S$71,"Latro's")&gt;=2)</f>
        <v>0</v>
      </c>
      <c r="AB39" s="224"/>
      <c r="AC39" s="224"/>
      <c r="AD39" s="1338"/>
      <c r="AE39" s="122"/>
      <c r="AF39" s="1341">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1119</v>
      </c>
      <c r="B40" s="608" t="s">
        <v>1120</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8"/>
      <c r="AE40" s="122"/>
      <c r="AF40" s="1341">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3082</v>
      </c>
      <c r="X41" s="187"/>
      <c r="Y41" s="187"/>
      <c r="Z41" s="187"/>
      <c r="AA41" s="187"/>
      <c r="AB41" s="225"/>
      <c r="AC41" s="226"/>
      <c r="AD41" s="1340"/>
      <c r="AE41" s="122"/>
      <c r="AF41" s="1341"/>
    </row>
    <row r="42" spans="1:32">
      <c r="A42" s="611" t="s">
        <v>1123</v>
      </c>
      <c r="B42" s="617" t="s">
        <v>821</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3111</v>
      </c>
      <c r="W42" s="189"/>
      <c r="X42" s="189"/>
      <c r="Y42" s="674"/>
      <c r="Z42" s="674"/>
      <c r="AA42" s="674"/>
      <c r="AB42" s="227"/>
      <c r="AC42" s="373"/>
      <c r="AD42" s="1340"/>
      <c r="AE42" s="122"/>
      <c r="AF42" s="1341">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868</v>
      </c>
      <c r="B43" s="608" t="s">
        <v>1267</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3242</v>
      </c>
      <c r="W43" s="189"/>
      <c r="X43" s="189"/>
      <c r="Y43" s="189" t="b">
        <v>1</v>
      </c>
      <c r="Z43" s="189"/>
      <c r="AA43" s="189"/>
      <c r="AB43" s="227"/>
      <c r="AC43" s="228"/>
      <c r="AD43" s="1340"/>
      <c r="AE43" s="122"/>
      <c r="AF43" s="1341">
        <f>$D43*dpsStr+$E43*dpsAgi+$G43*dpsCrit+$H43*dpsHit+$I43*dpsAP+$L43*dpsExp+$P43*dpsHaste+$Q43*dpsArmor</f>
        <v>7.3216553866573122</v>
      </c>
    </row>
    <row r="44" spans="1:32">
      <c r="A44" s="603" t="str">
        <f>IF(AC16,"+"&amp;MID(AD16,4,2)&amp;" "&amp;MID(AD16,1,2),MID($R$42,1,1)&amp;" Red "&amp;MID($R$42,3,1)&amp;" Blue "&amp;MID($R$42,5,1)&amp;" Yellow")</f>
        <v>+4 ag</v>
      </c>
      <c r="B44" s="604" t="s">
        <v>1982</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3113</v>
      </c>
      <c r="W44" s="189"/>
      <c r="X44" s="189"/>
      <c r="Y44" s="189" t="b">
        <v>1</v>
      </c>
      <c r="Z44" s="1124"/>
      <c r="AA44" s="64" t="s">
        <v>3112</v>
      </c>
      <c r="AB44" s="227"/>
      <c r="AC44" s="228" t="b">
        <v>1</v>
      </c>
      <c r="AD44" s="1340"/>
      <c r="AE44" s="122"/>
      <c r="AF44" s="1341"/>
    </row>
    <row r="45" spans="1:32">
      <c r="A45" s="189"/>
      <c r="B45" s="604" t="s">
        <v>1978</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0"/>
      <c r="AE45" s="122"/>
      <c r="AF45" s="1341"/>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1686</v>
      </c>
      <c r="X46" s="189"/>
      <c r="Y46" s="189"/>
      <c r="Z46" s="189"/>
      <c r="AA46" s="189"/>
      <c r="AB46" s="227"/>
      <c r="AC46" s="228"/>
      <c r="AD46" s="1340"/>
      <c r="AE46" s="122"/>
      <c r="AF46" s="1341"/>
    </row>
    <row r="47" spans="1:32">
      <c r="A47" s="611" t="s">
        <v>1268</v>
      </c>
      <c r="B47" s="617" t="s">
        <v>1300</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1689</v>
      </c>
      <c r="W47" s="189"/>
      <c r="X47" s="189"/>
      <c r="Y47" s="1141" t="s">
        <v>2300</v>
      </c>
      <c r="Z47" s="189"/>
      <c r="AA47" s="189"/>
      <c r="AB47" s="227"/>
      <c r="AC47" s="228"/>
      <c r="AD47" s="1340"/>
      <c r="AE47" s="122"/>
      <c r="AF47" s="1341">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781</v>
      </c>
      <c r="B48" s="608" t="s">
        <v>1270</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1690</v>
      </c>
      <c r="W48" s="189"/>
      <c r="X48" s="189"/>
      <c r="Y48" s="1141" t="s">
        <v>2300</v>
      </c>
      <c r="Z48" s="189"/>
      <c r="AA48" s="189"/>
      <c r="AB48" s="227"/>
      <c r="AC48" s="228"/>
      <c r="AD48" s="1340"/>
      <c r="AE48" s="122"/>
      <c r="AF48" s="1341">
        <f>$D48*dpsStr+$E48*dpsAgi+$G48*dpsCrit+$H48*dpsHit+$I48*dpsAP+$L48*dpsExp+$P48*dpsHaste+$Q48*dpsArmor</f>
        <v>8.5759206205239025</v>
      </c>
    </row>
    <row r="49" spans="1:32">
      <c r="A49" s="603" t="str">
        <f>IF(AC17,"+"&amp;MID(AD17,4,2)&amp;" "&amp;MID(AD17,1,2),MID($R$47,1,1)&amp;" Red "&amp;MID($R$47,3,1)&amp;" Blue "&amp;MID($R$47,5,1)&amp;" Yellow")</f>
        <v>1 Red 0 Blue 0 Yellow</v>
      </c>
      <c r="B49" s="598" t="s">
        <v>1982</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0"/>
      <c r="AE49" s="122"/>
      <c r="AF49" s="1341"/>
    </row>
    <row r="50" spans="1:32">
      <c r="A50" s="611" t="s">
        <v>2074</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470</v>
      </c>
      <c r="W50" s="189"/>
      <c r="X50" s="189"/>
      <c r="Y50" s="189"/>
      <c r="Z50" s="1124"/>
      <c r="AA50" s="64" t="s">
        <v>1029</v>
      </c>
      <c r="AB50" s="227"/>
      <c r="AC50" s="228" t="b">
        <v>0</v>
      </c>
      <c r="AD50" s="1340"/>
      <c r="AE50" s="122"/>
      <c r="AF50" s="1341">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782</v>
      </c>
      <c r="B51" s="608" t="s">
        <v>2076</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465</v>
      </c>
      <c r="W51" s="189"/>
      <c r="X51" s="189"/>
      <c r="Y51" s="64" t="b">
        <v>1</v>
      </c>
      <c r="Z51" s="64" t="s">
        <v>3083</v>
      </c>
      <c r="AA51" s="189"/>
      <c r="AB51" s="227"/>
      <c r="AC51" s="229"/>
      <c r="AD51" s="1340"/>
      <c r="AE51" s="122"/>
      <c r="AF51" s="1341">
        <f>$D51*dpsStr+$E51*dpsAgi+$G51*dpsCrit+$H51*dpsHit+$I51*dpsAP+$L51*dpsExp+$P51*dpsHaste+$Q51*dpsArmor</f>
        <v>12.408193040024571</v>
      </c>
    </row>
    <row r="52" spans="1:32">
      <c r="A52" s="603" t="str">
        <f>IF(AC18,"+"&amp;MID(AD18,4,2)&amp;" "&amp;MID(AD18,1,2),MID($R$50,1,1)&amp;" Red "&amp;MID($R$50,3,1)&amp;" Blue "&amp;MID($R$50,5,1)&amp;" Yellow")</f>
        <v>1 Red 0 Blue 1 Yellow</v>
      </c>
      <c r="B52" s="598" t="s">
        <v>1982</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1687</v>
      </c>
      <c r="W52" s="189"/>
      <c r="X52" s="189"/>
      <c r="Y52" s="64" t="b">
        <v>1</v>
      </c>
      <c r="Z52" s="197" t="s">
        <v>3084</v>
      </c>
      <c r="AA52" s="189"/>
      <c r="AB52" s="227"/>
      <c r="AC52" s="229"/>
      <c r="AD52" s="1340"/>
      <c r="AE52" s="122"/>
      <c r="AF52" s="1341"/>
    </row>
    <row r="53" spans="1:32">
      <c r="A53" s="189"/>
      <c r="B53" s="598" t="s">
        <v>1982</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466</v>
      </c>
      <c r="W53" s="189"/>
      <c r="X53" s="189"/>
      <c r="Y53" s="64" t="b">
        <v>1</v>
      </c>
      <c r="Z53" s="189"/>
      <c r="AA53" s="189"/>
      <c r="AB53" s="227"/>
      <c r="AC53" s="229"/>
      <c r="AD53" s="1340"/>
      <c r="AE53" s="122"/>
      <c r="AF53" s="1341"/>
    </row>
    <row r="54" spans="1:32">
      <c r="A54" s="611" t="s">
        <v>2077</v>
      </c>
      <c r="B54" s="616" t="s">
        <v>1531</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687</v>
      </c>
      <c r="W54" s="189"/>
      <c r="X54" s="189"/>
      <c r="Y54" s="64" t="b">
        <v>1</v>
      </c>
      <c r="Z54" s="189"/>
      <c r="AA54" s="189"/>
      <c r="AB54" s="227"/>
      <c r="AC54" s="229"/>
      <c r="AD54" s="1340"/>
      <c r="AE54" s="122"/>
      <c r="AF54" s="1341">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805</v>
      </c>
      <c r="W55" s="189"/>
      <c r="X55" s="189"/>
      <c r="Y55" s="64" t="b">
        <v>1</v>
      </c>
      <c r="Z55" s="1124"/>
      <c r="AA55" s="64" t="s">
        <v>919</v>
      </c>
      <c r="AB55" s="227"/>
      <c r="AC55" s="229" t="b">
        <v>0</v>
      </c>
      <c r="AD55" s="1340"/>
      <c r="AE55" s="122"/>
      <c r="AF55" s="1341"/>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1</v>
      </c>
      <c r="Z56" s="189"/>
      <c r="AA56" s="189"/>
      <c r="AB56" s="227"/>
      <c r="AC56" s="229"/>
      <c r="AD56" s="1340"/>
      <c r="AE56" s="122"/>
      <c r="AF56" s="1341"/>
    </row>
    <row r="57" spans="1:32">
      <c r="A57" s="611" t="s">
        <v>2079</v>
      </c>
      <c r="B57" s="616" t="s">
        <v>2080</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0"/>
      <c r="AE57" s="122"/>
      <c r="AF57" s="1341">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2081</v>
      </c>
      <c r="B58" s="608" t="s">
        <v>1341</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472</v>
      </c>
      <c r="W58" s="189"/>
      <c r="X58" s="189"/>
      <c r="Y58" s="64" t="b">
        <v>1</v>
      </c>
      <c r="Z58" s="189"/>
      <c r="AA58" s="189"/>
      <c r="AB58" s="227"/>
      <c r="AC58" s="229"/>
      <c r="AD58" s="1340"/>
      <c r="AE58" s="122"/>
      <c r="AF58" s="1341">
        <f>$D58*dpsStr+$E58*dpsAgi+$G58*dpsCrit+$H58*dpsHit+$I58*dpsAP+$L58*dpsExp+$P58*dpsHaste+$Q58*dpsArmor</f>
        <v>26.096056958871941</v>
      </c>
    </row>
    <row r="59" spans="1:32">
      <c r="A59" s="603" t="str">
        <f>IF(AC20,"+"&amp;MID(AD20,4,2)&amp;" "&amp;MID(AD20,1,2),MID($R$57,1,1)&amp;" Red "&amp;MID($R$57,3,1)&amp;" Blue "&amp;MID($R$57,5,1)&amp;" Yellow")</f>
        <v>2 Red 1 Blue 0 Yellow</v>
      </c>
      <c r="B59" s="598" t="s">
        <v>1982</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471</v>
      </c>
      <c r="W59" s="189"/>
      <c r="X59" s="189"/>
      <c r="Y59" s="64" t="b">
        <v>1</v>
      </c>
      <c r="Z59" s="189"/>
      <c r="AA59" s="189"/>
      <c r="AB59" s="189"/>
      <c r="AC59" s="190"/>
      <c r="AD59" s="1340"/>
      <c r="AE59" s="1340"/>
      <c r="AF59" s="1342"/>
    </row>
    <row r="60" spans="1:32">
      <c r="A60" s="189"/>
      <c r="B60" s="598" t="s">
        <v>1982</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467</v>
      </c>
      <c r="W60" s="189"/>
      <c r="X60" s="189"/>
      <c r="Y60" s="64" t="b">
        <v>1</v>
      </c>
      <c r="Z60" s="189"/>
      <c r="AA60" s="191" t="s">
        <v>468</v>
      </c>
      <c r="AB60" s="189"/>
      <c r="AC60" s="190"/>
      <c r="AD60" s="1340"/>
      <c r="AE60" s="1340"/>
      <c r="AF60" s="1342"/>
    </row>
    <row r="61" spans="1:32">
      <c r="A61" s="189"/>
      <c r="B61" s="598" t="s">
        <v>1982</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3085</v>
      </c>
      <c r="W61" s="189"/>
      <c r="X61" s="189"/>
      <c r="Y61" s="64" t="b">
        <v>1</v>
      </c>
      <c r="Z61" s="1124"/>
      <c r="AA61" s="27" t="s">
        <v>672</v>
      </c>
      <c r="AB61" s="189"/>
      <c r="AC61" s="503" t="b">
        <v>1</v>
      </c>
      <c r="AD61" s="122"/>
      <c r="AE61" s="122"/>
      <c r="AF61" s="1341"/>
    </row>
    <row r="62" spans="1:32">
      <c r="A62" s="611" t="s">
        <v>1414</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675</v>
      </c>
      <c r="W62" s="189"/>
      <c r="X62" s="189"/>
      <c r="Y62" s="64" t="b">
        <v>1</v>
      </c>
      <c r="Z62" s="1124"/>
      <c r="AA62" s="27" t="s">
        <v>690</v>
      </c>
      <c r="AB62" s="189"/>
      <c r="AC62" s="503" t="b">
        <v>1</v>
      </c>
      <c r="AD62" s="122"/>
      <c r="AE62" s="122"/>
      <c r="AF62" s="1341">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671</v>
      </c>
      <c r="AB63" s="189"/>
      <c r="AC63" s="503" t="b">
        <v>1</v>
      </c>
      <c r="AD63" s="122"/>
      <c r="AE63" s="122"/>
      <c r="AF63" s="1341">
        <f>$D63*dpsStr+$E63*dpsAgi+$G63*dpsCrit+$H63*dpsHit+$I63*dpsAP+$L63*dpsExp+$P63*dpsHaste+$Q63*dpsArmor</f>
        <v>9.9265544320196568</v>
      </c>
    </row>
    <row r="64" spans="1:32">
      <c r="A64" s="603" t="str">
        <f>IF(AC21,"+"&amp;MID(AD21,4,2)&amp;" "&amp;MID(AD21,1,2),MID($R$62,1,1)&amp;" Red "&amp;MID($R$62,3,1)&amp;" Blue "&amp;MID($R$62,5,1)&amp;" Yellow")</f>
        <v>+3 ht</v>
      </c>
      <c r="B64" s="598" t="s">
        <v>1982</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2798</v>
      </c>
      <c r="W64" s="189"/>
      <c r="X64" s="189"/>
      <c r="Y64" s="189"/>
      <c r="Z64" s="1124"/>
      <c r="AA64" s="189" t="s">
        <v>680</v>
      </c>
      <c r="AB64" s="189"/>
      <c r="AC64" s="503" t="b">
        <v>1</v>
      </c>
      <c r="AD64" s="122"/>
      <c r="AE64" s="122"/>
      <c r="AF64" s="1341"/>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2797</v>
      </c>
      <c r="W65" s="189"/>
      <c r="X65" s="189"/>
      <c r="Y65" s="64" t="b">
        <v>1</v>
      </c>
      <c r="Z65" s="1124"/>
      <c r="AA65" s="189" t="s">
        <v>681</v>
      </c>
      <c r="AB65" s="189"/>
      <c r="AC65" s="503" t="b">
        <v>1</v>
      </c>
      <c r="AD65" s="122"/>
      <c r="AE65" s="122"/>
      <c r="AF65" s="1341"/>
    </row>
    <row r="66" spans="1:32">
      <c r="A66" s="611" t="s">
        <v>258</v>
      </c>
      <c r="B66" s="617" t="s">
        <v>491</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2799</v>
      </c>
      <c r="W66" s="189"/>
      <c r="X66" s="189"/>
      <c r="Y66" s="64" t="b">
        <v>0</v>
      </c>
      <c r="Z66" s="1124"/>
      <c r="AA66" s="27" t="s">
        <v>1685</v>
      </c>
      <c r="AB66" s="189"/>
      <c r="AC66" s="503" t="b">
        <v>1</v>
      </c>
      <c r="AD66" s="122"/>
      <c r="AE66" s="122"/>
      <c r="AF66" s="1341">
        <f>$D66*dpsStr+$E66*dpsAgi+$G66*dpsCrit+$H66*dpsHit+$I66*dpsAP+$L66*dpsExp+$P66*dpsHaste+$Q66*dpsArmor</f>
        <v>130.73802482919473</v>
      </c>
    </row>
    <row r="67" spans="1:32">
      <c r="A67" s="189" t="s">
        <v>260</v>
      </c>
      <c r="B67" s="609" t="s">
        <v>1688</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2800</v>
      </c>
      <c r="W67" s="189"/>
      <c r="X67" s="189"/>
      <c r="Y67" s="64" t="b">
        <v>0</v>
      </c>
      <c r="Z67" s="1124"/>
      <c r="AA67" s="27" t="s">
        <v>678</v>
      </c>
      <c r="AB67" s="189"/>
      <c r="AC67" s="503" t="b">
        <v>1</v>
      </c>
      <c r="AD67" s="122"/>
      <c r="AE67" s="122"/>
      <c r="AF67" s="1341">
        <f>$D67*dpsStr+$E67*dpsAgi+$G67*dpsCrit+$H67*dpsHit+$I67*dpsAP+$L67*dpsExp+$P67*dpsHaste+$Q67*dpsArmor</f>
        <v>0</v>
      </c>
    </row>
    <row r="68" spans="1:32">
      <c r="A68" s="611" t="s">
        <v>1566</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2801</v>
      </c>
      <c r="W68" s="189"/>
      <c r="X68" s="189"/>
      <c r="Y68" s="64" t="b">
        <v>0</v>
      </c>
      <c r="Z68" s="1124"/>
      <c r="AA68" s="189" t="s">
        <v>666</v>
      </c>
      <c r="AB68" s="189"/>
      <c r="AC68" s="503" t="b">
        <v>1</v>
      </c>
      <c r="AD68" s="122"/>
      <c r="AE68" s="122"/>
      <c r="AF68" s="1341">
        <f>$D68*dpsStr+$E68*dpsAgi+$G68*dpsCrit+$H68*dpsHit+$I68*dpsAP+$L68*dpsExp+$P68*dpsHaste+$Q68*dpsArmor</f>
        <v>136.94643403976124</v>
      </c>
    </row>
    <row r="69" spans="1:32">
      <c r="A69" s="189" t="s">
        <v>260</v>
      </c>
      <c r="B69" s="609" t="s">
        <v>1688</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2802</v>
      </c>
      <c r="W69" s="189"/>
      <c r="X69" s="189"/>
      <c r="Y69" s="64" t="b">
        <v>0</v>
      </c>
      <c r="Z69" s="1124"/>
      <c r="AA69" s="189" t="s">
        <v>469</v>
      </c>
      <c r="AB69" s="189"/>
      <c r="AC69" s="503" t="b">
        <v>1</v>
      </c>
      <c r="AD69" s="122"/>
      <c r="AE69" s="122"/>
      <c r="AF69" s="1341">
        <f>$D69*dpsStr+$E69*dpsAgi+$G69*dpsCrit+$H69*dpsHit+$I69*dpsAP+$L69*dpsExp+$P69*dpsHaste+$Q69*dpsArmor</f>
        <v>0</v>
      </c>
    </row>
    <row r="70" spans="1:32" ht="12.75" customHeight="1">
      <c r="A70" s="611" t="s">
        <v>1936</v>
      </c>
      <c r="B70" s="617" t="s">
        <v>1937</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99.923869008308046</v>
      </c>
      <c r="Q70" s="614">
        <f>VLOOKUP($B70,TrinketStats,lookArmor,FALSE)</f>
        <v>0</v>
      </c>
      <c r="R70" s="614">
        <f>VLOOKUP($B70,TrinketStats,lookSoc,FALSE)</f>
        <v>0</v>
      </c>
      <c r="S70" s="614">
        <f>VLOOKUP($B70,TrinketStats,lookSet,FALSE)</f>
        <v>0</v>
      </c>
      <c r="U70" s="1139"/>
      <c r="V70" s="189"/>
      <c r="W70" s="189"/>
      <c r="X70" s="64"/>
      <c r="Y70" s="189"/>
      <c r="Z70" s="1124"/>
      <c r="AA70" s="189" t="s">
        <v>682</v>
      </c>
      <c r="AB70" s="189"/>
      <c r="AC70" s="503" t="b">
        <v>1</v>
      </c>
      <c r="AD70" s="122"/>
      <c r="AE70" s="122"/>
      <c r="AF70" s="1341">
        <f>$D70*dpsStr+$E70*dpsAgi+$G70*dpsCrit+$H70*dpsHit+$I70*dpsAP+$L70*dpsExp+$P70*dpsHaste+$Q70*dpsArmor+VLOOKUP($B70,TrinketStats,23,FALSE)</f>
        <v>381.15216877515627</v>
      </c>
    </row>
    <row r="71" spans="1:32">
      <c r="A71" s="611" t="s">
        <v>1938</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800</v>
      </c>
      <c r="W71" s="189"/>
      <c r="X71" s="189"/>
      <c r="Y71" s="189"/>
      <c r="Z71" s="1124"/>
      <c r="AA71" s="64" t="s">
        <v>683</v>
      </c>
      <c r="AB71" s="189"/>
      <c r="AC71" s="503" t="b">
        <v>1</v>
      </c>
      <c r="AD71" s="122"/>
      <c r="AE71" s="122"/>
      <c r="AF71" s="1341">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801</v>
      </c>
      <c r="W72" s="189"/>
      <c r="X72" s="189"/>
      <c r="Y72" s="189" t="b">
        <v>0</v>
      </c>
      <c r="Z72" s="1124"/>
      <c r="AA72" s="197" t="s">
        <v>663</v>
      </c>
      <c r="AB72" s="189"/>
      <c r="AC72" s="190" t="b">
        <v>1</v>
      </c>
      <c r="AD72" s="122"/>
      <c r="AE72" s="122"/>
      <c r="AF72" s="1338"/>
    </row>
    <row r="73" spans="1:32" ht="12.75" customHeight="1">
      <c r="A73" s="189"/>
      <c r="B73" s="596" t="s">
        <v>1940</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802</v>
      </c>
      <c r="W73" s="189"/>
      <c r="X73" s="189"/>
      <c r="Y73" s="189" t="b">
        <v>1</v>
      </c>
      <c r="Z73" s="1124"/>
      <c r="AA73" s="197" t="s">
        <v>870</v>
      </c>
      <c r="AB73" s="189"/>
      <c r="AC73" s="190" t="b">
        <v>1</v>
      </c>
      <c r="AD73" s="122"/>
      <c r="AE73" s="122"/>
      <c r="AF73" s="1338"/>
    </row>
    <row r="74" spans="1:32">
      <c r="A74" s="189"/>
      <c r="B74" s="1142" t="s">
        <v>2463</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803</v>
      </c>
      <c r="W74" s="189"/>
      <c r="X74" s="189"/>
      <c r="Y74" s="189" t="b">
        <v>0</v>
      </c>
      <c r="Z74" s="1124"/>
      <c r="AA74" s="27" t="s">
        <v>2794</v>
      </c>
      <c r="AB74" s="189"/>
      <c r="AC74" s="190" t="b">
        <v>1</v>
      </c>
      <c r="AD74" s="1340"/>
      <c r="AE74" s="1340"/>
      <c r="AF74" s="1340"/>
    </row>
    <row r="75" spans="1:32" ht="13.5" thickBot="1">
      <c r="A75" s="189"/>
      <c r="B75" s="592" t="s">
        <v>1897</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0"/>
      <c r="AE75" s="1340"/>
      <c r="AF75" s="1340"/>
    </row>
    <row r="76" spans="1:32">
      <c r="C76" s="48"/>
      <c r="G76" s="49"/>
      <c r="H76" s="49"/>
      <c r="K76" s="49"/>
      <c r="U76" s="189"/>
      <c r="V76" s="189"/>
      <c r="W76" s="189"/>
      <c r="X76" s="189"/>
      <c r="Y76" s="189"/>
      <c r="Z76" s="189"/>
      <c r="AA76" s="189"/>
      <c r="AB76" s="227"/>
      <c r="AC76" s="227"/>
      <c r="AD76" s="1340"/>
      <c r="AE76" s="1340"/>
      <c r="AF76" s="1340"/>
    </row>
    <row r="77" spans="1:32" ht="13.5" thickBot="1">
      <c r="A77" s="281">
        <v>1</v>
      </c>
      <c r="C77" s="48"/>
      <c r="G77" s="49"/>
      <c r="H77" s="49"/>
      <c r="K77" s="49"/>
      <c r="R77" s="205" t="s">
        <v>275</v>
      </c>
      <c r="T77" s="31"/>
      <c r="U77" s="189"/>
      <c r="V77" s="189"/>
      <c r="W77" s="189"/>
      <c r="X77" s="189"/>
      <c r="Y77" s="189"/>
      <c r="Z77" s="189"/>
      <c r="AA77" s="189"/>
      <c r="AB77" s="227"/>
      <c r="AC77" s="227"/>
      <c r="AD77" s="1340"/>
      <c r="AE77" s="1340"/>
      <c r="AF77" s="1340"/>
    </row>
    <row r="78" spans="1:32" ht="13.5" thickBot="1">
      <c r="B78" s="1432" t="s">
        <v>1941</v>
      </c>
      <c r="C78" s="1433"/>
      <c r="D78" s="1148">
        <f>SUM(D10:D76)</f>
        <v>101</v>
      </c>
      <c r="E78" s="1148">
        <f>(SUM(E10:E76)+IF(time=0,0,'Cooldowns Calc'!Y1))*(1+Talents!F33/100)*(1+Talents!I36*3/100)</f>
        <v>675.15470163644818</v>
      </c>
      <c r="F78" s="1148">
        <f>(SUM(F10:F76))*(1+Talents!F33/50)</f>
        <v>431.6</v>
      </c>
      <c r="G78" s="1148">
        <f>SUM(G10:G76)</f>
        <v>159.38461538461539</v>
      </c>
      <c r="H78" s="1148">
        <f>SUM(H10:H76)+Y34</f>
        <v>420.84615384615381</v>
      </c>
      <c r="I78" s="1148">
        <f>(SUM(I10:I76)+E78+D78+120+Y33+Y35+IF(time=0,0,'Cooldowns Calc'!Z1))*deadliness</f>
        <v>1792.3120007357772</v>
      </c>
      <c r="J78" s="1148">
        <f>SUM(J10:J76)+Y28+Y29</f>
        <v>0</v>
      </c>
      <c r="K78" s="1148">
        <f>SUM(K10:K76)+Y32</f>
        <v>0</v>
      </c>
      <c r="L78" s="1148">
        <f>SUM(L10:L76)</f>
        <v>53.42307692307692</v>
      </c>
      <c r="M78" s="1148">
        <f>SUM(M10:M76)</f>
        <v>0</v>
      </c>
      <c r="N78" s="1148"/>
      <c r="O78" s="1148"/>
      <c r="P78" s="1148">
        <f>SUM(P10:P76)</f>
        <v>127.49804426656831</v>
      </c>
      <c r="Q78" s="1148">
        <f>SUM(Q10:Q76)</f>
        <v>0</v>
      </c>
      <c r="R78" s="1149" t="str">
        <f>R73+S73&amp;" "&amp;R74+S74&amp;" "&amp;R75+S75</f>
        <v>4 2 12</v>
      </c>
      <c r="S78" s="50"/>
      <c r="T78" s="31"/>
      <c r="U78" s="189"/>
      <c r="V78" s="189"/>
      <c r="W78" s="189"/>
      <c r="X78" s="189"/>
      <c r="Y78" s="189"/>
      <c r="Z78" s="189"/>
      <c r="AA78" s="189"/>
      <c r="AB78" s="189"/>
      <c r="AC78" s="189"/>
      <c r="AD78" s="1340"/>
      <c r="AE78" s="1340"/>
      <c r="AF78" s="1340"/>
    </row>
    <row r="79" spans="1:32" ht="13.5" thickBot="1">
      <c r="A79" s="618" t="s">
        <v>1942</v>
      </c>
      <c r="B79" s="646"/>
      <c r="C79" s="647" t="s">
        <v>1943</v>
      </c>
      <c r="D79" s="647" t="s">
        <v>1213</v>
      </c>
      <c r="E79" s="647" t="s">
        <v>1214</v>
      </c>
      <c r="F79" s="647" t="s">
        <v>1215</v>
      </c>
      <c r="G79" s="647" t="s">
        <v>2139</v>
      </c>
      <c r="H79" s="647" t="s">
        <v>2138</v>
      </c>
      <c r="I79" s="647" t="s">
        <v>767</v>
      </c>
      <c r="J79" s="647" t="s">
        <v>1216</v>
      </c>
      <c r="K79" s="647" t="s">
        <v>2143</v>
      </c>
      <c r="L79" s="647" t="s">
        <v>1581</v>
      </c>
      <c r="M79" s="647" t="s">
        <v>2165</v>
      </c>
      <c r="N79" s="647"/>
      <c r="O79" s="647"/>
      <c r="P79" s="647" t="s">
        <v>770</v>
      </c>
      <c r="Q79" s="648" t="s">
        <v>769</v>
      </c>
      <c r="R79" s="50"/>
      <c r="S79" s="50"/>
      <c r="T79" s="31"/>
      <c r="U79" s="189"/>
      <c r="V79" s="189"/>
      <c r="W79" s="189"/>
      <c r="X79" s="189"/>
      <c r="Y79" s="189"/>
      <c r="Z79" s="189"/>
      <c r="AA79" s="189"/>
      <c r="AB79" s="189"/>
      <c r="AC79" s="189"/>
      <c r="AD79" s="1340"/>
      <c r="AE79" s="1340"/>
      <c r="AF79" s="20"/>
    </row>
    <row r="80" spans="1:32">
      <c r="A80" s="629" t="s">
        <v>1944</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0"/>
      <c r="AE80" s="1340"/>
      <c r="AF80" s="20"/>
    </row>
    <row r="81" spans="1:32">
      <c r="A81" s="628" t="s">
        <v>1945</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1946</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557</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1947</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1948</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2881</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8"/>
    </row>
    <row r="87" spans="1:32">
      <c r="A87" s="167" t="s">
        <v>1949</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1950</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2882</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8"/>
    </row>
    <row r="90" spans="1:32">
      <c r="A90" s="632" t="s">
        <v>541</v>
      </c>
      <c r="B90" s="165" t="s">
        <v>2880</v>
      </c>
      <c r="C90" s="31">
        <v>3</v>
      </c>
      <c r="D90" s="58"/>
      <c r="E90" s="49"/>
      <c r="F90" s="49"/>
      <c r="G90" s="49"/>
      <c r="H90" s="49"/>
      <c r="I90" s="49">
        <f>IF(Talents!O36="No",IF(ISTEXT(B90),0,B90*25%*90%*C90/3),0)</f>
        <v>0</v>
      </c>
      <c r="S90" s="46"/>
      <c r="T90" s="31"/>
      <c r="U90" s="23"/>
      <c r="V90" s="23"/>
      <c r="X90" s="23"/>
      <c r="Y90" s="23"/>
      <c r="Z90" s="23"/>
      <c r="AA90" s="23"/>
      <c r="AB90" s="23"/>
      <c r="AC90" s="23"/>
      <c r="AD90" s="1338"/>
      <c r="AE90" s="1338"/>
      <c r="AF90" s="1338"/>
    </row>
    <row r="91" spans="1:32">
      <c r="A91" s="607" t="s">
        <v>780</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8"/>
    </row>
    <row r="92" spans="1:32">
      <c r="A92" s="883" t="s">
        <v>3099</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8"/>
    </row>
    <row r="93" spans="1:32">
      <c r="A93" s="883" t="s">
        <v>622</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8"/>
      <c r="AE93" s="1338"/>
      <c r="AF93" s="1338"/>
    </row>
    <row r="94" spans="1:32" ht="13.5" thickBot="1">
      <c r="A94" s="882"/>
      <c r="B94" s="164"/>
      <c r="C94" s="27"/>
      <c r="D94" s="163"/>
      <c r="E94" s="15"/>
      <c r="F94" s="15"/>
      <c r="G94" s="15"/>
      <c r="H94" s="15"/>
      <c r="I94" s="15"/>
      <c r="J94" s="15"/>
      <c r="K94" s="15"/>
      <c r="L94" s="15"/>
      <c r="M94" s="15"/>
      <c r="N94" s="15"/>
      <c r="O94" s="15"/>
      <c r="P94" s="15"/>
      <c r="Q94" s="15"/>
      <c r="R94" s="50"/>
      <c r="S94" s="50"/>
      <c r="T94" s="31"/>
      <c r="AD94" s="1338"/>
      <c r="AE94" s="1338"/>
      <c r="AF94" s="1338"/>
    </row>
    <row r="95" spans="1:32" ht="13.5" thickBot="1">
      <c r="A95" s="621" t="s">
        <v>1951</v>
      </c>
      <c r="B95" s="622"/>
      <c r="C95" s="623"/>
      <c r="D95" s="619" t="s">
        <v>1213</v>
      </c>
      <c r="E95" s="619" t="s">
        <v>1214</v>
      </c>
      <c r="F95" s="619" t="s">
        <v>1215</v>
      </c>
      <c r="G95" s="619" t="s">
        <v>2139</v>
      </c>
      <c r="H95" s="619" t="s">
        <v>2138</v>
      </c>
      <c r="I95" s="619" t="s">
        <v>767</v>
      </c>
      <c r="J95" s="619" t="s">
        <v>1216</v>
      </c>
      <c r="K95" s="619" t="s">
        <v>2143</v>
      </c>
      <c r="L95" s="619" t="s">
        <v>1581</v>
      </c>
      <c r="M95" s="619" t="s">
        <v>2165</v>
      </c>
      <c r="N95" s="619"/>
      <c r="O95" s="619"/>
      <c r="P95" s="619" t="s">
        <v>770</v>
      </c>
      <c r="Q95" s="620" t="s">
        <v>769</v>
      </c>
      <c r="R95" s="46"/>
      <c r="S95" s="46"/>
      <c r="T95" s="56"/>
      <c r="V95" s="27"/>
      <c r="W95" s="27"/>
      <c r="X95" s="27"/>
      <c r="AD95" s="1338"/>
      <c r="AE95" s="1338"/>
      <c r="AF95" s="1338"/>
    </row>
    <row r="96" spans="1:32">
      <c r="A96" s="30" t="s">
        <v>1953</v>
      </c>
      <c r="B96" s="164">
        <v>1</v>
      </c>
      <c r="C96" s="57">
        <v>2</v>
      </c>
      <c r="D96" s="58"/>
      <c r="E96" s="49"/>
      <c r="F96" s="49">
        <f>IF(Talents!O36="No",B96*79*(1+C96*0.15),0)</f>
        <v>102.7</v>
      </c>
      <c r="G96" s="49"/>
      <c r="H96" s="49"/>
      <c r="I96" s="49"/>
      <c r="J96" s="49"/>
      <c r="L96"/>
      <c r="M96"/>
      <c r="N96"/>
      <c r="O96"/>
      <c r="P96" s="46"/>
      <c r="Q96" s="46"/>
      <c r="R96" s="46"/>
      <c r="S96" s="46"/>
      <c r="AD96" s="1338"/>
      <c r="AE96" s="1338"/>
      <c r="AF96" s="1338"/>
    </row>
    <row r="97" spans="1:32">
      <c r="A97" s="628" t="s">
        <v>553</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8"/>
      <c r="AE97" s="1338"/>
      <c r="AF97" s="1338"/>
    </row>
    <row r="98" spans="1:32">
      <c r="A98" s="628" t="s">
        <v>556</v>
      </c>
      <c r="B98" s="164">
        <v>0</v>
      </c>
      <c r="C98" s="57"/>
      <c r="D98" s="58"/>
      <c r="E98" s="49"/>
      <c r="F98" s="49"/>
      <c r="G98" s="49">
        <f>IF(Talents!O36="No",B98*5*crrate,0)</f>
        <v>0</v>
      </c>
      <c r="H98" s="49"/>
      <c r="I98" s="49"/>
      <c r="AD98" s="1338"/>
      <c r="AE98" s="1338"/>
      <c r="AF98" s="1338"/>
    </row>
    <row r="99" spans="1:32">
      <c r="A99" s="627" t="s">
        <v>554</v>
      </c>
      <c r="B99" s="164">
        <v>1</v>
      </c>
      <c r="C99" s="57">
        <v>5</v>
      </c>
      <c r="D99" s="58"/>
      <c r="E99" s="49"/>
      <c r="F99" s="49"/>
      <c r="G99" s="49"/>
      <c r="H99" s="49"/>
      <c r="I99" s="49">
        <f>IF(Talents!O36="No",B99*305*(1+$C99*0.05),0)</f>
        <v>381.25</v>
      </c>
      <c r="J99" s="49"/>
      <c r="L99" s="46"/>
      <c r="M99" s="46"/>
      <c r="N99" s="46"/>
      <c r="O99" s="46"/>
      <c r="P99" s="46"/>
      <c r="Q99" s="46"/>
      <c r="R99" s="46"/>
      <c r="S99" s="46"/>
      <c r="AD99" s="1338"/>
      <c r="AE99" s="1338"/>
      <c r="AF99" s="1338"/>
    </row>
    <row r="100" spans="1:32">
      <c r="A100" s="627" t="s">
        <v>1661</v>
      </c>
      <c r="B100" s="164">
        <v>0</v>
      </c>
      <c r="C100" s="57"/>
      <c r="D100" s="58"/>
      <c r="E100" s="49"/>
      <c r="F100" s="49"/>
      <c r="G100" s="49"/>
      <c r="H100" s="49"/>
      <c r="I100" s="49">
        <f>IF(Talents!O36="No",B100*70*(1+$C99*0.05),0)</f>
        <v>0</v>
      </c>
      <c r="J100" s="49"/>
      <c r="L100" s="46"/>
      <c r="M100" s="46"/>
      <c r="N100" s="46"/>
      <c r="O100" s="46"/>
      <c r="P100" s="46"/>
      <c r="Q100" s="46"/>
      <c r="R100" s="46"/>
      <c r="S100" s="46"/>
      <c r="AD100" s="1338"/>
      <c r="AE100" s="1338"/>
      <c r="AF100" s="1338"/>
    </row>
    <row r="101" spans="1:32">
      <c r="A101" s="627" t="s">
        <v>2887</v>
      </c>
      <c r="B101" s="164">
        <v>0</v>
      </c>
      <c r="C101" s="57">
        <v>5</v>
      </c>
      <c r="D101" s="58"/>
      <c r="E101" s="49"/>
      <c r="F101" s="49">
        <f>IF(Talents!O36="No",B101*108*(1+$C101*0.05),0)</f>
        <v>0</v>
      </c>
      <c r="G101" s="49"/>
      <c r="H101" s="49"/>
      <c r="I101" s="49"/>
      <c r="J101" s="49"/>
      <c r="L101" s="46"/>
      <c r="M101" s="46"/>
      <c r="N101" s="46"/>
      <c r="O101" s="46"/>
      <c r="P101" s="46"/>
      <c r="Q101" s="46"/>
      <c r="R101" s="46"/>
      <c r="S101" s="46"/>
      <c r="AD101" s="1338"/>
      <c r="AE101" s="1338"/>
      <c r="AF101" s="1338"/>
    </row>
    <row r="102" spans="1:32">
      <c r="A102" s="632" t="s">
        <v>555</v>
      </c>
      <c r="B102" s="164">
        <v>0</v>
      </c>
      <c r="C102" s="57"/>
      <c r="D102" s="58"/>
      <c r="E102" s="49"/>
      <c r="F102" s="49"/>
      <c r="G102" s="49"/>
      <c r="H102" s="49"/>
      <c r="I102" s="49">
        <f>IF(Talents!O36="No",B102*125,0)</f>
        <v>0</v>
      </c>
      <c r="J102" s="49"/>
      <c r="L102" s="46"/>
      <c r="M102" s="46"/>
      <c r="N102" s="46"/>
      <c r="O102" s="46"/>
      <c r="P102" s="46"/>
      <c r="Q102" s="46"/>
      <c r="R102" s="46"/>
      <c r="S102" s="46"/>
      <c r="AD102" s="1338"/>
      <c r="AE102" s="1338"/>
      <c r="AF102" s="1338"/>
    </row>
    <row r="103" spans="1:32">
      <c r="A103" s="632" t="s">
        <v>2228</v>
      </c>
      <c r="B103" s="164">
        <v>0</v>
      </c>
      <c r="C103" s="57">
        <v>3</v>
      </c>
      <c r="D103" s="58"/>
      <c r="E103" s="49"/>
      <c r="F103" s="49"/>
      <c r="G103" s="49"/>
      <c r="H103" s="49"/>
      <c r="I103" s="49"/>
      <c r="AD103" s="1338"/>
      <c r="AE103" s="1338"/>
      <c r="AF103" s="1338"/>
    </row>
    <row r="104" spans="1:32">
      <c r="A104" s="631" t="s">
        <v>535</v>
      </c>
      <c r="B104" s="164">
        <v>1</v>
      </c>
      <c r="C104" s="57"/>
      <c r="D104" s="58">
        <f>IF(Talents!O36="No",B104*(D78+SUM(D95:D103)+SUM(D105:D141))*0.1,0)</f>
        <v>23.880000000000003</v>
      </c>
      <c r="E104" s="49">
        <f>IF(Talents!O36="No",B104*(E78+SUM(E95:E103)+SUM(E105:E141))*0.1,0)</f>
        <v>71.405470163644821</v>
      </c>
      <c r="F104" s="49">
        <f>IF(Talents!O36="No",B104*(F78+SUM(F95:F100)+SUM(F105:F141))*0.1,0)</f>
        <v>55.320000000000007</v>
      </c>
      <c r="G104" s="49"/>
      <c r="H104" s="49"/>
      <c r="I104" s="49"/>
      <c r="AD104" s="1338"/>
      <c r="AE104" s="1338"/>
      <c r="AF104" s="1338"/>
    </row>
    <row r="105" spans="1:32">
      <c r="A105" s="631" t="s">
        <v>536</v>
      </c>
      <c r="B105" s="164">
        <v>1</v>
      </c>
      <c r="C105" s="57">
        <v>5</v>
      </c>
      <c r="D105" s="61"/>
      <c r="E105" s="59"/>
      <c r="F105" s="59"/>
      <c r="G105" s="49"/>
      <c r="H105" s="49"/>
      <c r="I105" s="49">
        <f>IF(Talents!O36="No",B105*220*(1+$C105*0.04),0)</f>
        <v>264</v>
      </c>
      <c r="AD105" s="1338"/>
      <c r="AE105" s="1338"/>
      <c r="AF105" s="1338"/>
    </row>
    <row r="106" spans="1:32">
      <c r="A106" s="631" t="s">
        <v>2886</v>
      </c>
      <c r="B106" s="164">
        <v>0</v>
      </c>
      <c r="C106" s="57">
        <v>2</v>
      </c>
      <c r="D106" s="58"/>
      <c r="E106" s="49"/>
      <c r="F106" s="49"/>
      <c r="G106" s="49"/>
      <c r="H106" s="49"/>
      <c r="I106" s="49"/>
      <c r="AD106" s="1338"/>
      <c r="AE106" s="1338"/>
      <c r="AF106" s="1338"/>
    </row>
    <row r="107" spans="1:32">
      <c r="A107" s="633" t="s">
        <v>1952</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8"/>
      <c r="AE107" s="1338"/>
      <c r="AF107" s="1338"/>
    </row>
    <row r="108" spans="1:32">
      <c r="A108" s="633" t="s">
        <v>537</v>
      </c>
      <c r="B108" s="164">
        <v>0</v>
      </c>
      <c r="C108" s="57">
        <v>2</v>
      </c>
      <c r="D108" s="58"/>
      <c r="E108" s="49">
        <f>IF(Talents!O36="No",B108*77*IF($C108=2,1.15,IF($C108=1,1.08,1))*IF(mhtemp="Windfury", 0.9, 1),0)</f>
        <v>0</v>
      </c>
      <c r="F108" s="59"/>
      <c r="G108" s="59"/>
      <c r="H108" s="59"/>
      <c r="I108" s="59"/>
      <c r="J108" s="62"/>
      <c r="AD108" s="1338"/>
      <c r="AE108" s="1338"/>
      <c r="AF108" s="1338"/>
    </row>
    <row r="109" spans="1:32">
      <c r="A109" s="633" t="s">
        <v>538</v>
      </c>
      <c r="B109" s="164">
        <v>1</v>
      </c>
      <c r="C109" s="57">
        <v>2</v>
      </c>
      <c r="D109" s="58">
        <f>IF(Talents!O36="No",B109*86*IF($C109=2,1.15,IF($C109=1,1.08,1)),0)</f>
        <v>98.899999999999991</v>
      </c>
      <c r="E109" s="49"/>
      <c r="F109" s="49"/>
      <c r="G109" s="49"/>
      <c r="H109" s="49"/>
      <c r="I109" s="49"/>
      <c r="AD109" s="1338"/>
      <c r="AE109" s="1338"/>
      <c r="AF109" s="1338"/>
    </row>
    <row r="110" spans="1:32">
      <c r="A110" s="885" t="s">
        <v>539</v>
      </c>
      <c r="B110" s="884">
        <v>1</v>
      </c>
      <c r="C110" s="57"/>
      <c r="D110" s="58"/>
      <c r="E110" s="22"/>
      <c r="F110" s="22"/>
      <c r="G110" s="22"/>
      <c r="H110" s="22"/>
      <c r="I110" s="22"/>
      <c r="J110" s="21"/>
      <c r="K110" s="21"/>
      <c r="L110" s="50"/>
      <c r="M110" s="50"/>
      <c r="N110" s="50"/>
      <c r="O110" s="50"/>
      <c r="P110" s="50"/>
      <c r="Q110" s="50"/>
      <c r="AD110" s="1338"/>
      <c r="AE110" s="1338"/>
      <c r="AF110" s="1338"/>
    </row>
    <row r="111" spans="1:32">
      <c r="A111" s="885" t="s">
        <v>540</v>
      </c>
      <c r="B111" s="884"/>
      <c r="C111" s="57">
        <v>2</v>
      </c>
      <c r="D111" s="58"/>
      <c r="E111" s="22"/>
      <c r="F111" s="22"/>
      <c r="G111" s="22"/>
      <c r="H111" s="22"/>
      <c r="I111" s="22"/>
      <c r="J111" s="21"/>
      <c r="K111" s="21"/>
      <c r="L111" s="50"/>
      <c r="M111" s="50"/>
      <c r="N111" s="50"/>
      <c r="O111" s="50"/>
      <c r="P111" s="50"/>
      <c r="Q111" s="50"/>
      <c r="R111" s="50"/>
      <c r="AD111" s="1338"/>
      <c r="AE111" s="1338"/>
      <c r="AF111" s="1338"/>
    </row>
    <row r="112" spans="1:32">
      <c r="A112" s="630" t="s">
        <v>2888</v>
      </c>
      <c r="B112" s="884">
        <v>0</v>
      </c>
      <c r="C112" s="57">
        <v>3</v>
      </c>
      <c r="D112" s="22"/>
      <c r="E112" s="22"/>
      <c r="F112" s="22">
        <f>IF(Talents!O36="No",B112*70*(1+$C112*0.1),0)</f>
        <v>0</v>
      </c>
      <c r="G112" s="22"/>
      <c r="H112" s="22"/>
      <c r="I112" s="22"/>
      <c r="J112" s="21"/>
      <c r="K112" s="21"/>
      <c r="L112" s="50"/>
      <c r="M112" s="50"/>
      <c r="N112" s="50"/>
      <c r="O112" s="50"/>
      <c r="P112" s="50"/>
      <c r="Q112" s="50"/>
      <c r="R112" s="50"/>
      <c r="AD112" s="1338"/>
      <c r="AE112" s="1338"/>
      <c r="AF112" s="1338"/>
    </row>
    <row r="113" spans="1:32">
      <c r="A113" s="606" t="s">
        <v>105</v>
      </c>
      <c r="B113" s="164">
        <v>0</v>
      </c>
      <c r="C113" s="57"/>
      <c r="D113" s="49"/>
      <c r="E113" s="49"/>
      <c r="F113" s="49"/>
      <c r="G113" s="49"/>
      <c r="H113" s="49"/>
      <c r="I113" s="49"/>
      <c r="P113" s="49"/>
      <c r="Q113" s="49"/>
      <c r="AD113" s="1338"/>
      <c r="AE113" s="1338"/>
      <c r="AF113" s="1338"/>
    </row>
    <row r="114" spans="1:32">
      <c r="A114" s="606" t="s">
        <v>104</v>
      </c>
      <c r="B114" s="164">
        <v>0</v>
      </c>
      <c r="C114" s="57"/>
      <c r="D114" s="49"/>
      <c r="E114" s="49"/>
      <c r="F114" s="49"/>
      <c r="G114" s="49"/>
      <c r="H114" s="49">
        <f>10*conv*B114</f>
        <v>0</v>
      </c>
      <c r="I114" s="49"/>
      <c r="AD114" s="1338"/>
      <c r="AE114" s="1338"/>
      <c r="AF114" s="1338"/>
    </row>
    <row r="115" spans="1:32" ht="13.5" thickBot="1">
      <c r="A115" s="60"/>
      <c r="B115" s="54"/>
      <c r="C115" s="19"/>
      <c r="D115" s="886"/>
      <c r="E115" s="49"/>
      <c r="F115" s="49"/>
      <c r="G115" s="49"/>
      <c r="H115" s="49"/>
      <c r="I115" s="49"/>
      <c r="S115" s="46"/>
      <c r="T115" s="31"/>
      <c r="W115" s="27"/>
      <c r="Z115" s="199">
        <f>1+0.15*C111</f>
        <v>1.3</v>
      </c>
      <c r="AD115" s="1338"/>
      <c r="AE115" s="1338"/>
      <c r="AF115" s="1338"/>
    </row>
    <row r="116" spans="1:32" ht="13.5" thickBot="1">
      <c r="A116" s="624" t="s">
        <v>542</v>
      </c>
      <c r="B116" s="622"/>
      <c r="C116" s="625"/>
      <c r="D116" s="619" t="s">
        <v>1213</v>
      </c>
      <c r="E116" s="619" t="s">
        <v>1214</v>
      </c>
      <c r="F116" s="619" t="s">
        <v>1215</v>
      </c>
      <c r="G116" s="619" t="s">
        <v>2139</v>
      </c>
      <c r="H116" s="619" t="s">
        <v>2138</v>
      </c>
      <c r="I116" s="619" t="s">
        <v>767</v>
      </c>
      <c r="J116" s="619" t="s">
        <v>1216</v>
      </c>
      <c r="K116" s="619" t="s">
        <v>2143</v>
      </c>
      <c r="L116" s="619" t="s">
        <v>1581</v>
      </c>
      <c r="M116" s="619" t="s">
        <v>2165</v>
      </c>
      <c r="N116" s="619"/>
      <c r="O116" s="619"/>
      <c r="P116" s="619" t="s">
        <v>770</v>
      </c>
      <c r="Q116" s="620" t="s">
        <v>769</v>
      </c>
      <c r="R116" s="46"/>
      <c r="S116" s="21"/>
      <c r="T116" s="31"/>
      <c r="W116" s="27"/>
      <c r="AD116" s="1338"/>
      <c r="AE116" s="1338"/>
      <c r="AF116" s="1338"/>
    </row>
    <row r="117" spans="1:32">
      <c r="A117" s="60" t="s">
        <v>1327</v>
      </c>
      <c r="B117" s="164">
        <v>1</v>
      </c>
      <c r="C117" s="57"/>
      <c r="D117" s="49"/>
      <c r="E117" s="49"/>
      <c r="F117" s="49"/>
      <c r="G117" s="49"/>
      <c r="H117" s="49"/>
      <c r="I117" s="49">
        <f>IF(Talents!O36="No",B117*120,0)</f>
        <v>120</v>
      </c>
      <c r="P117" s="49"/>
      <c r="Q117" s="49"/>
      <c r="AD117" s="1338"/>
      <c r="AE117" s="1338"/>
      <c r="AF117" s="1338"/>
    </row>
    <row r="118" spans="1:32">
      <c r="A118" s="60" t="s">
        <v>1332</v>
      </c>
      <c r="B118" s="164">
        <v>0</v>
      </c>
      <c r="C118" s="57"/>
      <c r="D118" s="49"/>
      <c r="E118" s="49">
        <f>IF(Talents!O36="No",B118*20,0)</f>
        <v>0</v>
      </c>
      <c r="F118" s="49">
        <f>IF(Talents!O36="No",B118*30,0)</f>
        <v>0</v>
      </c>
      <c r="G118" s="49"/>
      <c r="H118" s="49"/>
      <c r="I118" s="49">
        <f>IF(Talents!O36="No",B118*40,0)</f>
        <v>0</v>
      </c>
      <c r="P118" s="15"/>
      <c r="Q118" s="49"/>
      <c r="AD118" s="1338"/>
      <c r="AE118" s="1338"/>
      <c r="AF118" s="1338"/>
    </row>
    <row r="119" spans="1:32">
      <c r="A119" s="873"/>
      <c r="B119" s="874"/>
      <c r="C119" s="875"/>
      <c r="D119" s="876"/>
      <c r="E119" s="877"/>
      <c r="F119" s="877"/>
      <c r="G119" s="877"/>
      <c r="H119" s="877"/>
      <c r="I119" s="877"/>
      <c r="J119" s="878"/>
      <c r="K119" s="878"/>
      <c r="L119" s="879"/>
      <c r="M119" s="879"/>
      <c r="N119" s="879"/>
      <c r="O119" s="879"/>
      <c r="P119" s="877"/>
      <c r="Q119" s="877"/>
      <c r="AD119" s="1338"/>
      <c r="AE119" s="1338"/>
      <c r="AF119" s="1338"/>
    </row>
    <row r="120" spans="1:32">
      <c r="A120" s="60" t="s">
        <v>1900</v>
      </c>
      <c r="B120" s="164">
        <v>0</v>
      </c>
      <c r="C120" s="57"/>
      <c r="D120" s="58"/>
      <c r="E120" s="49">
        <f>IF(Talents!O36="No",B120*35,0)</f>
        <v>0</v>
      </c>
      <c r="F120" s="49"/>
      <c r="G120" s="49">
        <f>IF(Talents!O36="No",B120*20,0)</f>
        <v>0</v>
      </c>
      <c r="H120" s="49"/>
      <c r="I120" s="49"/>
      <c r="J120" s="49"/>
      <c r="T120" s="31"/>
      <c r="V120" s="27"/>
      <c r="W120" s="27"/>
      <c r="X120" s="27"/>
      <c r="Y120" s="27"/>
      <c r="Z120" s="46"/>
      <c r="AA120" s="19"/>
      <c r="AD120" s="1338"/>
      <c r="AE120" s="1338"/>
      <c r="AF120" s="1338"/>
    </row>
    <row r="121" spans="1:32">
      <c r="A121" s="60" t="s">
        <v>549</v>
      </c>
      <c r="B121" s="164">
        <v>0</v>
      </c>
      <c r="C121" s="57"/>
      <c r="D121" s="58"/>
      <c r="E121" s="49">
        <f>IF(Talents!O36="No",B121*25,0)</f>
        <v>0</v>
      </c>
      <c r="F121" s="49"/>
      <c r="G121" s="49">
        <f>IF(Talents!O36="No",B121*28,0)</f>
        <v>0</v>
      </c>
      <c r="H121" s="49"/>
      <c r="I121" s="49"/>
      <c r="J121" s="49"/>
      <c r="T121" s="31"/>
      <c r="V121" s="27"/>
      <c r="W121" s="27"/>
      <c r="X121" s="27"/>
      <c r="Y121" s="27"/>
      <c r="Z121" s="27"/>
      <c r="AA121" s="27"/>
      <c r="AD121" s="1338"/>
      <c r="AE121" s="1338"/>
      <c r="AF121" s="1338"/>
    </row>
    <row r="122" spans="1:32">
      <c r="A122" s="60" t="s">
        <v>1328</v>
      </c>
      <c r="B122" s="164">
        <v>0</v>
      </c>
      <c r="C122" s="57"/>
      <c r="D122" s="49"/>
      <c r="E122" s="49"/>
      <c r="F122" s="49">
        <f>IF(Talents!O36="No",B122*-10,0)</f>
        <v>0</v>
      </c>
      <c r="G122" s="49"/>
      <c r="H122" s="49"/>
      <c r="I122" s="49">
        <f>IF(Talents!O36="No",B122*90,0)</f>
        <v>0</v>
      </c>
      <c r="P122" s="49"/>
      <c r="Q122" s="49"/>
      <c r="AD122" s="1338"/>
      <c r="AE122" s="1338"/>
      <c r="AF122" s="1338"/>
    </row>
    <row r="123" spans="1:32">
      <c r="A123" s="60" t="s">
        <v>1329</v>
      </c>
      <c r="B123" s="164">
        <v>0</v>
      </c>
      <c r="C123" s="57"/>
      <c r="D123" s="49"/>
      <c r="E123" s="49"/>
      <c r="F123" s="49"/>
      <c r="G123" s="49"/>
      <c r="H123" s="49"/>
      <c r="I123" s="49">
        <f>IF(Talents!O36="No",B123*60,0)</f>
        <v>0</v>
      </c>
      <c r="P123" s="49"/>
      <c r="Q123" s="49"/>
      <c r="AD123" s="1338"/>
      <c r="AE123" s="1338"/>
      <c r="AF123" s="1338"/>
    </row>
    <row r="124" spans="1:32">
      <c r="A124" s="60" t="s">
        <v>1326</v>
      </c>
      <c r="B124" s="164">
        <v>0</v>
      </c>
      <c r="C124" s="57"/>
      <c r="D124" s="49"/>
      <c r="E124" s="49">
        <f>IF(Talents!O36="No",B124*25,0)</f>
        <v>0</v>
      </c>
      <c r="F124" s="49"/>
      <c r="G124" s="49"/>
      <c r="H124" s="49"/>
      <c r="I124" s="49"/>
      <c r="P124" s="49"/>
      <c r="Q124" s="49"/>
      <c r="AD124" s="1338"/>
      <c r="AE124" s="1338"/>
      <c r="AF124" s="1338"/>
    </row>
    <row r="125" spans="1:32">
      <c r="A125" s="872" t="s">
        <v>2883</v>
      </c>
      <c r="B125" s="164">
        <v>0</v>
      </c>
      <c r="C125" s="57"/>
      <c r="D125" s="22">
        <f>IF(Talents!O36="No",$B$125*15,0)</f>
        <v>0</v>
      </c>
      <c r="E125" s="22">
        <f>IF(Talents!O36="No",$B$125*15,0)</f>
        <v>0</v>
      </c>
      <c r="F125" s="22">
        <f>IF(Talents!O36="No",$B$125*15,0)</f>
        <v>0</v>
      </c>
      <c r="G125" s="49"/>
      <c r="H125" s="49"/>
      <c r="I125" s="49"/>
      <c r="P125" s="49"/>
      <c r="Q125" s="49"/>
      <c r="AD125" s="1338"/>
      <c r="AE125" s="1338"/>
      <c r="AF125" s="1338"/>
    </row>
    <row r="126" spans="1:32">
      <c r="A126" s="60" t="s">
        <v>1323</v>
      </c>
      <c r="B126" s="164">
        <v>0</v>
      </c>
      <c r="C126" s="57"/>
      <c r="D126" s="58"/>
      <c r="E126" s="49"/>
      <c r="F126" s="49"/>
      <c r="G126" s="49"/>
      <c r="H126" s="49"/>
      <c r="I126" s="49">
        <f>IF(Talents!O36="No",IF(OR(mobtype="Any",mobtype="Demon"),B126*265,0),0)</f>
        <v>0</v>
      </c>
      <c r="J126" s="49"/>
      <c r="T126" s="31"/>
      <c r="Y126" s="27"/>
      <c r="Z126" s="27"/>
      <c r="AA126" s="27"/>
      <c r="AD126" s="1338"/>
      <c r="AE126" s="1338"/>
      <c r="AF126" s="1338"/>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8"/>
      <c r="AE127" s="1338"/>
      <c r="AF127" s="1338"/>
    </row>
    <row r="128" spans="1:32">
      <c r="A128" s="872" t="s">
        <v>548</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8"/>
      <c r="AE128" s="1338"/>
      <c r="AF128" s="1338"/>
    </row>
    <row r="129" spans="1:32">
      <c r="A129" s="60" t="s">
        <v>1901</v>
      </c>
      <c r="B129" s="164">
        <v>0</v>
      </c>
      <c r="C129" s="57"/>
      <c r="D129" s="58"/>
      <c r="E129" s="49">
        <f>IF(Talents!O36="No",B129*20,0)</f>
        <v>0</v>
      </c>
      <c r="F129" s="49"/>
      <c r="G129" s="49"/>
      <c r="H129" s="49"/>
      <c r="I129" s="49"/>
      <c r="T129" s="31"/>
      <c r="V129" s="27"/>
      <c r="W129" s="27"/>
      <c r="X129" s="27"/>
      <c r="Y129" s="27"/>
      <c r="Z129" s="63"/>
      <c r="AA129" s="19"/>
      <c r="AD129" s="1338"/>
      <c r="AE129" s="1338"/>
      <c r="AF129" s="1338"/>
    </row>
    <row r="130" spans="1:32">
      <c r="A130" s="60" t="s">
        <v>1902</v>
      </c>
      <c r="B130" s="164">
        <v>0</v>
      </c>
      <c r="C130" s="57"/>
      <c r="E130" s="49"/>
      <c r="F130" s="49"/>
      <c r="G130" s="49"/>
      <c r="H130" s="49"/>
      <c r="I130" s="22">
        <f>IF(Talents!O36="No",B130*40,0)</f>
        <v>0</v>
      </c>
      <c r="J130" s="49"/>
      <c r="T130" s="31"/>
      <c r="V130" s="27"/>
      <c r="X130" s="27"/>
      <c r="Y130" s="27"/>
      <c r="Z130" s="63"/>
      <c r="AA130" s="19"/>
      <c r="AD130" s="1338"/>
      <c r="AE130" s="1338"/>
      <c r="AF130" s="1338"/>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8"/>
      <c r="AE131" s="1338"/>
      <c r="AF131" s="1338"/>
    </row>
    <row r="132" spans="1:32">
      <c r="A132" s="60" t="s">
        <v>1324</v>
      </c>
      <c r="B132" s="164">
        <v>1</v>
      </c>
      <c r="C132" s="57"/>
      <c r="E132" s="49">
        <f>IF(Talents!O36="No",B132*20,0)</f>
        <v>20</v>
      </c>
      <c r="F132" s="49"/>
      <c r="G132" s="49"/>
      <c r="H132" s="49"/>
      <c r="I132" s="49"/>
      <c r="T132" s="31"/>
      <c r="AD132" s="1338"/>
      <c r="AE132" s="1338"/>
      <c r="AF132" s="1338"/>
    </row>
    <row r="133" spans="1:32">
      <c r="A133" s="60" t="s">
        <v>1325</v>
      </c>
      <c r="B133" s="164">
        <v>1</v>
      </c>
      <c r="C133" s="57"/>
      <c r="D133" s="49">
        <f>IF(Talents!O36="No",B133*20,0)</f>
        <v>20</v>
      </c>
      <c r="E133" s="49"/>
      <c r="F133" s="49"/>
      <c r="G133" s="49"/>
      <c r="H133" s="49"/>
      <c r="J133" s="49"/>
      <c r="T133" s="31"/>
      <c r="AD133" s="1338"/>
      <c r="AE133" s="1338"/>
      <c r="AF133" s="1338"/>
    </row>
    <row r="134" spans="1:32">
      <c r="A134" s="873"/>
      <c r="B134" s="874"/>
      <c r="C134" s="880"/>
      <c r="D134" s="877"/>
      <c r="E134" s="877"/>
      <c r="F134" s="877"/>
      <c r="G134" s="877"/>
      <c r="H134" s="877"/>
      <c r="I134" s="878"/>
      <c r="J134" s="877"/>
      <c r="K134" s="878"/>
      <c r="L134" s="879"/>
      <c r="M134" s="879"/>
      <c r="N134" s="879"/>
      <c r="O134" s="879"/>
      <c r="P134" s="879"/>
      <c r="Q134" s="879"/>
      <c r="T134" s="31"/>
      <c r="AD134" s="1338"/>
      <c r="AE134" s="1338"/>
      <c r="AF134" s="1338"/>
    </row>
    <row r="135" spans="1:32">
      <c r="A135" s="60" t="s">
        <v>1333</v>
      </c>
      <c r="B135" s="164">
        <v>1</v>
      </c>
      <c r="C135" s="57"/>
      <c r="D135" s="49"/>
      <c r="E135" s="49"/>
      <c r="F135" s="49"/>
      <c r="G135" s="49"/>
      <c r="H135" s="49"/>
      <c r="I135" s="49"/>
      <c r="P135" s="23">
        <f>IF(Talents!O36="No",IF(time=0, B135*400*15/120, 0),0)</f>
        <v>0</v>
      </c>
      <c r="Q135" s="49"/>
      <c r="AD135" s="1338"/>
      <c r="AE135" s="1338"/>
      <c r="AF135" s="1338"/>
    </row>
    <row r="136" spans="1:32">
      <c r="A136" s="60" t="s">
        <v>1331</v>
      </c>
      <c r="B136" s="164">
        <v>1</v>
      </c>
      <c r="C136" s="57"/>
      <c r="D136" s="49"/>
      <c r="E136" s="49"/>
      <c r="F136" s="49"/>
      <c r="G136" s="49"/>
      <c r="H136" s="49"/>
      <c r="I136" s="49"/>
      <c r="P136" s="49">
        <f>IF(Talents!O36="No",IF(time=0, B136*80*30/120, 0),0)</f>
        <v>0</v>
      </c>
      <c r="Q136" s="49"/>
      <c r="AD136" s="1338"/>
      <c r="AE136" s="1338"/>
      <c r="AF136" s="1338"/>
    </row>
    <row r="137" spans="1:32" ht="13.5" customHeight="1">
      <c r="A137" s="60" t="s">
        <v>1330</v>
      </c>
      <c r="B137" s="164">
        <v>0</v>
      </c>
      <c r="C137" s="57"/>
      <c r="D137" s="49"/>
      <c r="E137" s="49"/>
      <c r="F137" s="49"/>
      <c r="G137" s="49"/>
      <c r="H137" s="49"/>
      <c r="I137" s="49">
        <f>IF(AND(Talents!O36="No",B136=0),IF(time=0, B137*60*30/120, 0),0)</f>
        <v>0</v>
      </c>
      <c r="P137" s="49"/>
      <c r="Q137" s="49"/>
      <c r="AD137" s="1338"/>
      <c r="AE137" s="1338"/>
      <c r="AF137" s="1338"/>
    </row>
    <row r="138" spans="1:32">
      <c r="A138" s="60" t="s">
        <v>1334</v>
      </c>
      <c r="B138" s="164">
        <v>1</v>
      </c>
      <c r="C138" s="57"/>
      <c r="D138" s="49"/>
      <c r="E138" s="49"/>
      <c r="F138" s="49"/>
      <c r="G138" s="49"/>
      <c r="H138" s="49"/>
      <c r="I138" s="49"/>
      <c r="P138" s="15"/>
      <c r="Q138" s="49"/>
      <c r="AD138" s="1338"/>
      <c r="AE138" s="1338"/>
      <c r="AF138" s="1338"/>
    </row>
    <row r="139" spans="1:32">
      <c r="A139" s="60" t="s">
        <v>1335</v>
      </c>
      <c r="B139" s="164">
        <v>0</v>
      </c>
      <c r="C139" s="57"/>
      <c r="D139" s="49"/>
      <c r="E139" s="49"/>
      <c r="F139" s="49"/>
      <c r="G139" s="49"/>
      <c r="H139" s="49"/>
      <c r="I139" s="49"/>
      <c r="P139" s="15"/>
      <c r="Q139" s="49"/>
      <c r="AD139" s="1338"/>
      <c r="AE139" s="1338"/>
      <c r="AF139" s="1338"/>
    </row>
    <row r="140" spans="1:32">
      <c r="A140" s="887" t="s">
        <v>2884</v>
      </c>
      <c r="B140" s="884">
        <v>0</v>
      </c>
      <c r="C140" s="57"/>
      <c r="D140" s="22"/>
      <c r="E140" s="22"/>
      <c r="F140" s="22"/>
      <c r="G140" s="22"/>
      <c r="H140" s="22">
        <f>IF(Talents!O36="No",B140*20,0)</f>
        <v>0</v>
      </c>
      <c r="I140" s="22"/>
      <c r="J140" s="21"/>
      <c r="K140" s="21"/>
      <c r="L140" s="50"/>
      <c r="M140" s="50"/>
      <c r="N140" s="50"/>
      <c r="O140" s="50"/>
      <c r="P140" s="22"/>
      <c r="Q140" s="22"/>
      <c r="AD140" s="1338"/>
      <c r="AE140" s="1338"/>
      <c r="AF140" s="1338"/>
    </row>
    <row r="141" spans="1:32">
      <c r="A141" s="60"/>
      <c r="B141" s="164"/>
      <c r="C141" s="27"/>
      <c r="D141" s="22"/>
      <c r="E141" s="49"/>
      <c r="F141" s="49"/>
      <c r="G141" s="49"/>
      <c r="H141" s="49"/>
      <c r="I141" s="49"/>
      <c r="P141" s="49"/>
      <c r="Q141" s="49"/>
      <c r="AD141" s="1338"/>
      <c r="AE141" s="1338"/>
      <c r="AF141" s="1338"/>
    </row>
    <row r="142" spans="1:32" ht="13.5" thickBot="1">
      <c r="B142" s="15"/>
      <c r="C142" s="15"/>
      <c r="D142" s="189"/>
      <c r="E142" s="15"/>
      <c r="F142" s="15"/>
      <c r="G142" s="15"/>
      <c r="H142" s="15"/>
      <c r="I142" s="15"/>
      <c r="J142" s="15"/>
      <c r="K142" s="15"/>
      <c r="L142" s="15"/>
      <c r="M142" s="15"/>
      <c r="N142" s="15"/>
      <c r="O142" s="15"/>
      <c r="P142" s="15"/>
      <c r="Q142" s="15"/>
      <c r="R142" s="15"/>
      <c r="S142" s="15"/>
      <c r="AD142" s="1338"/>
      <c r="AE142" s="1338"/>
      <c r="AF142" s="1338"/>
    </row>
    <row r="143" spans="1:32" ht="13.5" thickBot="1">
      <c r="B143" s="1427" t="s">
        <v>3043</v>
      </c>
      <c r="C143" s="1428"/>
      <c r="D143" s="1150">
        <f>D78+SUM(D80:D141)</f>
        <v>262.68</v>
      </c>
      <c r="E143" s="1150">
        <f>E78+SUM(E80:E141)*(1+Talents!F33/100)*(1+Talents!I36*3/100)</f>
        <v>787.66628120336588</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3165.5289383329646</v>
      </c>
      <c r="J143" s="1150">
        <f>SUM(J78:J141)</f>
        <v>0</v>
      </c>
      <c r="K143" s="1150">
        <f>SUM(K78:K141)</f>
        <v>0</v>
      </c>
      <c r="L143" s="1150">
        <f>SUM(L78:L141)</f>
        <v>53.42307692307692</v>
      </c>
      <c r="M143" s="1150">
        <f>SUM(M78:M141)</f>
        <v>0</v>
      </c>
      <c r="N143" s="1150"/>
      <c r="O143" s="1150"/>
      <c r="P143" s="1150">
        <f>SUM(P78:P142)</f>
        <v>127.49804426656831</v>
      </c>
      <c r="Q143" s="1151">
        <f>SUM(Q78:Q142)</f>
        <v>4010</v>
      </c>
      <c r="AD143" s="1338"/>
      <c r="AE143" s="1338"/>
      <c r="AF143" s="1338"/>
    </row>
    <row r="144" spans="1:32">
      <c r="Q144" s="15"/>
      <c r="R144" s="15"/>
      <c r="S144" s="15"/>
      <c r="AD144" s="1338"/>
      <c r="AE144" s="1338"/>
      <c r="AF144" s="1338"/>
    </row>
    <row r="145" spans="1:32" ht="13.5" thickBot="1">
      <c r="A145" s="312" t="s">
        <v>1678</v>
      </c>
      <c r="Q145" s="15"/>
      <c r="R145" s="15"/>
      <c r="S145" s="15"/>
      <c r="AD145" s="1338"/>
      <c r="AE145" s="1338"/>
      <c r="AF145" s="1338"/>
    </row>
    <row r="146" spans="1:32" ht="13.5" thickBot="1">
      <c r="B146" s="649" t="s">
        <v>1598</v>
      </c>
      <c r="C146" s="619"/>
      <c r="D146" s="636" t="s">
        <v>1213</v>
      </c>
      <c r="E146" s="636" t="s">
        <v>1214</v>
      </c>
      <c r="F146" s="636" t="s">
        <v>1215</v>
      </c>
      <c r="G146" s="637" t="s">
        <v>2139</v>
      </c>
      <c r="H146" s="637" t="s">
        <v>2138</v>
      </c>
      <c r="I146" s="636" t="s">
        <v>767</v>
      </c>
      <c r="J146" s="636" t="s">
        <v>1216</v>
      </c>
      <c r="K146" s="636" t="s">
        <v>2143</v>
      </c>
      <c r="L146" s="638" t="s">
        <v>1581</v>
      </c>
      <c r="M146" s="636" t="s">
        <v>2165</v>
      </c>
      <c r="N146" s="636"/>
      <c r="O146" s="636"/>
      <c r="P146" s="638" t="s">
        <v>770</v>
      </c>
      <c r="Q146" s="639" t="s">
        <v>769</v>
      </c>
      <c r="R146" s="638" t="s">
        <v>1219</v>
      </c>
      <c r="S146" s="638" t="s">
        <v>1727</v>
      </c>
      <c r="T146" s="638" t="s">
        <v>1221</v>
      </c>
      <c r="U146" s="638" t="s">
        <v>1222</v>
      </c>
      <c r="V146" s="640" t="s">
        <v>1223</v>
      </c>
      <c r="AD146" s="1338"/>
      <c r="AE146" s="1338"/>
      <c r="AF146" s="1338"/>
    </row>
    <row r="147" spans="1:32">
      <c r="A147" s="312" t="s">
        <v>14</v>
      </c>
      <c r="B147" s="44" t="s">
        <v>1595</v>
      </c>
      <c r="C147" s="44"/>
      <c r="D147" s="44"/>
      <c r="E147" s="315"/>
      <c r="F147" s="315"/>
      <c r="G147" s="315"/>
      <c r="H147" s="315"/>
      <c r="I147" s="315"/>
      <c r="J147" s="315"/>
      <c r="K147" s="315"/>
      <c r="L147" s="315"/>
      <c r="M147" s="315"/>
      <c r="N147" s="315"/>
      <c r="O147" s="315"/>
      <c r="P147" s="315"/>
      <c r="Q147" s="315"/>
      <c r="R147" s="313" t="s">
        <v>1032</v>
      </c>
      <c r="S147" s="314"/>
      <c r="T147" s="15">
        <v>1</v>
      </c>
      <c r="U147" s="15">
        <v>1</v>
      </c>
      <c r="V147" s="15">
        <v>2</v>
      </c>
      <c r="AD147" s="1338"/>
      <c r="AE147" s="1338"/>
      <c r="AF147" s="1338"/>
    </row>
    <row r="148" spans="1:32">
      <c r="A148" s="312" t="s">
        <v>15</v>
      </c>
      <c r="B148" s="44" t="s">
        <v>1596</v>
      </c>
      <c r="C148" s="44"/>
      <c r="D148" s="44"/>
      <c r="E148" s="315"/>
      <c r="F148" s="315"/>
      <c r="G148" s="315"/>
      <c r="H148" s="315"/>
      <c r="I148" s="315"/>
      <c r="J148" s="315"/>
      <c r="K148" s="315"/>
      <c r="L148" s="315"/>
      <c r="M148" s="315"/>
      <c r="N148" s="315"/>
      <c r="O148" s="315"/>
      <c r="P148" s="315"/>
      <c r="Q148" s="315"/>
      <c r="R148" s="313" t="s">
        <v>1032</v>
      </c>
      <c r="S148" s="314"/>
      <c r="T148" s="15">
        <v>1</v>
      </c>
      <c r="U148" s="15">
        <v>1</v>
      </c>
      <c r="V148" s="15">
        <v>2</v>
      </c>
      <c r="AD148" s="1338"/>
      <c r="AE148" s="1338"/>
      <c r="AF148" s="1338"/>
    </row>
    <row r="149" spans="1:32">
      <c r="A149" s="312" t="s">
        <v>1720</v>
      </c>
      <c r="B149" s="44" t="s">
        <v>1597</v>
      </c>
      <c r="C149" s="44"/>
      <c r="D149" s="44"/>
      <c r="E149" s="315"/>
      <c r="F149" s="315"/>
      <c r="G149" s="315"/>
      <c r="H149" s="315"/>
      <c r="I149" s="315"/>
      <c r="J149" s="315"/>
      <c r="K149" s="315"/>
      <c r="L149" s="315"/>
      <c r="M149" s="315"/>
      <c r="N149" s="315"/>
      <c r="O149" s="315"/>
      <c r="P149" s="315"/>
      <c r="Q149" s="315"/>
      <c r="R149" s="313" t="s">
        <v>1032</v>
      </c>
      <c r="S149" s="314"/>
      <c r="T149" s="15">
        <v>1</v>
      </c>
      <c r="U149" s="15">
        <v>1</v>
      </c>
      <c r="V149" s="15">
        <v>2</v>
      </c>
      <c r="AD149" s="1338"/>
      <c r="AE149" s="1338"/>
      <c r="AF149" s="1338"/>
    </row>
    <row r="150" spans="1:32">
      <c r="A150" s="312" t="s">
        <v>1721</v>
      </c>
      <c r="B150" s="44" t="s">
        <v>1599</v>
      </c>
      <c r="C150" s="44"/>
      <c r="D150" s="44"/>
      <c r="E150" s="315"/>
      <c r="F150" s="315"/>
      <c r="G150" s="315"/>
      <c r="H150" s="315"/>
      <c r="I150" s="315"/>
      <c r="J150" s="315"/>
      <c r="K150" s="315"/>
      <c r="L150" s="315"/>
      <c r="M150" s="315"/>
      <c r="N150" s="315"/>
      <c r="O150" s="315"/>
      <c r="P150" s="315"/>
      <c r="Q150" s="315"/>
      <c r="R150" s="313" t="s">
        <v>1032</v>
      </c>
      <c r="S150" s="314"/>
      <c r="T150" s="15">
        <v>1</v>
      </c>
      <c r="U150" s="15">
        <v>1</v>
      </c>
      <c r="V150" s="15">
        <v>2</v>
      </c>
      <c r="AD150" s="1338"/>
      <c r="AE150" s="1338"/>
      <c r="AF150" s="1338"/>
    </row>
    <row r="151" spans="1:32">
      <c r="A151" s="312" t="s">
        <v>1722</v>
      </c>
      <c r="B151" s="44" t="s">
        <v>1600</v>
      </c>
      <c r="C151" s="44"/>
      <c r="D151" s="44"/>
      <c r="E151" s="315"/>
      <c r="F151" s="315"/>
      <c r="G151" s="315"/>
      <c r="H151" s="315"/>
      <c r="I151" s="315"/>
      <c r="J151" s="315"/>
      <c r="K151" s="315"/>
      <c r="L151" s="315"/>
      <c r="M151" s="315"/>
      <c r="N151" s="315"/>
      <c r="O151" s="315"/>
      <c r="P151" s="315"/>
      <c r="Q151" s="315"/>
      <c r="R151" s="313" t="s">
        <v>1032</v>
      </c>
      <c r="S151" s="314"/>
      <c r="T151" s="15">
        <v>1</v>
      </c>
      <c r="U151" s="15">
        <v>1</v>
      </c>
      <c r="V151" s="15">
        <v>2</v>
      </c>
      <c r="AD151" s="1338"/>
      <c r="AE151" s="1338"/>
      <c r="AF151" s="1338"/>
    </row>
    <row r="152" spans="1:32">
      <c r="A152" s="312" t="s">
        <v>1723</v>
      </c>
      <c r="B152" s="44" t="s">
        <v>1601</v>
      </c>
      <c r="C152" s="44"/>
      <c r="D152" s="44"/>
      <c r="E152" s="315"/>
      <c r="F152" s="315"/>
      <c r="G152" s="315"/>
      <c r="H152" s="315"/>
      <c r="I152" s="315"/>
      <c r="J152" s="315"/>
      <c r="K152" s="315"/>
      <c r="L152" s="315"/>
      <c r="M152" s="315"/>
      <c r="N152" s="315"/>
      <c r="O152" s="315"/>
      <c r="P152" s="315"/>
      <c r="Q152" s="315"/>
      <c r="R152" s="313" t="s">
        <v>1032</v>
      </c>
      <c r="S152" s="314"/>
      <c r="T152" s="15">
        <v>1</v>
      </c>
      <c r="U152" s="15">
        <v>1</v>
      </c>
      <c r="V152" s="15">
        <v>2</v>
      </c>
      <c r="AD152" s="1338"/>
      <c r="AE152" s="1338"/>
      <c r="AF152" s="1338"/>
    </row>
    <row r="153" spans="1:32">
      <c r="A153" s="312" t="s">
        <v>1724</v>
      </c>
      <c r="B153" s="44" t="s">
        <v>1602</v>
      </c>
      <c r="C153" s="44"/>
      <c r="D153" s="44"/>
      <c r="E153" s="315"/>
      <c r="F153" s="315"/>
      <c r="G153" s="315"/>
      <c r="H153" s="315"/>
      <c r="I153" s="315"/>
      <c r="J153" s="315"/>
      <c r="K153" s="315"/>
      <c r="L153" s="315"/>
      <c r="M153" s="315"/>
      <c r="N153" s="315"/>
      <c r="O153" s="315"/>
      <c r="P153" s="315"/>
      <c r="Q153" s="315"/>
      <c r="R153" s="313" t="s">
        <v>1032</v>
      </c>
      <c r="S153" s="314"/>
      <c r="T153" s="15">
        <v>1</v>
      </c>
      <c r="U153" s="15">
        <v>1</v>
      </c>
      <c r="V153" s="15">
        <v>2</v>
      </c>
      <c r="AD153" s="1338"/>
      <c r="AE153" s="1338"/>
      <c r="AF153" s="1338"/>
    </row>
    <row r="154" spans="1:32">
      <c r="A154" s="312" t="s">
        <v>1725</v>
      </c>
      <c r="B154" s="44" t="s">
        <v>1603</v>
      </c>
      <c r="C154" s="44"/>
      <c r="D154" s="44"/>
      <c r="E154" s="315"/>
      <c r="F154" s="315"/>
      <c r="G154" s="315"/>
      <c r="H154" s="315"/>
      <c r="I154" s="315"/>
      <c r="J154" s="315"/>
      <c r="K154" s="315"/>
      <c r="L154" s="315"/>
      <c r="M154" s="315"/>
      <c r="N154" s="315"/>
      <c r="O154" s="315"/>
      <c r="P154" s="315"/>
      <c r="Q154" s="315"/>
      <c r="R154" s="313" t="s">
        <v>1032</v>
      </c>
      <c r="S154" s="314"/>
      <c r="T154" s="15">
        <v>1</v>
      </c>
      <c r="U154" s="15">
        <v>1</v>
      </c>
      <c r="V154" s="15">
        <v>2</v>
      </c>
      <c r="AD154" s="1338"/>
      <c r="AE154" s="1338"/>
      <c r="AF154" s="1338"/>
    </row>
    <row r="155" spans="1:32">
      <c r="A155" s="312" t="s">
        <v>2207</v>
      </c>
      <c r="B155" s="44" t="s">
        <v>1726</v>
      </c>
      <c r="C155" s="44"/>
      <c r="D155" s="44"/>
      <c r="E155" s="315"/>
      <c r="F155" s="315"/>
      <c r="G155" s="315"/>
      <c r="H155" s="315"/>
      <c r="I155" s="315"/>
      <c r="J155" s="315"/>
      <c r="K155" s="315"/>
      <c r="L155" s="315"/>
      <c r="M155" s="315"/>
      <c r="N155" s="315"/>
      <c r="O155" s="315"/>
      <c r="P155" s="315"/>
      <c r="Q155" s="315"/>
      <c r="R155" s="313" t="s">
        <v>1032</v>
      </c>
      <c r="S155" s="314"/>
      <c r="T155" s="20"/>
      <c r="U155" s="20"/>
      <c r="V155" s="20"/>
      <c r="AD155" s="1338"/>
      <c r="AE155" s="1338"/>
      <c r="AF155" s="1338"/>
    </row>
    <row r="156" spans="1:32">
      <c r="A156" s="312" t="s">
        <v>460</v>
      </c>
      <c r="B156" s="44" t="s">
        <v>1726</v>
      </c>
      <c r="C156" s="44"/>
      <c r="D156" s="44"/>
      <c r="E156" s="315"/>
      <c r="F156" s="315"/>
      <c r="G156" s="315"/>
      <c r="H156" s="315"/>
      <c r="I156" s="315"/>
      <c r="J156" s="315"/>
      <c r="K156" s="315"/>
      <c r="L156" s="315"/>
      <c r="M156" s="315"/>
      <c r="N156" s="315"/>
      <c r="O156" s="315"/>
      <c r="P156" s="315"/>
      <c r="Q156" s="315"/>
      <c r="R156" s="313" t="s">
        <v>1047</v>
      </c>
      <c r="S156" s="314"/>
      <c r="T156" s="20"/>
      <c r="U156" s="20"/>
      <c r="V156" s="20"/>
      <c r="AD156" s="1338"/>
      <c r="AE156" s="1338"/>
      <c r="AF156" s="1338"/>
    </row>
    <row r="157" spans="1:32">
      <c r="A157" s="312" t="s">
        <v>437</v>
      </c>
      <c r="B157" s="44" t="s">
        <v>1726</v>
      </c>
      <c r="C157" s="44"/>
      <c r="D157" s="44"/>
      <c r="E157" s="315"/>
      <c r="F157" s="315"/>
      <c r="G157" s="315"/>
      <c r="H157" s="315"/>
      <c r="I157" s="315"/>
      <c r="J157" s="315"/>
      <c r="K157" s="315"/>
      <c r="L157" s="315"/>
      <c r="M157" s="315"/>
      <c r="N157" s="315"/>
      <c r="O157" s="315"/>
      <c r="P157" s="315"/>
      <c r="Q157" s="315"/>
      <c r="R157" s="313" t="s">
        <v>1032</v>
      </c>
      <c r="S157" s="314"/>
      <c r="T157" s="20"/>
      <c r="U157" s="20"/>
      <c r="V157" s="20"/>
      <c r="AD157" s="1338"/>
      <c r="AE157" s="1338"/>
      <c r="AF157" s="1338"/>
    </row>
    <row r="158" spans="1:32">
      <c r="A158" s="312" t="s">
        <v>659</v>
      </c>
      <c r="B158" s="44" t="s">
        <v>1726</v>
      </c>
      <c r="C158" s="44"/>
      <c r="D158" s="44"/>
      <c r="E158" s="315"/>
      <c r="F158" s="315"/>
      <c r="G158" s="315"/>
      <c r="H158" s="315"/>
      <c r="I158" s="315"/>
      <c r="J158" s="315"/>
      <c r="K158" s="315"/>
      <c r="L158" s="315"/>
      <c r="M158" s="315"/>
      <c r="N158" s="315"/>
      <c r="O158" s="315"/>
      <c r="P158" s="315"/>
      <c r="Q158" s="315"/>
      <c r="R158" s="313" t="s">
        <v>1032</v>
      </c>
      <c r="S158" s="314"/>
      <c r="T158" s="20"/>
      <c r="U158" s="20"/>
      <c r="V158" s="20"/>
      <c r="AD158" s="1338"/>
      <c r="AE158" s="1338"/>
      <c r="AF158" s="1338"/>
    </row>
    <row r="159" spans="1:32">
      <c r="A159" s="312" t="s">
        <v>1116</v>
      </c>
      <c r="B159" s="44" t="s">
        <v>1726</v>
      </c>
      <c r="C159" s="44"/>
      <c r="D159" s="44"/>
      <c r="E159" s="315"/>
      <c r="F159" s="315"/>
      <c r="G159" s="315"/>
      <c r="H159" s="315"/>
      <c r="I159" s="315"/>
      <c r="J159" s="315"/>
      <c r="K159" s="315"/>
      <c r="L159" s="315"/>
      <c r="M159" s="315"/>
      <c r="N159" s="315"/>
      <c r="O159" s="315"/>
      <c r="P159" s="315"/>
      <c r="Q159" s="315"/>
      <c r="R159" s="313" t="s">
        <v>1032</v>
      </c>
      <c r="S159" s="314"/>
      <c r="T159" s="20"/>
      <c r="U159" s="20"/>
      <c r="V159" s="20"/>
      <c r="AD159" s="1338"/>
      <c r="AE159" s="1338"/>
      <c r="AF159" s="1338"/>
    </row>
    <row r="160" spans="1:32">
      <c r="A160" s="312" t="s">
        <v>1123</v>
      </c>
      <c r="B160" s="44" t="s">
        <v>1726</v>
      </c>
      <c r="C160" s="44"/>
      <c r="D160" s="44"/>
      <c r="E160" s="315"/>
      <c r="F160" s="315"/>
      <c r="G160" s="315"/>
      <c r="H160" s="315"/>
      <c r="I160" s="315"/>
      <c r="J160" s="315"/>
      <c r="K160" s="315"/>
      <c r="L160" s="315"/>
      <c r="M160" s="315"/>
      <c r="N160" s="315"/>
      <c r="O160" s="315"/>
      <c r="P160" s="315"/>
      <c r="Q160" s="315"/>
      <c r="R160" s="313" t="s">
        <v>1032</v>
      </c>
      <c r="S160" s="314"/>
      <c r="T160" s="20"/>
      <c r="U160" s="20"/>
      <c r="V160" s="20"/>
      <c r="AD160" s="1338"/>
      <c r="AE160" s="1338"/>
      <c r="AF160" s="1338"/>
    </row>
    <row r="161" spans="1:32">
      <c r="A161" s="312" t="s">
        <v>59</v>
      </c>
      <c r="B161" s="44" t="s">
        <v>1726</v>
      </c>
      <c r="C161" s="44"/>
      <c r="D161" s="44"/>
      <c r="E161" s="315"/>
      <c r="F161" s="315"/>
      <c r="G161" s="315"/>
      <c r="H161" s="315"/>
      <c r="I161" s="315"/>
      <c r="J161" s="315"/>
      <c r="K161" s="315"/>
      <c r="L161" s="315"/>
      <c r="M161" s="315"/>
      <c r="N161" s="315"/>
      <c r="O161" s="315"/>
      <c r="P161" s="315"/>
      <c r="Q161" s="315"/>
      <c r="R161" s="313" t="s">
        <v>1032</v>
      </c>
      <c r="S161" s="314"/>
      <c r="T161" s="20"/>
      <c r="U161" s="20"/>
      <c r="V161" s="20"/>
      <c r="AD161" s="1338"/>
      <c r="AE161" s="1338"/>
      <c r="AF161" s="1338"/>
    </row>
    <row r="162" spans="1:32">
      <c r="A162" s="312" t="s">
        <v>2074</v>
      </c>
      <c r="B162" s="44" t="s">
        <v>1726</v>
      </c>
      <c r="C162" s="44"/>
      <c r="D162" s="44"/>
      <c r="E162" s="315"/>
      <c r="F162" s="315"/>
      <c r="G162" s="315"/>
      <c r="H162" s="315"/>
      <c r="I162" s="315"/>
      <c r="J162" s="315"/>
      <c r="K162" s="315"/>
      <c r="L162" s="315"/>
      <c r="M162" s="315"/>
      <c r="N162" s="315"/>
      <c r="O162" s="315"/>
      <c r="P162" s="315"/>
      <c r="Q162" s="315"/>
      <c r="R162" s="313" t="s">
        <v>1032</v>
      </c>
      <c r="S162" s="314"/>
      <c r="T162" s="20"/>
      <c r="U162" s="20"/>
      <c r="V162" s="20"/>
      <c r="AD162" s="1338"/>
      <c r="AE162" s="1338"/>
      <c r="AF162" s="1338"/>
    </row>
    <row r="163" spans="1:32">
      <c r="A163" s="312" t="s">
        <v>2077</v>
      </c>
      <c r="B163" s="44" t="s">
        <v>1726</v>
      </c>
      <c r="C163" s="44"/>
      <c r="D163" s="44"/>
      <c r="E163" s="315"/>
      <c r="F163" s="315"/>
      <c r="G163" s="315"/>
      <c r="H163" s="315"/>
      <c r="I163" s="315"/>
      <c r="J163" s="315"/>
      <c r="K163" s="315"/>
      <c r="L163" s="315"/>
      <c r="M163" s="315"/>
      <c r="N163" s="315"/>
      <c r="O163" s="315"/>
      <c r="P163" s="315"/>
      <c r="Q163" s="315"/>
      <c r="R163" s="313" t="s">
        <v>1032</v>
      </c>
      <c r="S163" s="314"/>
      <c r="T163" s="20"/>
      <c r="U163" s="20"/>
      <c r="V163" s="20"/>
      <c r="AD163" s="1338"/>
      <c r="AE163" s="1338"/>
      <c r="AF163" s="1338"/>
    </row>
    <row r="164" spans="1:32">
      <c r="A164" s="312" t="s">
        <v>2079</v>
      </c>
      <c r="B164" s="44" t="s">
        <v>1726</v>
      </c>
      <c r="C164" s="44"/>
      <c r="D164" s="44"/>
      <c r="E164" s="315"/>
      <c r="F164" s="315"/>
      <c r="G164" s="315"/>
      <c r="H164" s="315"/>
      <c r="I164" s="315"/>
      <c r="J164" s="315"/>
      <c r="K164" s="315"/>
      <c r="L164" s="315"/>
      <c r="M164" s="315"/>
      <c r="N164" s="315"/>
      <c r="O164" s="315"/>
      <c r="P164" s="315"/>
      <c r="Q164" s="315"/>
      <c r="R164" s="313" t="s">
        <v>1032</v>
      </c>
      <c r="S164" s="314"/>
      <c r="T164" s="20"/>
      <c r="U164" s="20"/>
      <c r="V164" s="20"/>
      <c r="AD164" s="1338"/>
      <c r="AE164" s="1338"/>
      <c r="AF164" s="1338"/>
    </row>
    <row r="165" spans="1:32">
      <c r="A165" s="312" t="s">
        <v>1414</v>
      </c>
      <c r="B165" s="44" t="s">
        <v>1726</v>
      </c>
      <c r="C165" s="44"/>
      <c r="D165" s="44"/>
      <c r="E165" s="315"/>
      <c r="F165" s="315"/>
      <c r="G165" s="315"/>
      <c r="H165" s="315"/>
      <c r="I165" s="315"/>
      <c r="J165" s="315"/>
      <c r="K165" s="315"/>
      <c r="L165" s="315"/>
      <c r="M165" s="315"/>
      <c r="N165" s="315"/>
      <c r="O165" s="315"/>
      <c r="P165" s="315"/>
      <c r="Q165" s="315"/>
      <c r="R165" s="313" t="s">
        <v>1032</v>
      </c>
      <c r="S165" s="314"/>
      <c r="T165" s="20"/>
      <c r="U165" s="20"/>
      <c r="V165" s="20"/>
      <c r="AD165" s="1338"/>
      <c r="AE165" s="1338"/>
      <c r="AF165" s="1338"/>
    </row>
    <row r="166" spans="1:32">
      <c r="A166" s="312" t="s">
        <v>669</v>
      </c>
      <c r="B166" s="44" t="s">
        <v>1726</v>
      </c>
      <c r="C166" s="44"/>
      <c r="D166" s="44"/>
      <c r="E166" s="315"/>
      <c r="F166" s="315"/>
      <c r="G166" s="315"/>
      <c r="H166" s="315"/>
      <c r="I166" s="315"/>
      <c r="J166" s="315"/>
      <c r="K166" s="315"/>
      <c r="L166" s="315"/>
      <c r="M166" s="315"/>
      <c r="N166" s="315"/>
      <c r="O166" s="315"/>
      <c r="P166" s="315"/>
      <c r="Q166" s="315"/>
      <c r="R166" s="313" t="s">
        <v>1032</v>
      </c>
      <c r="S166" s="314"/>
      <c r="T166" s="20"/>
      <c r="U166" s="20"/>
      <c r="V166" s="20"/>
      <c r="AD166" s="1338"/>
      <c r="AE166" s="1338"/>
      <c r="AF166" s="1338"/>
    </row>
    <row r="167" spans="1:32">
      <c r="A167" s="312" t="s">
        <v>669</v>
      </c>
      <c r="B167" s="44" t="s">
        <v>107</v>
      </c>
      <c r="C167" s="44"/>
      <c r="D167" s="44"/>
      <c r="E167" s="315"/>
      <c r="F167" s="315"/>
      <c r="G167" s="315"/>
      <c r="H167" s="315"/>
      <c r="I167" s="315"/>
      <c r="J167" s="315"/>
      <c r="K167" s="315"/>
      <c r="L167" s="315"/>
      <c r="M167" s="315"/>
      <c r="N167" s="315"/>
      <c r="O167" s="315"/>
      <c r="P167" s="315"/>
      <c r="Q167" s="315"/>
      <c r="R167" s="313" t="s">
        <v>1032</v>
      </c>
      <c r="S167" s="314"/>
      <c r="T167" s="20"/>
      <c r="U167" s="20"/>
      <c r="V167" s="20"/>
      <c r="AD167" s="1338"/>
      <c r="AE167" s="1338"/>
      <c r="AF167" s="1338"/>
    </row>
    <row r="168" spans="1:32">
      <c r="A168" s="312" t="s">
        <v>670</v>
      </c>
      <c r="B168" s="44" t="s">
        <v>1726</v>
      </c>
      <c r="C168" s="44"/>
      <c r="D168" s="44"/>
      <c r="E168" s="315"/>
      <c r="F168" s="315"/>
      <c r="G168" s="315"/>
      <c r="H168" s="315"/>
      <c r="I168" s="315"/>
      <c r="J168" s="315"/>
      <c r="K168" s="315"/>
      <c r="L168" s="315"/>
      <c r="M168" s="315"/>
      <c r="N168" s="315"/>
      <c r="O168" s="315"/>
      <c r="P168" s="315"/>
      <c r="Q168" s="315"/>
      <c r="R168" s="313" t="s">
        <v>1032</v>
      </c>
      <c r="S168" s="314"/>
      <c r="T168" s="20"/>
      <c r="U168" s="20"/>
      <c r="V168" s="20"/>
      <c r="AD168" s="1338"/>
      <c r="AE168" s="1338"/>
      <c r="AF168" s="1338"/>
    </row>
    <row r="169" spans="1:32">
      <c r="A169" s="312" t="s">
        <v>670</v>
      </c>
      <c r="B169" s="44" t="s">
        <v>107</v>
      </c>
      <c r="C169" s="44"/>
      <c r="D169" s="44"/>
      <c r="E169" s="315"/>
      <c r="F169" s="315"/>
      <c r="G169" s="315"/>
      <c r="H169" s="315"/>
      <c r="I169" s="315"/>
      <c r="J169" s="315"/>
      <c r="K169" s="315"/>
      <c r="L169" s="315"/>
      <c r="M169" s="315"/>
      <c r="N169" s="315"/>
      <c r="O169" s="315"/>
      <c r="P169" s="315"/>
      <c r="Q169" s="315"/>
      <c r="R169" s="313" t="s">
        <v>1032</v>
      </c>
      <c r="S169" s="314"/>
      <c r="T169" s="20"/>
      <c r="U169" s="20"/>
      <c r="V169" s="20"/>
      <c r="AD169" s="1338"/>
      <c r="AE169" s="1338"/>
      <c r="AF169" s="1338"/>
    </row>
    <row r="170" spans="1:32">
      <c r="AD170" s="1338"/>
      <c r="AE170" s="1338"/>
      <c r="AF170" s="1338"/>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4" priority="471" stopIfTrue="1">
      <formula>$X23</formula>
    </cfRule>
  </conditionalFormatting>
  <conditionalFormatting sqref="C8">
    <cfRule type="cellIs" dxfId="83" priority="18" stopIfTrue="1" operator="greaterThan">
      <formula>0</formula>
    </cfRule>
    <cfRule type="cellIs" dxfId="82" priority="19" stopIfTrue="1" operator="equal">
      <formula>0</formula>
    </cfRule>
    <cfRule type="cellIs" dxfId="81"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80" priority="488" stopIfTrue="1">
      <formula>$C13</formula>
    </cfRule>
  </conditionalFormatting>
  <conditionalFormatting sqref="U29:X29">
    <cfRule type="expression" dxfId="79" priority="489" stopIfTrue="1">
      <formula>$X29</formula>
    </cfRule>
  </conditionalFormatting>
  <conditionalFormatting sqref="A86">
    <cfRule type="expression" dxfId="78" priority="12" stopIfTrue="1">
      <formula>AND($B$77=1, OR(PlayerRace="Undead", PlayerRace="Orc", PlayerRace="Troll"))</formula>
    </cfRule>
  </conditionalFormatting>
  <conditionalFormatting sqref="A104">
    <cfRule type="expression" dxfId="77" priority="11" stopIfTrue="1">
      <formula>AND($B$77=1, OR(PlayerRace="Undead", PlayerRace="Orc", PlayerRace="Troll"))</formula>
    </cfRule>
  </conditionalFormatting>
  <conditionalFormatting sqref="A108">
    <cfRule type="expression" dxfId="76" priority="7" stopIfTrue="1">
      <formula>AND($B$82=1, OR(PlayerRace="Gnome", PlayerRace="Dwarf", PlayerRace="Human", PlayerRace="Night Elf"))</formula>
    </cfRule>
  </conditionalFormatting>
  <conditionalFormatting sqref="A109:A111 A113:A114">
    <cfRule type="expression" dxfId="75" priority="6" stopIfTrue="1">
      <formula>AND($B$82=1, OR(PlayerRace="Gnome", PlayerRace="Dwarf", PlayerRace="Human", PlayerRace="Night Elf"))</formula>
    </cfRule>
  </conditionalFormatting>
  <conditionalFormatting sqref="U24:U25 X24:X25">
    <cfRule type="expression" dxfId="74" priority="5" stopIfTrue="1">
      <formula>$X24</formula>
    </cfRule>
  </conditionalFormatting>
  <conditionalFormatting sqref="D8">
    <cfRule type="cellIs" dxfId="73" priority="2" stopIfTrue="1" operator="greaterThan">
      <formula>0</formula>
    </cfRule>
    <cfRule type="cellIs" dxfId="72" priority="3" stopIfTrue="1" operator="equal">
      <formula>0</formula>
    </cfRule>
    <cfRule type="cellIs" dxfId="71" priority="4" stopIfTrue="1" operator="lessThan">
      <formula>9</formula>
    </cfRule>
  </conditionalFormatting>
  <conditionalFormatting sqref="C13:C15 C19:C21 C23:C25 C28:C31 C33:C34 C37:C38 C41 C44:C46 C49 C52:C53 C55:C56 C59:C61 C64:C65">
    <cfRule type="expression" dxfId="70" priority="1" stopIfTrue="1">
      <formula>$C13</formula>
    </cfRule>
  </conditionalFormatting>
  <conditionalFormatting sqref="A29">
    <cfRule type="expression" dxfId="69" priority="490" stopIfTrue="1">
      <formula>AC13</formula>
    </cfRule>
  </conditionalFormatting>
  <conditionalFormatting sqref="A41 A33">
    <cfRule type="expression" dxfId="68" priority="491" stopIfTrue="1">
      <formula>AC14</formula>
    </cfRule>
  </conditionalFormatting>
  <conditionalFormatting sqref="A59">
    <cfRule type="expression" dxfId="67" priority="493" stopIfTrue="1">
      <formula>AC20</formula>
    </cfRule>
  </conditionalFormatting>
  <conditionalFormatting sqref="A49">
    <cfRule type="expression" dxfId="66" priority="494" stopIfTrue="1">
      <formula>AC17</formula>
    </cfRule>
  </conditionalFormatting>
  <conditionalFormatting sqref="A52">
    <cfRule type="expression" dxfId="65" priority="495" stopIfTrue="1">
      <formula>AC18</formula>
    </cfRule>
  </conditionalFormatting>
  <conditionalFormatting sqref="A55">
    <cfRule type="expression" dxfId="64" priority="496" stopIfTrue="1">
      <formula>AC19</formula>
    </cfRule>
  </conditionalFormatting>
  <conditionalFormatting sqref="A64">
    <cfRule type="expression" dxfId="63" priority="497" stopIfTrue="1">
      <formula>AC21</formula>
    </cfRule>
  </conditionalFormatting>
  <conditionalFormatting sqref="A44">
    <cfRule type="expression" dxfId="62" priority="498" stopIfTrue="1">
      <formula>AC16</formula>
    </cfRule>
  </conditionalFormatting>
  <conditionalFormatting sqref="A37">
    <cfRule type="expression" dxfId="61" priority="499" stopIfTrue="1">
      <formula>AC15</formula>
    </cfRule>
  </conditionalFormatting>
  <conditionalFormatting sqref="A13">
    <cfRule type="expression" dxfId="60" priority="500" stopIfTrue="1">
      <formula>AC10</formula>
    </cfRule>
  </conditionalFormatting>
  <conditionalFormatting sqref="A19">
    <cfRule type="expression" dxfId="59" priority="501" stopIfTrue="1">
      <formula>AC11</formula>
    </cfRule>
  </conditionalFormatting>
  <conditionalFormatting sqref="A23">
    <cfRule type="expression" dxfId="58"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12:B114 B96:B102 B81:B89 B91:B92 B104:B106 B108:B110 B128:B130 B132:B133 B135:B141"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IncludeSmith">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Box">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Box">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Box">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Box">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Box">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Box">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Box">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Box">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Box">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Box">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IncludeSmith">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Box">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142875</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142875</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Box">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Box">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IncludeSmith">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Box">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Box">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Box">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Box">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Box">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Box">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Box">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Box">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Box">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Box">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Box">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Box">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Box">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Box">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Box">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Box">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142875</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mc:AlternateContent xmlns:mc="http://schemas.openxmlformats.org/markup-compatibility/2006">
          <mc:Choice Requires="x14">
            <control shapeId="189473" r:id="rId79" name="Button 2081">
              <controlPr defaultSize="0" print="0" autoFill="0" autoPict="0" macro="[0]!SetUpgradeCheck">
                <anchor moveWithCells="1" sizeWithCells="1">
                  <from>
                    <xdr:col>20</xdr:col>
                    <xdr:colOff>9525</xdr:colOff>
                    <xdr:row>21</xdr:row>
                    <xdr:rowOff>9525</xdr:rowOff>
                  </from>
                  <to>
                    <xdr:col>21</xdr:col>
                    <xdr:colOff>9525</xdr:colOff>
                    <xdr:row>21</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workbookViewId="0">
      <selection sqref="A1:A2"/>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31" t="s">
        <v>1024</v>
      </c>
      <c r="B1" s="1544" t="str">
        <f>cycle</f>
        <v>Cycle: 1s/5r   SnD Slack: 1.24</v>
      </c>
      <c r="C1" s="1544"/>
      <c r="D1" s="1545"/>
      <c r="E1" s="1540" t="s">
        <v>590</v>
      </c>
      <c r="F1" s="1541"/>
      <c r="G1" s="1542" t="s">
        <v>591</v>
      </c>
      <c r="H1" s="1543"/>
      <c r="I1" s="1552" t="s">
        <v>592</v>
      </c>
      <c r="J1" s="1553"/>
      <c r="K1" s="1554"/>
      <c r="L1" s="1541"/>
      <c r="M1" s="1503" t="s">
        <v>2324</v>
      </c>
      <c r="N1" s="1504"/>
      <c r="O1" s="1504"/>
      <c r="P1" s="1504"/>
      <c r="Q1" s="1505"/>
    </row>
    <row r="2" spans="1:26" ht="12.75" customHeight="1" thickBot="1">
      <c r="A2" s="1532"/>
      <c r="B2" s="1546"/>
      <c r="C2" s="1546"/>
      <c r="D2" s="1547"/>
      <c r="E2" s="1075" t="s">
        <v>593</v>
      </c>
      <c r="F2" s="1015">
        <f>ap</f>
        <v>3165.5289383329646</v>
      </c>
      <c r="G2" s="906" t="s">
        <v>598</v>
      </c>
      <c r="H2" s="1015">
        <f>hp</f>
        <v>9674</v>
      </c>
      <c r="I2" s="1555"/>
      <c r="J2" s="1556"/>
      <c r="K2" s="1557"/>
      <c r="L2" s="907"/>
      <c r="M2" s="1512" t="s">
        <v>2319</v>
      </c>
      <c r="N2" s="1513"/>
      <c r="O2" s="1023" t="str">
        <f>ROUND(SUM('Damage Calc'!$J$2:$J$7),2)&amp;"  "</f>
        <v xml:space="preserve">1002.02  </v>
      </c>
      <c r="P2" s="1506" t="str">
        <f>ROUND(SUM('Damage Calc'!$J$2:$J$7)/'Damage Calc'!$J$16*100,0)&amp;"%  "</f>
        <v xml:space="preserve">64%  </v>
      </c>
      <c r="Q2" s="1507"/>
    </row>
    <row r="3" spans="1:26" ht="12.75" customHeight="1">
      <c r="A3" s="1536" t="s">
        <v>1537</v>
      </c>
      <c r="B3" s="1548">
        <f>'Damage Calc'!$J$16</f>
        <v>1555.182530256119</v>
      </c>
      <c r="C3" s="1548"/>
      <c r="D3" s="1549"/>
      <c r="E3" s="1011" t="s">
        <v>594</v>
      </c>
      <c r="F3" s="1012">
        <f>'Damage Calc'!Q2-Talents!F4</f>
        <v>0.26956097560975611</v>
      </c>
      <c r="G3" s="1011" t="s">
        <v>599</v>
      </c>
      <c r="H3" s="1012">
        <f>dodge</f>
        <v>0.38193314060168293</v>
      </c>
      <c r="I3" s="1558" t="s">
        <v>2315</v>
      </c>
      <c r="J3" s="1469"/>
      <c r="K3" s="1470"/>
      <c r="L3" s="1016">
        <f>CEILING(($F$4*100)*(10*conv),1)</f>
        <v>1</v>
      </c>
      <c r="M3" s="1525" t="str">
        <f>"  "&amp;instatklng&amp;" DPS"</f>
        <v xml:space="preserve">  Sinister Strike DPS</v>
      </c>
      <c r="N3" s="1526"/>
      <c r="O3" s="1080" t="str">
        <f>ROUND('Damage Calc'!$J$8,2)&amp;"  "</f>
        <v xml:space="preserve">327.58  </v>
      </c>
      <c r="P3" s="1508" t="str">
        <f>ROUND('Damage Calc'!$J$8/'Damage Calc'!$J$16*100,0)&amp;"%  "</f>
        <v xml:space="preserve">21%  </v>
      </c>
      <c r="Q3" s="1509"/>
    </row>
    <row r="4" spans="1:26" ht="12.75" customHeight="1" thickBot="1">
      <c r="A4" s="1537"/>
      <c r="B4" s="1550"/>
      <c r="C4" s="1550"/>
      <c r="D4" s="1551"/>
      <c r="E4" s="1077" t="s">
        <v>595</v>
      </c>
      <c r="F4" s="1017">
        <f>bMHmiss</f>
        <v>4.3902439024390283E-4</v>
      </c>
      <c r="G4" s="1018" t="s">
        <v>600</v>
      </c>
      <c r="H4" s="1019">
        <f>'Gear &amp; Buffs'!$J$143</f>
        <v>0</v>
      </c>
      <c r="I4" s="1559" t="s">
        <v>2316</v>
      </c>
      <c r="J4" s="1534"/>
      <c r="K4" s="1535"/>
      <c r="L4" s="1076">
        <f>'Damage Calc'!D34</f>
        <v>30</v>
      </c>
      <c r="M4" s="1527" t="s">
        <v>2320</v>
      </c>
      <c r="N4" s="1528"/>
      <c r="O4" s="1024" t="str">
        <f>ROUND('Damage Calc'!$J$10+'Damage Calc'!$J$11+'Damage Calc'!$J$12,2)&amp;"  "</f>
        <v xml:space="preserve">119.18  </v>
      </c>
      <c r="P4" s="1510" t="str">
        <f>ROUND(('Damage Calc'!$J$10+'Damage Calc'!$J$11+'Damage Calc'!$J$12)/'Damage Calc'!$J$16*100,0)&amp;"%  "</f>
        <v xml:space="preserve">8%  </v>
      </c>
      <c r="Q4" s="1511"/>
    </row>
    <row r="5" spans="1:26" ht="12.75" customHeight="1" thickBot="1">
      <c r="A5" s="1008" t="s">
        <v>1136</v>
      </c>
      <c r="B5" s="1538">
        <f>'Gear &amp; Buffs'!$C$7</f>
        <v>1555.182530256119</v>
      </c>
      <c r="C5" s="1538"/>
      <c r="D5" s="1539"/>
      <c r="E5" s="1011" t="s">
        <v>596</v>
      </c>
      <c r="F5" s="1012">
        <f>bMHcrit</f>
        <v>0.22111169225206101</v>
      </c>
      <c r="G5" s="1081" t="s">
        <v>1320</v>
      </c>
      <c r="H5" s="1012">
        <f>('Gear &amp; Buffs'!J143/(25*conv)+Talents!I17)/100</f>
        <v>0</v>
      </c>
      <c r="I5" s="1468"/>
      <c r="J5" s="1469"/>
      <c r="K5" s="1470"/>
      <c r="L5" s="1020"/>
      <c r="M5" s="1529" t="s">
        <v>2321</v>
      </c>
      <c r="N5" s="1530"/>
      <c r="O5" s="1082" t="str">
        <f>ROUND('Damage Calc'!$J$13+'Damage Calc'!$J$14+'Damage Calc'!$J$15+'Damage Calc'!$J$9,2)&amp;"  "</f>
        <v xml:space="preserve">106.4  </v>
      </c>
      <c r="P5" s="1462" t="str">
        <f>ROUND(('Damage Calc'!$J$13+'Damage Calc'!$J$14+'Damage Calc'!$J$15+'Damage Calc'!$J$9)/'Damage Calc'!$J$16*100,0)&amp;"%  "</f>
        <v xml:space="preserve">7%  </v>
      </c>
      <c r="Q5" s="1463"/>
    </row>
    <row r="6" spans="1:26" ht="12.75" customHeight="1" thickBot="1">
      <c r="A6" s="1155" t="s">
        <v>589</v>
      </c>
      <c r="B6" s="1156" t="str">
        <f>IF(($B$3-$B$5)&lt;0,ROUND($B$3-$B$5,2),"+"&amp;ROUND($B$3-$B$5,2))</f>
        <v>+0</v>
      </c>
      <c r="C6" s="1157"/>
      <c r="D6" s="1158" t="str">
        <f>IF(($B$6/$B$3)&lt;0,ROUND($B$6/$B$3*100,2)&amp;"%","+"&amp;ROUND($B$6/$B$3*100,2)&amp;"%")</f>
        <v>+0%</v>
      </c>
      <c r="E6" s="931" t="s">
        <v>634</v>
      </c>
      <c r="F6" s="1017">
        <f>bMHdod</f>
        <v>2.0000000000000004E-2</v>
      </c>
      <c r="G6" s="1021" t="s">
        <v>601</v>
      </c>
      <c r="H6" s="1017">
        <f>5%-((BossLevel-CharLevel)*0.2%)+(F18/100)+(ROUNDDOWN('Gear &amp; Buffs'!M143/defrating_def,0)*0.04/100)</f>
        <v>4.4000000000000004E-2</v>
      </c>
      <c r="I6" s="1533" t="s">
        <v>2317</v>
      </c>
      <c r="J6" s="1534"/>
      <c r="K6" s="1535"/>
      <c r="L6" s="1017">
        <f>sndup</f>
        <v>0.9966666666666667</v>
      </c>
      <c r="M6" s="1466" t="s">
        <v>2322</v>
      </c>
      <c r="N6" s="1467"/>
      <c r="O6" s="1009" t="str">
        <f>ROUND('Damage Calc'!$J$16,2)&amp;"  "</f>
        <v xml:space="preserve">1555.18  </v>
      </c>
      <c r="P6" s="1464" t="str">
        <f>"100%  "</f>
        <v xml:space="preserve">100%  </v>
      </c>
      <c r="Q6" s="1465"/>
    </row>
    <row r="7" spans="1:26" ht="12.75" customHeight="1">
      <c r="A7" s="1515"/>
      <c r="B7" s="1516"/>
      <c r="C7" s="1516"/>
      <c r="D7" s="1517"/>
      <c r="E7" s="1011" t="s">
        <v>633</v>
      </c>
      <c r="F7" s="1012">
        <f>bMHpar</f>
        <v>0</v>
      </c>
      <c r="G7" s="1081" t="s">
        <v>2167</v>
      </c>
      <c r="H7" s="1012">
        <f>MAX(5%+0.2%*(CharLevel-BossLevel)+(ROUNDDOWN('Gear &amp; Buffs'!M143/defrating_def,0)*0.04/100),0%)</f>
        <v>4.4000000000000004E-2</v>
      </c>
      <c r="I7" s="1468" t="s">
        <v>2318</v>
      </c>
      <c r="J7" s="1469"/>
      <c r="K7" s="1470"/>
      <c r="L7" s="1022">
        <f>ruptup</f>
        <v>0.98</v>
      </c>
      <c r="M7" s="1521" t="s">
        <v>2323</v>
      </c>
      <c r="N7" s="1522"/>
      <c r="O7" s="1010" t="str">
        <f>ROUND('Gear &amp; Buffs'!$C$7,2)&amp;"  "</f>
        <v xml:space="preserve">1555.18  </v>
      </c>
      <c r="P7" s="1473"/>
      <c r="Q7" s="1474"/>
    </row>
    <row r="8" spans="1:26" ht="12.75" customHeight="1" thickBot="1">
      <c r="A8" s="1518"/>
      <c r="B8" s="1519"/>
      <c r="C8" s="1519"/>
      <c r="D8" s="1520"/>
      <c r="E8" s="1013" t="s">
        <v>597</v>
      </c>
      <c r="F8" s="1078">
        <f>'Damage Calc'!$Q$42</f>
        <v>4010</v>
      </c>
      <c r="G8" s="1013" t="s">
        <v>2166</v>
      </c>
      <c r="H8" s="1014">
        <f>H3+H6+H7</f>
        <v>0.4699331406016829</v>
      </c>
      <c r="I8" s="1488" t="s">
        <v>1177</v>
      </c>
      <c r="J8" s="1489"/>
      <c r="K8" s="1490"/>
      <c r="L8" s="1079">
        <f>B3*0.71</f>
        <v>1104.1795964818443</v>
      </c>
      <c r="M8" s="1523" t="s">
        <v>2265</v>
      </c>
      <c r="N8" s="1524"/>
      <c r="O8" s="1025" t="str">
        <f>ROUND($O$6-'Gear &amp; Buffs'!$C$7,2)&amp;"  "</f>
        <v xml:space="preserve">0  </v>
      </c>
      <c r="P8" s="1471" t="str">
        <f>IF(($B$6/$B$3)&lt;0,ROUND($B$6/$B$3*100,2)&amp;"%  ","+"&amp;ROUND($B$6/$B$3*100,2)&amp;"%  ")</f>
        <v xml:space="preserve">+0%  </v>
      </c>
      <c r="Q8" s="1472"/>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78" t="s">
        <v>182</v>
      </c>
      <c r="E11" s="1478">
        <v>1</v>
      </c>
      <c r="F11" s="1478"/>
      <c r="G11" s="990"/>
      <c r="H11" s="990"/>
      <c r="I11" s="991"/>
      <c r="J11"/>
      <c r="K11" s="1003"/>
      <c r="L11" s="995"/>
      <c r="M11" s="995"/>
      <c r="N11" s="995"/>
      <c r="O11" s="1004"/>
      <c r="S11"/>
      <c r="T11"/>
      <c r="U11"/>
      <c r="V11"/>
      <c r="W11"/>
      <c r="X11"/>
      <c r="Y11"/>
      <c r="Z11"/>
    </row>
    <row r="12" spans="1:26" ht="21.75" customHeight="1" thickBot="1">
      <c r="A12" s="1514" t="s">
        <v>2145</v>
      </c>
      <c r="B12" s="1476"/>
      <c r="C12" s="1476"/>
      <c r="D12" s="1475" t="s">
        <v>2146</v>
      </c>
      <c r="E12" s="1476"/>
      <c r="F12" s="1476"/>
      <c r="G12" s="1475" t="s">
        <v>248</v>
      </c>
      <c r="H12" s="1476"/>
      <c r="I12" s="1477"/>
      <c r="K12" s="1006" t="s">
        <v>860</v>
      </c>
      <c r="L12" s="1007"/>
      <c r="M12" s="1007"/>
      <c r="N12" s="1007"/>
      <c r="O12" s="1002"/>
    </row>
    <row r="13" spans="1:26" ht="12.75" customHeight="1" thickBot="1">
      <c r="A13" s="1099" t="s">
        <v>2147</v>
      </c>
      <c r="B13" s="992"/>
      <c r="C13" s="1100" t="s">
        <v>2148</v>
      </c>
      <c r="D13" s="1103" t="s">
        <v>2147</v>
      </c>
      <c r="E13" s="993"/>
      <c r="F13" s="1104" t="s">
        <v>2148</v>
      </c>
      <c r="G13" s="1101" t="s">
        <v>2147</v>
      </c>
      <c r="H13" s="1101"/>
      <c r="I13" s="1102" t="s">
        <v>2148</v>
      </c>
      <c r="K13" s="1485" t="s">
        <v>880</v>
      </c>
      <c r="L13" s="1486"/>
      <c r="M13" s="1486"/>
      <c r="N13" s="1486">
        <v>1</v>
      </c>
      <c r="O13" s="1487"/>
      <c r="Q13" s="1479" t="s">
        <v>881</v>
      </c>
      <c r="R13" s="1480"/>
      <c r="S13" s="1480"/>
      <c r="T13" s="1480"/>
      <c r="U13" s="1480"/>
      <c r="V13" s="1481"/>
    </row>
    <row r="14" spans="1:26" ht="12.75" customHeight="1">
      <c r="A14" s="946" t="s">
        <v>134</v>
      </c>
      <c r="B14" s="947"/>
      <c r="C14" s="948">
        <v>0</v>
      </c>
      <c r="D14" s="949" t="s">
        <v>1510</v>
      </c>
      <c r="E14" s="950"/>
      <c r="F14" s="951">
        <v>3</v>
      </c>
      <c r="G14" s="952" t="s">
        <v>1512</v>
      </c>
      <c r="H14" s="953"/>
      <c r="I14" s="954">
        <v>0</v>
      </c>
      <c r="K14" s="1375" t="s">
        <v>2861</v>
      </c>
      <c r="L14" s="1055"/>
      <c r="M14" s="1055"/>
      <c r="N14" s="1376"/>
      <c r="O14" s="1066">
        <v>70</v>
      </c>
      <c r="Q14" s="1040">
        <v>8800</v>
      </c>
      <c r="R14" s="1041" t="s">
        <v>498</v>
      </c>
      <c r="S14" s="1042"/>
      <c r="T14" s="1042"/>
      <c r="U14" s="1042"/>
      <c r="V14" s="1043"/>
    </row>
    <row r="15" spans="1:26" ht="12.75" customHeight="1">
      <c r="A15" s="955" t="s">
        <v>1511</v>
      </c>
      <c r="B15" s="956"/>
      <c r="C15" s="957">
        <v>0</v>
      </c>
      <c r="D15" s="958" t="s">
        <v>2149</v>
      </c>
      <c r="E15" s="959"/>
      <c r="F15" s="960">
        <v>2</v>
      </c>
      <c r="G15" s="958" t="s">
        <v>2153</v>
      </c>
      <c r="H15" s="959"/>
      <c r="I15" s="961">
        <v>0</v>
      </c>
      <c r="K15" s="1375" t="s">
        <v>833</v>
      </c>
      <c r="L15" s="1055"/>
      <c r="M15" s="1055"/>
      <c r="N15" s="1376"/>
      <c r="O15" s="1066">
        <v>73</v>
      </c>
      <c r="Q15" s="927">
        <v>7685</v>
      </c>
      <c r="R15" s="928" t="s">
        <v>698</v>
      </c>
      <c r="S15" s="929"/>
      <c r="T15" s="929"/>
      <c r="U15" s="929"/>
      <c r="V15" s="930"/>
    </row>
    <row r="16" spans="1:26" ht="12.75" customHeight="1">
      <c r="A16" s="964" t="s">
        <v>135</v>
      </c>
      <c r="B16" s="962"/>
      <c r="C16" s="963">
        <v>5</v>
      </c>
      <c r="D16" s="964" t="s">
        <v>2151</v>
      </c>
      <c r="E16" s="962"/>
      <c r="F16" s="961">
        <v>0</v>
      </c>
      <c r="G16" s="965"/>
      <c r="H16" s="966"/>
      <c r="I16" s="967"/>
      <c r="K16" s="1377" t="s">
        <v>1296</v>
      </c>
      <c r="L16" s="1055"/>
      <c r="M16" s="1055"/>
      <c r="N16" s="1376"/>
      <c r="O16" s="1067" t="s">
        <v>1733</v>
      </c>
      <c r="Q16" s="927"/>
      <c r="R16" s="928" t="s">
        <v>3074</v>
      </c>
      <c r="S16" s="929"/>
      <c r="T16" s="929"/>
      <c r="U16" s="929"/>
      <c r="V16" s="930"/>
    </row>
    <row r="17" spans="1:22" ht="12.75" customHeight="1">
      <c r="A17" s="908" t="s">
        <v>2155</v>
      </c>
      <c r="B17" s="909"/>
      <c r="C17" s="910">
        <v>3</v>
      </c>
      <c r="D17" s="931" t="s">
        <v>2220</v>
      </c>
      <c r="E17" s="932"/>
      <c r="F17" s="913">
        <v>3</v>
      </c>
      <c r="G17" s="914" t="s">
        <v>1513</v>
      </c>
      <c r="H17" s="915"/>
      <c r="I17" s="916">
        <v>0</v>
      </c>
      <c r="K17" s="1375" t="s">
        <v>1211</v>
      </c>
      <c r="L17" s="1055"/>
      <c r="M17" s="1055"/>
      <c r="N17" s="1376"/>
      <c r="O17" s="1068" t="s">
        <v>144</v>
      </c>
      <c r="Q17" s="927" t="s">
        <v>882</v>
      </c>
      <c r="R17" s="928" t="s">
        <v>699</v>
      </c>
      <c r="S17" s="929"/>
      <c r="T17" s="929"/>
      <c r="U17" s="929"/>
      <c r="V17" s="930"/>
    </row>
    <row r="18" spans="1:22" ht="12.75" customHeight="1">
      <c r="A18" s="908" t="s">
        <v>411</v>
      </c>
      <c r="B18" s="909"/>
      <c r="C18" s="910">
        <v>2</v>
      </c>
      <c r="D18" s="911" t="s">
        <v>1514</v>
      </c>
      <c r="E18" s="912"/>
      <c r="F18" s="913">
        <v>0</v>
      </c>
      <c r="G18" s="914" t="s">
        <v>1515</v>
      </c>
      <c r="H18" s="915"/>
      <c r="I18" s="916">
        <v>0</v>
      </c>
      <c r="K18" s="1058" t="s">
        <v>2041</v>
      </c>
      <c r="L18" s="1055"/>
      <c r="M18" s="1055"/>
      <c r="N18" s="1376"/>
      <c r="O18" s="1068" t="s">
        <v>144</v>
      </c>
      <c r="Q18" s="927"/>
      <c r="R18" s="928" t="s">
        <v>3075</v>
      </c>
      <c r="S18" s="929"/>
      <c r="T18" s="929"/>
      <c r="U18" s="929"/>
      <c r="V18" s="930"/>
    </row>
    <row r="19" spans="1:22" ht="12.75" customHeight="1">
      <c r="A19" s="908" t="s">
        <v>628</v>
      </c>
      <c r="B19" s="909"/>
      <c r="C19" s="910">
        <v>0</v>
      </c>
      <c r="D19" s="908" t="s">
        <v>2221</v>
      </c>
      <c r="E19" s="912"/>
      <c r="F19" s="933">
        <v>5</v>
      </c>
      <c r="G19" s="914" t="s">
        <v>1516</v>
      </c>
      <c r="H19" s="915"/>
      <c r="I19" s="916">
        <v>0</v>
      </c>
      <c r="K19" s="1052" t="s">
        <v>3000</v>
      </c>
      <c r="L19" s="1053"/>
      <c r="M19" s="1053"/>
      <c r="N19" s="1054"/>
      <c r="O19" s="1068" t="s">
        <v>750</v>
      </c>
      <c r="Q19" s="927"/>
      <c r="R19" s="928" t="s">
        <v>3076</v>
      </c>
      <c r="S19" s="929"/>
      <c r="T19" s="929"/>
      <c r="U19" s="929"/>
      <c r="V19" s="930"/>
    </row>
    <row r="20" spans="1:22" ht="12.75" customHeight="1">
      <c r="A20" s="958" t="s">
        <v>163</v>
      </c>
      <c r="B20" s="959"/>
      <c r="C20" s="968">
        <v>1</v>
      </c>
      <c r="D20" s="969" t="s">
        <v>1517</v>
      </c>
      <c r="E20" s="970"/>
      <c r="F20" s="971">
        <v>0</v>
      </c>
      <c r="G20" s="972" t="s">
        <v>1518</v>
      </c>
      <c r="H20" s="970"/>
      <c r="I20" s="973">
        <v>0</v>
      </c>
      <c r="K20" s="1058" t="s">
        <v>1295</v>
      </c>
      <c r="L20" s="1055"/>
      <c r="M20" s="1055"/>
      <c r="N20" s="1376"/>
      <c r="O20" s="1067">
        <v>7685</v>
      </c>
      <c r="Q20" s="927"/>
      <c r="R20" s="928" t="s">
        <v>3073</v>
      </c>
      <c r="S20" s="929"/>
      <c r="T20" s="929"/>
      <c r="U20" s="929"/>
      <c r="V20" s="930"/>
    </row>
    <row r="21" spans="1:22" ht="12.75" customHeight="1" thickBot="1">
      <c r="A21" s="981" t="s">
        <v>1519</v>
      </c>
      <c r="B21" s="982"/>
      <c r="C21" s="976">
        <v>0</v>
      </c>
      <c r="D21" s="969" t="s">
        <v>1520</v>
      </c>
      <c r="E21" s="970"/>
      <c r="F21" s="971">
        <v>0</v>
      </c>
      <c r="G21" s="974" t="s">
        <v>1184</v>
      </c>
      <c r="H21" s="970"/>
      <c r="I21" s="960">
        <v>0</v>
      </c>
      <c r="K21" s="1058" t="s">
        <v>63</v>
      </c>
      <c r="L21" s="1055"/>
      <c r="M21" s="1055"/>
      <c r="N21" s="1376"/>
      <c r="O21" s="1068" t="s">
        <v>668</v>
      </c>
      <c r="Q21" s="1044">
        <v>6800</v>
      </c>
      <c r="R21" s="1045" t="s">
        <v>1399</v>
      </c>
      <c r="S21" s="1046"/>
      <c r="T21" s="1046"/>
      <c r="U21" s="1046"/>
      <c r="V21" s="1047"/>
    </row>
    <row r="22" spans="1:22" ht="12.75" customHeight="1" thickBot="1">
      <c r="A22" s="964" t="s">
        <v>2226</v>
      </c>
      <c r="B22" s="975"/>
      <c r="C22" s="976">
        <v>5</v>
      </c>
      <c r="D22" s="969" t="s">
        <v>1606</v>
      </c>
      <c r="E22" s="970"/>
      <c r="F22" s="971">
        <v>2</v>
      </c>
      <c r="G22" s="972" t="s">
        <v>1607</v>
      </c>
      <c r="H22" s="970"/>
      <c r="I22" s="973">
        <v>0</v>
      </c>
      <c r="K22" s="1482" t="s">
        <v>308</v>
      </c>
      <c r="L22" s="1483"/>
      <c r="M22" s="1483"/>
      <c r="N22" s="1483"/>
      <c r="O22" s="1484"/>
      <c r="Q22" s="927">
        <v>6200</v>
      </c>
      <c r="R22" s="928" t="s">
        <v>1144</v>
      </c>
      <c r="S22" s="929"/>
      <c r="T22" s="929"/>
      <c r="U22" s="929"/>
      <c r="V22" s="930"/>
    </row>
    <row r="23" spans="1:22" ht="12.75" customHeight="1">
      <c r="A23" s="917" t="s">
        <v>632</v>
      </c>
      <c r="B23" s="918"/>
      <c r="C23" s="919">
        <v>3</v>
      </c>
      <c r="D23" s="914" t="s">
        <v>413</v>
      </c>
      <c r="E23" s="912"/>
      <c r="F23" s="916">
        <v>0</v>
      </c>
      <c r="G23" s="914" t="s">
        <v>1608</v>
      </c>
      <c r="H23" s="934"/>
      <c r="I23" s="916">
        <v>0</v>
      </c>
      <c r="K23" s="1058" t="s">
        <v>1008</v>
      </c>
      <c r="L23" s="1055"/>
      <c r="M23" s="1055"/>
      <c r="N23" s="1059"/>
      <c r="O23" s="1069" t="s">
        <v>1010</v>
      </c>
      <c r="Q23" s="927"/>
      <c r="R23" s="928" t="s">
        <v>3077</v>
      </c>
      <c r="S23" s="929"/>
      <c r="T23" s="929"/>
      <c r="U23" s="929"/>
      <c r="V23" s="930"/>
    </row>
    <row r="24" spans="1:22" ht="12.75" customHeight="1">
      <c r="A24" s="917" t="s">
        <v>412</v>
      </c>
      <c r="B24" s="918"/>
      <c r="C24" s="919">
        <v>0</v>
      </c>
      <c r="D24" s="920" t="s">
        <v>414</v>
      </c>
      <c r="E24" s="921"/>
      <c r="F24" s="922">
        <v>0</v>
      </c>
      <c r="G24" s="923" t="s">
        <v>1609</v>
      </c>
      <c r="H24" s="924"/>
      <c r="I24" s="925">
        <v>0</v>
      </c>
      <c r="K24" s="1058" t="s">
        <v>1009</v>
      </c>
      <c r="L24" s="1055"/>
      <c r="M24" s="1055"/>
      <c r="N24" s="1060" t="b">
        <v>0</v>
      </c>
      <c r="O24" s="1070">
        <v>0.3</v>
      </c>
      <c r="Q24" s="927"/>
      <c r="R24" s="928" t="s">
        <v>3078</v>
      </c>
      <c r="S24" s="929"/>
      <c r="T24" s="929"/>
      <c r="U24" s="929"/>
      <c r="V24" s="930"/>
    </row>
    <row r="25" spans="1:22" ht="12.75" customHeight="1">
      <c r="A25" s="935"/>
      <c r="B25" s="934"/>
      <c r="C25" s="934"/>
      <c r="D25" s="920" t="s">
        <v>415</v>
      </c>
      <c r="E25" s="921"/>
      <c r="F25" s="922">
        <v>5</v>
      </c>
      <c r="G25" s="917" t="s">
        <v>2150</v>
      </c>
      <c r="H25" s="918"/>
      <c r="I25" s="926">
        <v>0</v>
      </c>
      <c r="K25" s="1058" t="s">
        <v>748</v>
      </c>
      <c r="L25" s="1055"/>
      <c r="M25" s="1055"/>
      <c r="N25" s="1059"/>
      <c r="O25" s="1071" t="s">
        <v>144</v>
      </c>
      <c r="Q25" s="940"/>
      <c r="R25" s="941" t="s">
        <v>3079</v>
      </c>
      <c r="S25" s="942"/>
      <c r="T25" s="942"/>
      <c r="U25" s="942"/>
      <c r="V25" s="943"/>
    </row>
    <row r="26" spans="1:22" ht="12.75" customHeight="1">
      <c r="A26" s="955" t="s">
        <v>1610</v>
      </c>
      <c r="B26" s="966"/>
      <c r="C26" s="957">
        <v>0</v>
      </c>
      <c r="D26" s="964" t="s">
        <v>416</v>
      </c>
      <c r="E26" s="962"/>
      <c r="F26" s="960">
        <v>0</v>
      </c>
      <c r="G26" s="955" t="s">
        <v>1611</v>
      </c>
      <c r="H26" s="966"/>
      <c r="I26" s="977">
        <v>0</v>
      </c>
      <c r="K26" s="1058" t="s">
        <v>754</v>
      </c>
      <c r="L26" s="1045"/>
      <c r="M26" s="1045"/>
      <c r="N26" s="1371"/>
      <c r="O26" s="1071" t="s">
        <v>750</v>
      </c>
      <c r="Q26" s="1044">
        <v>5475</v>
      </c>
      <c r="R26" s="1045" t="s">
        <v>1400</v>
      </c>
      <c r="S26" s="1046"/>
      <c r="T26" s="1046"/>
      <c r="U26" s="1046"/>
      <c r="V26" s="1047"/>
    </row>
    <row r="27" spans="1:22" ht="12.75" customHeight="1">
      <c r="A27" s="964" t="s">
        <v>1358</v>
      </c>
      <c r="B27" s="962"/>
      <c r="C27" s="968">
        <v>0</v>
      </c>
      <c r="D27" s="978" t="s">
        <v>745</v>
      </c>
      <c r="E27" s="979"/>
      <c r="F27" s="961">
        <v>1</v>
      </c>
      <c r="G27" s="955" t="s">
        <v>1612</v>
      </c>
      <c r="H27" s="966"/>
      <c r="I27" s="977">
        <v>0</v>
      </c>
      <c r="K27" s="1061" t="s">
        <v>1011</v>
      </c>
      <c r="L27" s="1056"/>
      <c r="M27" s="1062"/>
      <c r="N27" s="1063"/>
      <c r="O27" s="1069" t="s">
        <v>1012</v>
      </c>
      <c r="Q27" s="927">
        <v>3800</v>
      </c>
      <c r="R27" s="928" t="s">
        <v>1143</v>
      </c>
      <c r="S27" s="944"/>
      <c r="T27" s="944"/>
      <c r="U27" s="944"/>
      <c r="V27" s="945"/>
    </row>
    <row r="28" spans="1:22" ht="12.75" customHeight="1" thickBot="1">
      <c r="A28" s="969" t="s">
        <v>473</v>
      </c>
      <c r="B28" s="962"/>
      <c r="C28" s="980">
        <v>0</v>
      </c>
      <c r="D28" s="964" t="s">
        <v>418</v>
      </c>
      <c r="E28" s="962"/>
      <c r="F28" s="960">
        <v>5</v>
      </c>
      <c r="G28" s="964" t="s">
        <v>1592</v>
      </c>
      <c r="H28" s="962"/>
      <c r="I28" s="961">
        <v>0</v>
      </c>
      <c r="K28" s="1058" t="s">
        <v>3153</v>
      </c>
      <c r="L28" s="1055"/>
      <c r="M28" s="1055"/>
      <c r="N28" s="1059"/>
      <c r="O28" s="1071" t="s">
        <v>750</v>
      </c>
      <c r="Q28" s="1048">
        <v>0</v>
      </c>
      <c r="R28" s="1049" t="s">
        <v>1401</v>
      </c>
      <c r="S28" s="1050"/>
      <c r="T28" s="1050"/>
      <c r="U28" s="1050"/>
      <c r="V28" s="1051"/>
    </row>
    <row r="29" spans="1:22" ht="12.75" customHeight="1">
      <c r="A29" s="958" t="s">
        <v>744</v>
      </c>
      <c r="B29" s="959"/>
      <c r="C29" s="968">
        <v>0</v>
      </c>
      <c r="D29" s="964" t="s">
        <v>417</v>
      </c>
      <c r="E29" s="962"/>
      <c r="F29" s="960">
        <v>0</v>
      </c>
      <c r="G29" s="958" t="s">
        <v>2152</v>
      </c>
      <c r="H29" s="959"/>
      <c r="I29" s="960">
        <v>0</v>
      </c>
      <c r="K29" s="1306" t="s">
        <v>3154</v>
      </c>
      <c r="L29" s="1045"/>
      <c r="M29" s="1045"/>
      <c r="N29" s="1371"/>
      <c r="O29" s="1071" t="s">
        <v>750</v>
      </c>
    </row>
    <row r="30" spans="1:22" ht="12.75" customHeight="1">
      <c r="A30" s="920" t="s">
        <v>752</v>
      </c>
      <c r="B30" s="921"/>
      <c r="C30" s="936">
        <v>0</v>
      </c>
      <c r="D30" s="914" t="s">
        <v>474</v>
      </c>
      <c r="E30" s="934"/>
      <c r="F30" s="916">
        <v>0</v>
      </c>
      <c r="G30" s="914" t="s">
        <v>475</v>
      </c>
      <c r="H30" s="934"/>
      <c r="I30" s="916">
        <v>0</v>
      </c>
      <c r="K30" s="1061" t="s">
        <v>1013</v>
      </c>
      <c r="L30" s="1056"/>
      <c r="M30" s="1062"/>
      <c r="N30" s="1063"/>
      <c r="O30" s="1071" t="s">
        <v>1012</v>
      </c>
    </row>
    <row r="31" spans="1:22" ht="12.75" customHeight="1">
      <c r="A31" s="917" t="s">
        <v>746</v>
      </c>
      <c r="B31" s="918"/>
      <c r="C31" s="919">
        <v>0</v>
      </c>
      <c r="D31" s="917" t="s">
        <v>747</v>
      </c>
      <c r="E31" s="918"/>
      <c r="F31" s="926">
        <v>2</v>
      </c>
      <c r="G31" s="917" t="s">
        <v>2154</v>
      </c>
      <c r="H31" s="918"/>
      <c r="I31" s="926">
        <v>0</v>
      </c>
      <c r="K31" s="1306" t="s">
        <v>3189</v>
      </c>
      <c r="L31" s="1045"/>
      <c r="M31" s="1045"/>
      <c r="N31" s="1371"/>
      <c r="O31" s="1071" t="s">
        <v>750</v>
      </c>
    </row>
    <row r="32" spans="1:22" ht="12.75" customHeight="1">
      <c r="A32" s="935"/>
      <c r="B32" s="934"/>
      <c r="C32" s="934"/>
      <c r="D32" s="937" t="s">
        <v>2222</v>
      </c>
      <c r="E32" s="938"/>
      <c r="F32" s="926">
        <v>3</v>
      </c>
      <c r="G32" s="935"/>
      <c r="H32" s="934"/>
      <c r="I32" s="939"/>
      <c r="K32" s="1306" t="s">
        <v>3192</v>
      </c>
      <c r="L32" s="1045"/>
      <c r="M32" s="1045"/>
      <c r="N32" s="1378" t="b">
        <v>0</v>
      </c>
      <c r="O32" s="1071">
        <v>10000</v>
      </c>
    </row>
    <row r="33" spans="1:18" ht="12.75" customHeight="1">
      <c r="A33" s="981" t="s">
        <v>476</v>
      </c>
      <c r="B33" s="982"/>
      <c r="C33" s="976">
        <v>0</v>
      </c>
      <c r="D33" s="958" t="s">
        <v>753</v>
      </c>
      <c r="E33" s="959"/>
      <c r="F33" s="960">
        <v>2</v>
      </c>
      <c r="G33" s="983" t="s">
        <v>477</v>
      </c>
      <c r="H33" s="959"/>
      <c r="I33" s="973">
        <v>0</v>
      </c>
      <c r="K33" s="1061" t="s">
        <v>2997</v>
      </c>
      <c r="L33" s="1055"/>
      <c r="M33" s="1055"/>
      <c r="N33" s="1059"/>
      <c r="O33" s="1072">
        <v>1</v>
      </c>
      <c r="R33" s="493"/>
    </row>
    <row r="34" spans="1:18" ht="12.75" customHeight="1">
      <c r="A34" s="955" t="s">
        <v>478</v>
      </c>
      <c r="B34" s="966"/>
      <c r="C34" s="957">
        <v>0</v>
      </c>
      <c r="D34" s="958" t="s">
        <v>751</v>
      </c>
      <c r="E34" s="959"/>
      <c r="F34" s="960">
        <v>1</v>
      </c>
      <c r="G34" s="955" t="s">
        <v>479</v>
      </c>
      <c r="H34" s="966"/>
      <c r="I34" s="977">
        <v>0</v>
      </c>
      <c r="K34" s="1061" t="s">
        <v>3032</v>
      </c>
      <c r="L34" s="1055"/>
      <c r="M34" s="1055"/>
      <c r="N34" s="1059"/>
      <c r="O34" s="1073">
        <v>1</v>
      </c>
    </row>
    <row r="35" spans="1:18" ht="12.75" customHeight="1">
      <c r="A35" s="965"/>
      <c r="B35" s="966"/>
      <c r="C35" s="966"/>
      <c r="D35" s="955" t="s">
        <v>480</v>
      </c>
      <c r="E35" s="966"/>
      <c r="F35" s="977">
        <v>2</v>
      </c>
      <c r="G35" s="955" t="s">
        <v>409</v>
      </c>
      <c r="H35" s="966"/>
      <c r="I35" s="977">
        <v>0</v>
      </c>
      <c r="K35" s="1061" t="s">
        <v>2868</v>
      </c>
      <c r="L35" s="1055"/>
      <c r="M35" s="1055"/>
      <c r="N35" s="1059"/>
      <c r="O35" s="1071">
        <v>300</v>
      </c>
    </row>
    <row r="36" spans="1:18" ht="12.75" customHeight="1" thickBot="1">
      <c r="A36" s="920" t="s">
        <v>755</v>
      </c>
      <c r="B36" s="921"/>
      <c r="C36" s="936">
        <v>0</v>
      </c>
      <c r="D36" s="917" t="s">
        <v>760</v>
      </c>
      <c r="E36" s="918"/>
      <c r="F36" s="922">
        <v>5</v>
      </c>
      <c r="G36" s="917" t="s">
        <v>2156</v>
      </c>
      <c r="H36" s="918"/>
      <c r="I36" s="922">
        <v>0</v>
      </c>
      <c r="K36" s="1064" t="s">
        <v>918</v>
      </c>
      <c r="L36" s="1057"/>
      <c r="M36" s="1057"/>
      <c r="N36" s="1065"/>
      <c r="O36" s="1074" t="s">
        <v>750</v>
      </c>
      <c r="R36" s="64"/>
    </row>
    <row r="37" spans="1:18" ht="12.75" customHeight="1" thickBot="1">
      <c r="A37" s="984" t="s">
        <v>749</v>
      </c>
      <c r="B37" s="985"/>
      <c r="C37" s="986">
        <v>0</v>
      </c>
      <c r="D37" s="984" t="s">
        <v>761</v>
      </c>
      <c r="E37" s="985"/>
      <c r="F37" s="987">
        <v>1</v>
      </c>
      <c r="G37" s="984" t="s">
        <v>1523</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55" t="s">
        <v>1440</v>
      </c>
      <c r="B39" s="1456"/>
      <c r="C39" s="494">
        <f>CharLevel-9-I39</f>
        <v>0</v>
      </c>
      <c r="D39" s="999"/>
      <c r="E39" s="999"/>
      <c r="F39" s="999"/>
      <c r="G39" s="1460" t="s">
        <v>410</v>
      </c>
      <c r="H39" s="1461"/>
      <c r="I39" s="495">
        <f>C38+F38+I38</f>
        <v>61</v>
      </c>
    </row>
    <row r="40" spans="1:18" ht="13.5" thickBot="1">
      <c r="A40" s="167"/>
      <c r="B40" s="167"/>
      <c r="C40" s="167"/>
      <c r="D40" s="167"/>
      <c r="E40" s="167"/>
      <c r="F40" s="167"/>
      <c r="G40" s="167"/>
      <c r="H40" s="167"/>
      <c r="I40" s="167"/>
    </row>
    <row r="41" spans="1:18" ht="13.5" thickBot="1">
      <c r="A41" s="1457" t="s">
        <v>762</v>
      </c>
      <c r="B41" s="1458"/>
      <c r="C41" s="1458"/>
      <c r="D41" s="1458"/>
      <c r="E41" s="1458"/>
      <c r="F41" s="1458"/>
      <c r="G41" s="1459"/>
      <c r="H41" s="64"/>
      <c r="I41" s="64"/>
      <c r="J41" s="64"/>
    </row>
    <row r="42" spans="1:18" ht="13.5" thickBot="1">
      <c r="A42" s="1498" t="s">
        <v>3040</v>
      </c>
      <c r="B42" s="1499"/>
      <c r="C42" s="1499"/>
      <c r="D42" s="1499"/>
      <c r="E42" s="1499"/>
      <c r="F42" s="1499"/>
      <c r="G42" s="1500"/>
      <c r="H42" s="64"/>
      <c r="I42" s="64"/>
      <c r="J42" s="64"/>
    </row>
    <row r="43" spans="1:18">
      <c r="A43" s="1037"/>
      <c r="B43" s="1501"/>
      <c r="C43" s="1501"/>
      <c r="D43" s="501"/>
      <c r="E43" s="501"/>
      <c r="F43" s="501"/>
      <c r="G43" s="502"/>
      <c r="H43" s="64"/>
      <c r="I43" s="64"/>
      <c r="J43" s="64"/>
    </row>
    <row r="44" spans="1:18">
      <c r="A44" s="1038"/>
      <c r="B44" s="1502"/>
      <c r="C44" s="1502"/>
      <c r="D44" s="499"/>
      <c r="E44" s="499"/>
      <c r="F44" s="499"/>
      <c r="G44" s="500"/>
      <c r="H44" s="64"/>
      <c r="I44" s="64"/>
      <c r="J44" s="64"/>
    </row>
    <row r="45" spans="1:18">
      <c r="A45" s="1029"/>
      <c r="B45" s="1493" t="s">
        <v>863</v>
      </c>
      <c r="C45" s="1495"/>
      <c r="D45" s="1493" t="s">
        <v>862</v>
      </c>
      <c r="E45" s="1494"/>
      <c r="F45" s="1493" t="s">
        <v>861</v>
      </c>
      <c r="G45" s="1494"/>
      <c r="H45" s="64"/>
      <c r="I45" s="64"/>
      <c r="J45" s="64"/>
      <c r="K45" s="64"/>
      <c r="L45" s="64"/>
    </row>
    <row r="46" spans="1:18">
      <c r="A46" s="1027" t="s">
        <v>764</v>
      </c>
      <c r="B46" s="1030">
        <f>nextstat2!$H$4</f>
        <v>1</v>
      </c>
      <c r="C46" s="1031" t="s">
        <v>765</v>
      </c>
      <c r="D46" s="1030">
        <f>B46/B$48</f>
        <v>2.3149828155506516</v>
      </c>
      <c r="E46" s="1032" t="s">
        <v>767</v>
      </c>
      <c r="F46" s="1033">
        <f>nextstat2!$E$4</f>
        <v>0.8272128693349714</v>
      </c>
      <c r="G46" s="1032" t="s">
        <v>1537</v>
      </c>
      <c r="H46" s="64"/>
      <c r="I46" s="64"/>
      <c r="J46" s="64"/>
      <c r="K46" s="64"/>
      <c r="L46" s="64"/>
    </row>
    <row r="47" spans="1:18">
      <c r="A47" s="1027" t="s">
        <v>766</v>
      </c>
      <c r="B47" s="1030">
        <f>nextstat2!$H$11</f>
        <v>0.47516551423727965</v>
      </c>
      <c r="C47" s="1031" t="s">
        <v>765</v>
      </c>
      <c r="D47" s="1030">
        <f>B47/B$48</f>
        <v>1.1000000000015908</v>
      </c>
      <c r="E47" s="1031" t="s">
        <v>767</v>
      </c>
      <c r="F47" s="1033">
        <f>nextstat2!$E$11</f>
        <v>0.3930630284412473</v>
      </c>
      <c r="G47" s="1031" t="s">
        <v>1537</v>
      </c>
      <c r="H47" s="64"/>
      <c r="I47" s="64"/>
      <c r="J47" s="64"/>
      <c r="K47" s="64"/>
      <c r="L47" s="64"/>
    </row>
    <row r="48" spans="1:18">
      <c r="A48" s="1027" t="s">
        <v>767</v>
      </c>
      <c r="B48" s="1030">
        <f>nextstat2!$H$3</f>
        <v>0.43196864930599316</v>
      </c>
      <c r="C48" s="1031" t="s">
        <v>765</v>
      </c>
      <c r="D48" s="1030">
        <v>1</v>
      </c>
      <c r="E48" s="1031" t="s">
        <v>767</v>
      </c>
      <c r="F48" s="1033">
        <f>nextstat2!$E$3</f>
        <v>0.3573300258551626</v>
      </c>
      <c r="G48" s="1031" t="s">
        <v>1537</v>
      </c>
      <c r="H48" s="64"/>
      <c r="I48" s="64"/>
      <c r="J48" s="64"/>
      <c r="K48" s="64"/>
      <c r="L48" s="64"/>
      <c r="M48" s="64"/>
    </row>
    <row r="49" spans="1:25">
      <c r="A49" s="1027" t="s">
        <v>2138</v>
      </c>
      <c r="B49" s="1030">
        <f>nextstat2!$H$6</f>
        <v>6.7093147034680944</v>
      </c>
      <c r="C49" s="1031" t="s">
        <v>765</v>
      </c>
      <c r="D49" s="1030">
        <f>B49/B$48</f>
        <v>15.531948242649953</v>
      </c>
      <c r="E49" s="1031" t="s">
        <v>767</v>
      </c>
      <c r="F49" s="1033">
        <f>nextstat2!$E$6</f>
        <v>5.5500314671271553</v>
      </c>
      <c r="G49" s="1031" t="s">
        <v>1537</v>
      </c>
      <c r="H49" s="64"/>
      <c r="I49" s="64"/>
      <c r="J49" s="64"/>
      <c r="K49" s="64"/>
      <c r="L49" s="64"/>
      <c r="M49" s="64"/>
    </row>
    <row r="50" spans="1:25">
      <c r="A50" s="1027" t="s">
        <v>2139</v>
      </c>
      <c r="B50" s="1030">
        <f>nextstat2!$H$5</f>
        <v>0.82904453125931488</v>
      </c>
      <c r="C50" s="1031" t="s">
        <v>765</v>
      </c>
      <c r="D50" s="1030">
        <f>B50/B$48</f>
        <v>1.9192238431915589</v>
      </c>
      <c r="E50" s="1031" t="s">
        <v>767</v>
      </c>
      <c r="F50" s="1033">
        <f>nextstat2!$E$5</f>
        <v>0.68579630550948423</v>
      </c>
      <c r="G50" s="1031" t="s">
        <v>1537</v>
      </c>
      <c r="H50" s="64"/>
      <c r="I50" s="64"/>
      <c r="J50" s="64"/>
      <c r="K50" s="64"/>
      <c r="L50" s="64"/>
      <c r="M50" s="64"/>
    </row>
    <row r="51" spans="1:25">
      <c r="A51" s="1027" t="s">
        <v>1581</v>
      </c>
      <c r="B51" s="1030">
        <f>nextstat2!$H$9</f>
        <v>1.4247966757057076</v>
      </c>
      <c r="C51" s="1031" t="s">
        <v>765</v>
      </c>
      <c r="D51" s="1039">
        <f>B51/B$48</f>
        <v>3.2983798199124075</v>
      </c>
      <c r="E51" s="1031" t="s">
        <v>767</v>
      </c>
      <c r="F51" s="1033">
        <f>nextstat2!$E$9</f>
        <v>1.1786101463294472</v>
      </c>
      <c r="G51" s="1031" t="s">
        <v>1537</v>
      </c>
      <c r="H51" s="64"/>
      <c r="I51" s="64"/>
      <c r="J51" s="64"/>
      <c r="K51" s="64"/>
      <c r="L51" s="64"/>
    </row>
    <row r="52" spans="1:25">
      <c r="A52" s="1027" t="s">
        <v>769</v>
      </c>
      <c r="B52" s="1030">
        <f>nextstat2!$H$8</f>
        <v>0.14858158751251888</v>
      </c>
      <c r="C52" s="1031" t="s">
        <v>765</v>
      </c>
      <c r="D52" s="1030">
        <f>B52/B$48</f>
        <v>0.34396382179871648</v>
      </c>
      <c r="E52" s="1031" t="s">
        <v>767</v>
      </c>
      <c r="F52" s="1033">
        <f>nextstat2!$E$8</f>
        <v>0.12290860133657588</v>
      </c>
      <c r="G52" s="1031" t="s">
        <v>1537</v>
      </c>
      <c r="H52" s="64"/>
      <c r="I52" s="64"/>
      <c r="J52" s="64"/>
      <c r="K52" s="64"/>
      <c r="L52" s="64"/>
      <c r="P52" s="167"/>
    </row>
    <row r="53" spans="1:25" ht="13.5" thickBot="1">
      <c r="A53" s="1028" t="s">
        <v>770</v>
      </c>
      <c r="B53" s="1034">
        <f>nextstat2!$H$7</f>
        <v>4.4382587301521434</v>
      </c>
      <c r="C53" s="1035" t="s">
        <v>765</v>
      </c>
      <c r="D53" s="1034">
        <f>B53/B$48</f>
        <v>10.274492691269868</v>
      </c>
      <c r="E53" s="1035" t="s">
        <v>767</v>
      </c>
      <c r="F53" s="1036">
        <f>nextstat2!$E$7</f>
        <v>3.6713847390201408</v>
      </c>
      <c r="G53" s="1035" t="s">
        <v>1537</v>
      </c>
      <c r="H53" s="64"/>
      <c r="I53" s="64"/>
      <c r="J53" s="64"/>
      <c r="K53" s="64"/>
      <c r="L53" s="64"/>
      <c r="P53" s="167"/>
    </row>
    <row r="54" spans="1:25" ht="13.5" thickBot="1">
      <c r="A54" s="1498" t="s">
        <v>771</v>
      </c>
      <c r="B54" s="1499"/>
      <c r="C54" s="1499"/>
      <c r="D54" s="1499"/>
      <c r="E54" s="1499"/>
      <c r="F54" s="1500"/>
      <c r="H54" s="64"/>
      <c r="I54" s="64"/>
      <c r="J54" s="64"/>
      <c r="K54" s="64"/>
      <c r="L54" s="64"/>
      <c r="P54" s="64"/>
      <c r="Q54" s="64"/>
    </row>
    <row r="55" spans="1:25">
      <c r="A55" s="1496" t="s">
        <v>772</v>
      </c>
      <c r="B55" s="1497"/>
      <c r="C55" s="1095">
        <v>0</v>
      </c>
      <c r="D55" s="1083" t="s">
        <v>773</v>
      </c>
      <c r="E55" s="1084"/>
      <c r="F55" s="1098">
        <v>13</v>
      </c>
      <c r="H55" s="64"/>
      <c r="I55" s="64"/>
      <c r="J55" s="64"/>
      <c r="K55" s="64"/>
      <c r="L55" s="64"/>
      <c r="P55" s="64"/>
      <c r="Q55" s="64"/>
    </row>
    <row r="56" spans="1:25">
      <c r="A56" s="1491" t="s">
        <v>774</v>
      </c>
      <c r="B56" s="1492"/>
      <c r="C56" s="1096">
        <v>0</v>
      </c>
      <c r="D56" s="1085" t="s">
        <v>775</v>
      </c>
      <c r="E56" s="1086"/>
      <c r="F56" s="1097">
        <v>8</v>
      </c>
      <c r="H56" s="64"/>
      <c r="I56" s="64"/>
      <c r="J56" s="64"/>
      <c r="K56" s="64"/>
      <c r="L56" s="64"/>
      <c r="O56" s="167"/>
      <c r="P56" s="64"/>
      <c r="Q56" s="64"/>
    </row>
    <row r="57" spans="1:25">
      <c r="A57" s="1491" t="s">
        <v>776</v>
      </c>
      <c r="B57" s="1492"/>
      <c r="C57" s="1097">
        <v>0</v>
      </c>
      <c r="D57" s="1085" t="s">
        <v>777</v>
      </c>
      <c r="E57" s="1086"/>
      <c r="F57" s="1097">
        <v>8</v>
      </c>
      <c r="K57" s="64"/>
      <c r="L57" s="64"/>
      <c r="N57" s="167"/>
      <c r="O57" s="167"/>
      <c r="P57" s="64"/>
      <c r="Q57" s="64"/>
    </row>
    <row r="58" spans="1:25">
      <c r="A58" s="1491" t="s">
        <v>778</v>
      </c>
      <c r="B58" s="1492"/>
      <c r="C58" s="1097">
        <v>0</v>
      </c>
      <c r="D58" s="1085" t="s">
        <v>779</v>
      </c>
      <c r="E58" s="1086"/>
      <c r="F58" s="1097">
        <v>8</v>
      </c>
      <c r="M58" s="64"/>
      <c r="N58" s="64"/>
      <c r="O58" s="64"/>
      <c r="P58" s="64"/>
      <c r="Q58" s="64"/>
    </row>
    <row r="59" spans="1:25" ht="13.5" thickBot="1">
      <c r="A59" s="1491" t="s">
        <v>1473</v>
      </c>
      <c r="B59" s="1492"/>
      <c r="C59" s="1097">
        <v>0</v>
      </c>
      <c r="D59" s="1085" t="s">
        <v>1474</v>
      </c>
      <c r="E59" s="1086"/>
      <c r="F59" s="1097">
        <v>0</v>
      </c>
      <c r="P59" s="64"/>
      <c r="Q59" s="64"/>
    </row>
    <row r="60" spans="1:25">
      <c r="A60" s="1087" t="s">
        <v>768</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"&amp;"ExpertiseRating="&amp;ROUND(B51,2)&amp;", ArmorPenetration="&amp;ROUND(B52, 2)&amp;", Stamina="&amp;C55&amp;", DodgeRating="&amp;C56&amp;", Resilience="&amp;C57&amp;", ParryRating="&amp;C58&amp;", Armor="&amp;C59&amp;", MetaSocketEffect="&amp;F55&amp;", RedSocketEffect="&amp;F56&amp;", BlueSocketEffect="&amp;F57&amp;", YellowSocketEffect="&amp;F58&amp;", DefenseRating="&amp;F59&amp;")"</f>
        <v>(Pawn: v1: "AEP(spreadsheet)": Agility=1, Strength=0.48, Ap=0.43, HitRating=6.71, CritRating=0.83, HasteRating=4.44, ExpertiseRating=1.42, ArmorPenetration=0.15, Stamina=0, DodgeRating=0, Resilience=0, ParryRating=0, Armor=0, MetaSocketEffect=13, RedSocketEffect=8, BlueSocketEffect=8, YellowSocketEffect=8,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7" priority="1" stopIfTrue="1" operator="greaterThan">
      <formula>0</formula>
    </cfRule>
  </conditionalFormatting>
  <conditionalFormatting sqref="I39">
    <cfRule type="cellIs" dxfId="56" priority="2" stopIfTrue="1" operator="lessThan">
      <formula>61</formula>
    </cfRule>
  </conditionalFormatting>
  <conditionalFormatting sqref="A6:D6 M8:Q8">
    <cfRule type="expression" dxfId="55" priority="3" stopIfTrue="1">
      <formula>($B$3-$B$5)&gt;0</formula>
    </cfRule>
    <cfRule type="expression" dxfId="54"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CommandButton">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workbookViewId="0"/>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61" t="s">
        <v>3046</v>
      </c>
      <c r="F1" s="1531" t="s">
        <v>1537</v>
      </c>
      <c r="G1" s="1562">
        <f>'Damage Calc'!$J$16</f>
        <v>1555.182530256119</v>
      </c>
      <c r="H1" s="1562"/>
      <c r="I1" s="1563"/>
    </row>
    <row r="2" spans="2:10" ht="13.5" customHeight="1" thickBot="1">
      <c r="B2" s="1561"/>
      <c r="F2" s="1560"/>
      <c r="G2" s="1564"/>
      <c r="H2" s="1564"/>
      <c r="I2" s="1565"/>
    </row>
    <row r="3" spans="2:10">
      <c r="B3" s="888">
        <v>1</v>
      </c>
      <c r="F3" s="1008" t="s">
        <v>1136</v>
      </c>
      <c r="G3" s="1538">
        <f>'Gear &amp; Buffs'!$C$7</f>
        <v>1555.182530256119</v>
      </c>
      <c r="H3" s="1538"/>
      <c r="I3" s="1539"/>
    </row>
    <row r="4" spans="2:10" ht="13.5" thickBot="1">
      <c r="B4" s="888"/>
      <c r="F4" s="1159" t="s">
        <v>589</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2914</v>
      </c>
      <c r="C7" s="1162"/>
      <c r="D7" s="888"/>
      <c r="E7" s="618" t="s">
        <v>2916</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3047</v>
      </c>
      <c r="I8" s="1160" t="s">
        <v>750</v>
      </c>
      <c r="J8" s="888" t="b">
        <f>I8="Yes"</f>
        <v>0</v>
      </c>
    </row>
    <row r="9" spans="2:10">
      <c r="B9" s="1161" t="s">
        <v>3048</v>
      </c>
      <c r="C9" s="1160" t="s">
        <v>750</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2968</v>
      </c>
      <c r="I9" s="1020">
        <v>0</v>
      </c>
      <c r="J9" s="888"/>
    </row>
    <row r="10" spans="2:10" ht="13.5" thickBot="1">
      <c r="B10" s="1165" t="s">
        <v>2926</v>
      </c>
      <c r="C10" s="1020">
        <v>0</v>
      </c>
      <c r="D10" s="888"/>
      <c r="E10" s="1161" t="s">
        <v>3048</v>
      </c>
      <c r="F10" s="1160" t="s">
        <v>750</v>
      </c>
      <c r="G10" s="888" t="b">
        <f>F10="Yes"</f>
        <v>0</v>
      </c>
      <c r="H10" s="1166" t="s">
        <v>2969</v>
      </c>
      <c r="I10" s="1167">
        <v>300</v>
      </c>
      <c r="J10" s="888"/>
    </row>
    <row r="11" spans="2:10" ht="13.5" thickBot="1">
      <c r="B11" s="1161" t="s">
        <v>3049</v>
      </c>
      <c r="C11" s="1160" t="s">
        <v>750</v>
      </c>
      <c r="D11" s="888" t="b">
        <f>C11="Yes"</f>
        <v>0</v>
      </c>
      <c r="E11" s="1165" t="s">
        <v>2942</v>
      </c>
      <c r="F11" s="1020">
        <v>0</v>
      </c>
      <c r="G11" s="888"/>
      <c r="J11" s="888"/>
    </row>
    <row r="12" spans="2:10" ht="13.5" thickBot="1">
      <c r="B12" s="1165" t="s">
        <v>2927</v>
      </c>
      <c r="C12" s="1020">
        <v>60</v>
      </c>
      <c r="D12" s="888"/>
      <c r="E12" s="1161" t="s">
        <v>3049</v>
      </c>
      <c r="F12" s="1160" t="s">
        <v>750</v>
      </c>
      <c r="G12" s="888" t="b">
        <f>F12="Yes"</f>
        <v>0</v>
      </c>
      <c r="H12" s="618" t="str">
        <f>IF('Cooldowns Calc'!AL38,"","No ")&amp;"Thistle Tea"</f>
        <v>Thistle Tea</v>
      </c>
      <c r="I12" s="1162"/>
      <c r="J12" s="888"/>
    </row>
    <row r="13" spans="2:10">
      <c r="B13" s="1165" t="s">
        <v>2928</v>
      </c>
      <c r="C13" s="1020">
        <v>120</v>
      </c>
      <c r="D13" s="888"/>
      <c r="E13" s="1165" t="s">
        <v>2943</v>
      </c>
      <c r="F13" s="1020">
        <v>120</v>
      </c>
      <c r="G13" s="888"/>
      <c r="H13" s="1161" t="s">
        <v>3052</v>
      </c>
      <c r="I13" s="1160" t="s">
        <v>750</v>
      </c>
      <c r="J13" s="888" t="b">
        <f>I13="Yes"</f>
        <v>0</v>
      </c>
    </row>
    <row r="14" spans="2:10">
      <c r="B14" s="1165" t="s">
        <v>2929</v>
      </c>
      <c r="C14" s="1020">
        <v>180</v>
      </c>
      <c r="D14" s="888"/>
      <c r="E14" s="1165" t="s">
        <v>2944</v>
      </c>
      <c r="F14" s="1020">
        <v>240</v>
      </c>
      <c r="G14" s="888"/>
      <c r="H14" s="1165" t="s">
        <v>2970</v>
      </c>
      <c r="I14" s="1020">
        <v>0</v>
      </c>
      <c r="J14" s="888"/>
    </row>
    <row r="15" spans="2:10" ht="13.5" thickBot="1">
      <c r="B15" s="1165" t="s">
        <v>2930</v>
      </c>
      <c r="C15" s="1020">
        <v>240</v>
      </c>
      <c r="D15" s="888"/>
      <c r="E15" s="1165" t="s">
        <v>2945</v>
      </c>
      <c r="F15" s="1020">
        <v>360</v>
      </c>
      <c r="G15" s="888"/>
      <c r="H15" s="1166" t="s">
        <v>2971</v>
      </c>
      <c r="I15" s="1167">
        <v>300</v>
      </c>
      <c r="J15" s="888"/>
    </row>
    <row r="16" spans="2:10" ht="13.5" thickBot="1">
      <c r="B16" s="1165" t="s">
        <v>2931</v>
      </c>
      <c r="C16" s="1020">
        <v>300</v>
      </c>
      <c r="D16" s="888"/>
      <c r="E16" s="1166" t="s">
        <v>2946</v>
      </c>
      <c r="F16" s="1167">
        <v>480</v>
      </c>
      <c r="G16" s="888"/>
      <c r="J16" s="888"/>
    </row>
    <row r="17" spans="2:10" ht="13.5" thickBot="1">
      <c r="B17" s="1165" t="s">
        <v>2932</v>
      </c>
      <c r="C17" s="1020">
        <v>360</v>
      </c>
      <c r="D17" s="888"/>
      <c r="G17" s="888"/>
      <c r="H17" s="618" t="str">
        <f>IF(blust,"","No ")&amp;"Bloodlust / Heroism"</f>
        <v>Bloodlust / Heroism</v>
      </c>
      <c r="I17" s="1162"/>
      <c r="J17" s="888"/>
    </row>
    <row r="18" spans="2:10">
      <c r="B18" s="1165" t="s">
        <v>2933</v>
      </c>
      <c r="C18" s="1020">
        <v>420</v>
      </c>
      <c r="D18" s="888"/>
      <c r="H18" s="1161" t="s">
        <v>3053</v>
      </c>
      <c r="I18" s="1160" t="s">
        <v>750</v>
      </c>
      <c r="J18" s="888" t="b">
        <f>I18="Yes"</f>
        <v>0</v>
      </c>
    </row>
    <row r="19" spans="2:10">
      <c r="B19" s="1165" t="s">
        <v>2934</v>
      </c>
      <c r="C19" s="1020">
        <v>480</v>
      </c>
      <c r="D19" s="888"/>
      <c r="H19" s="1165" t="s">
        <v>2921</v>
      </c>
      <c r="I19" s="1020">
        <v>0</v>
      </c>
      <c r="J19" s="888"/>
    </row>
    <row r="20" spans="2:10" ht="13.5" thickBot="1">
      <c r="B20" s="1166" t="s">
        <v>2935</v>
      </c>
      <c r="C20" s="1167">
        <v>540</v>
      </c>
      <c r="D20" s="888"/>
      <c r="H20" s="1165" t="s">
        <v>2922</v>
      </c>
      <c r="I20" s="1020">
        <v>40</v>
      </c>
      <c r="J20" s="888"/>
    </row>
    <row r="21" spans="2:10" ht="13.5" thickBot="1">
      <c r="D21" s="888"/>
      <c r="H21" s="1165" t="s">
        <v>2923</v>
      </c>
      <c r="I21" s="1020">
        <v>80</v>
      </c>
      <c r="J21" s="888"/>
    </row>
    <row r="22" spans="2:10" ht="13.5" thickBot="1">
      <c r="B22" s="618" t="s">
        <v>2915</v>
      </c>
      <c r="C22" s="1162"/>
      <c r="D22" s="888"/>
      <c r="E22" s="618" t="s">
        <v>2918</v>
      </c>
      <c r="F22" s="1162"/>
      <c r="G22" s="888"/>
      <c r="H22" s="1165" t="s">
        <v>2924</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2925</v>
      </c>
      <c r="I23" s="1020">
        <v>160</v>
      </c>
      <c r="J23" s="888"/>
    </row>
    <row r="24" spans="2:10">
      <c r="B24" s="1161" t="s">
        <v>3048</v>
      </c>
      <c r="C24" s="1160" t="s">
        <v>750</v>
      </c>
      <c r="D24" s="888" t="b">
        <f>C24="Yes"</f>
        <v>0</v>
      </c>
      <c r="E24" s="1169" t="str">
        <f>"| "&amp;IF(CharRace="Troll","Berserking | ","")</f>
        <v xml:space="preserve">| </v>
      </c>
      <c r="F24" s="1172"/>
      <c r="G24" s="888"/>
      <c r="H24" s="1165" t="s">
        <v>2954</v>
      </c>
      <c r="I24" s="1020">
        <v>200</v>
      </c>
      <c r="J24" s="888"/>
    </row>
    <row r="25" spans="2:10">
      <c r="B25" s="1165" t="s">
        <v>2936</v>
      </c>
      <c r="C25" s="1020">
        <v>0</v>
      </c>
      <c r="D25" s="888"/>
      <c r="E25" s="1161" t="s">
        <v>3048</v>
      </c>
      <c r="F25" s="1160" t="s">
        <v>750</v>
      </c>
      <c r="G25" s="888" t="b">
        <f>F25="Yes"</f>
        <v>0</v>
      </c>
      <c r="H25" s="1165" t="s">
        <v>2955</v>
      </c>
      <c r="I25" s="1020">
        <v>240</v>
      </c>
      <c r="J25" s="888"/>
    </row>
    <row r="26" spans="2:10">
      <c r="B26" s="1161" t="s">
        <v>3049</v>
      </c>
      <c r="C26" s="1160" t="s">
        <v>750</v>
      </c>
      <c r="D26" s="888" t="b">
        <f>C26="Yes"</f>
        <v>0</v>
      </c>
      <c r="E26" s="1165" t="s">
        <v>2947</v>
      </c>
      <c r="F26" s="1020">
        <v>0</v>
      </c>
      <c r="G26" s="888"/>
      <c r="H26" s="1165" t="s">
        <v>2956</v>
      </c>
      <c r="I26" s="1020">
        <v>280</v>
      </c>
      <c r="J26" s="888"/>
    </row>
    <row r="27" spans="2:10">
      <c r="B27" s="1161" t="s">
        <v>3050</v>
      </c>
      <c r="C27" s="1160" t="s">
        <v>750</v>
      </c>
      <c r="D27" s="888" t="b">
        <f>C27="Yes"</f>
        <v>0</v>
      </c>
      <c r="E27" s="1161" t="s">
        <v>3049</v>
      </c>
      <c r="F27" s="1160" t="s">
        <v>750</v>
      </c>
      <c r="G27" s="888" t="b">
        <f>F27="Yes"</f>
        <v>0</v>
      </c>
      <c r="H27" s="1165" t="s">
        <v>2957</v>
      </c>
      <c r="I27" s="1020">
        <v>320</v>
      </c>
      <c r="J27" s="888"/>
    </row>
    <row r="28" spans="2:10">
      <c r="B28" s="1165" t="s">
        <v>2937</v>
      </c>
      <c r="C28" s="1020">
        <v>90</v>
      </c>
      <c r="D28" s="888"/>
      <c r="E28" s="1161" t="s">
        <v>3051</v>
      </c>
      <c r="F28" s="1160" t="s">
        <v>750</v>
      </c>
      <c r="G28" s="888" t="b">
        <f>F28="Yes"</f>
        <v>0</v>
      </c>
      <c r="H28" s="1165" t="s">
        <v>2958</v>
      </c>
      <c r="I28" s="1020">
        <v>360</v>
      </c>
      <c r="J28" s="888"/>
    </row>
    <row r="29" spans="2:10">
      <c r="B29" s="1165" t="s">
        <v>2938</v>
      </c>
      <c r="C29" s="1020">
        <v>180</v>
      </c>
      <c r="D29" s="888"/>
      <c r="E29" s="1165" t="s">
        <v>2948</v>
      </c>
      <c r="F29" s="1020">
        <v>180</v>
      </c>
      <c r="G29" s="888"/>
      <c r="H29" s="1165" t="s">
        <v>2959</v>
      </c>
      <c r="I29" s="1020">
        <v>400</v>
      </c>
      <c r="J29" s="888"/>
    </row>
    <row r="30" spans="2:10">
      <c r="B30" s="1165" t="s">
        <v>2939</v>
      </c>
      <c r="C30" s="1020">
        <v>270</v>
      </c>
      <c r="D30" s="888"/>
      <c r="E30" s="1165" t="s">
        <v>2949</v>
      </c>
      <c r="F30" s="1020">
        <v>360</v>
      </c>
      <c r="G30" s="888"/>
      <c r="H30" s="1165" t="s">
        <v>2960</v>
      </c>
      <c r="I30" s="1020">
        <v>440</v>
      </c>
      <c r="J30" s="888"/>
    </row>
    <row r="31" spans="2:10" ht="13.5" thickBot="1">
      <c r="B31" s="1165" t="s">
        <v>2940</v>
      </c>
      <c r="C31" s="1020">
        <v>360</v>
      </c>
      <c r="D31" s="888"/>
      <c r="E31" s="1166" t="s">
        <v>2950</v>
      </c>
      <c r="F31" s="1167">
        <v>540</v>
      </c>
      <c r="G31" s="888"/>
      <c r="H31" s="1165" t="s">
        <v>2961</v>
      </c>
      <c r="I31" s="1020">
        <v>480</v>
      </c>
      <c r="J31" s="888"/>
    </row>
    <row r="32" spans="2:10">
      <c r="B32" s="1165" t="s">
        <v>2941</v>
      </c>
      <c r="C32" s="1020">
        <v>450</v>
      </c>
      <c r="D32" s="888"/>
      <c r="H32" s="1165" t="s">
        <v>2962</v>
      </c>
      <c r="I32" s="1020">
        <v>520</v>
      </c>
      <c r="J32" s="888"/>
    </row>
    <row r="33" spans="2:10" ht="13.5" thickBot="1">
      <c r="B33" s="1166" t="s">
        <v>2951</v>
      </c>
      <c r="C33" s="1167">
        <v>540</v>
      </c>
      <c r="D33" s="888"/>
      <c r="H33" s="1166" t="s">
        <v>2963</v>
      </c>
      <c r="I33" s="1167">
        <v>560</v>
      </c>
      <c r="J33" s="888"/>
    </row>
    <row r="34" spans="2:10">
      <c r="J34" s="888"/>
    </row>
  </sheetData>
  <mergeCells count="4">
    <mergeCell ref="F1:F2"/>
    <mergeCell ref="B1:B2"/>
    <mergeCell ref="G3:I3"/>
    <mergeCell ref="G1:I2"/>
  </mergeCells>
  <conditionalFormatting sqref="F4:I4">
    <cfRule type="expression" dxfId="53" priority="1" stopIfTrue="1">
      <formula>($G$1-$G$3)&gt;0</formula>
    </cfRule>
    <cfRule type="expression" dxfId="52"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49" zoomScale="85" zoomScaleNormal="85" workbookViewId="0">
      <selection activeCell="A52" sqref="A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1094</v>
      </c>
      <c r="E1" s="15" t="s">
        <v>1095</v>
      </c>
      <c r="F1" s="389"/>
      <c r="G1" s="1297" t="s">
        <v>3054</v>
      </c>
      <c r="H1" s="1298">
        <f>ohhit</f>
        <v>0.97956097560975608</v>
      </c>
      <c r="I1" s="1299">
        <f>H1/H2*3*0.2*cpot*'Damage Calc'!$Q$39</f>
        <v>2.5784731215973284</v>
      </c>
      <c r="N1" s="87" t="s">
        <v>785</v>
      </c>
      <c r="O1" s="88">
        <f>bcpdodge+bcpmiss</f>
        <v>2.0000000000000004E-2</v>
      </c>
      <c r="P1" s="88">
        <f>bfindodge+bfinmiss</f>
        <v>0</v>
      </c>
      <c r="Q1" s="88"/>
      <c r="R1" s="88"/>
      <c r="S1" s="88"/>
      <c r="T1" s="88"/>
      <c r="U1" s="89"/>
      <c r="V1" s="1173"/>
      <c r="W1" s="1174"/>
      <c r="X1" s="1175" t="s">
        <v>1536</v>
      </c>
      <c r="Y1" s="1175" t="s">
        <v>1752</v>
      </c>
      <c r="Z1" s="1174"/>
      <c r="AA1" s="1174"/>
      <c r="AB1" s="1176"/>
    </row>
    <row r="2" spans="2:31">
      <c r="B2" s="15" t="s">
        <v>2007</v>
      </c>
      <c r="C2" s="1303">
        <f>IF(dm4p,Optimize!C30,0)</f>
        <v>0</v>
      </c>
      <c r="D2" s="1303">
        <f>IF(dm4p,Optimize!C35,0)</f>
        <v>0</v>
      </c>
      <c r="E2" s="1303">
        <f>IF(dm4p,Optimize!C40,0)</f>
        <v>0</v>
      </c>
      <c r="F2" s="389"/>
      <c r="G2" s="1300" t="s">
        <v>3055</v>
      </c>
      <c r="H2" s="1301">
        <f>ohspd</f>
        <v>1.4</v>
      </c>
      <c r="I2" s="1302"/>
      <c r="N2" s="32" t="s">
        <v>786</v>
      </c>
      <c r="O2" s="90">
        <f>Q2*(O1/(1-O1))+P2</f>
        <v>40.163265306122447</v>
      </c>
      <c r="P2" s="33">
        <f>IF(Talents!O28="Yes", 45-impSS, IF(instatk="V",20+ohspd*10-cpot*3*0.2,IF(mhtype="dagger",60,IF(hemo,35,45-impSS))))</f>
        <v>40</v>
      </c>
      <c r="Q2" s="33">
        <f>ROUNDUP(P2*0.2, 0)</f>
        <v>8</v>
      </c>
      <c r="R2" s="33" t="s">
        <v>569</v>
      </c>
      <c r="S2" s="33">
        <v>180</v>
      </c>
      <c r="T2" s="33"/>
      <c r="U2" s="91"/>
      <c r="V2" s="1177" t="s">
        <v>1537</v>
      </c>
      <c r="W2" s="1178"/>
      <c r="X2" s="1179">
        <f>IF(allowrupt,IF(AND(poison,allowenv),MAX(AG56:AG284),MAX(AG56:AG150,AG234:AG284)),IF(AND(poison,allowenv),MAX(AG198:AG284),MAX(AG234:AG284)))</f>
        <v>570.51064106310048</v>
      </c>
      <c r="Y2" s="1179"/>
      <c r="Z2" s="1180">
        <f>MATCH(X2,AG55:AG284,0)+60</f>
        <v>77</v>
      </c>
      <c r="AA2" s="1178" t="s">
        <v>1538</v>
      </c>
      <c r="AB2" s="1181"/>
      <c r="AC2" s="108"/>
      <c r="AD2" s="27"/>
      <c r="AE2" s="390"/>
    </row>
    <row r="3" spans="2:31">
      <c r="B3" s="15" t="s">
        <v>2008</v>
      </c>
      <c r="C3" s="1303">
        <f>IF(dm4p,Optimize!C31,0)</f>
        <v>0</v>
      </c>
      <c r="D3" s="1303">
        <f>IF(dm4p,Optimize!C36,0)</f>
        <v>0</v>
      </c>
      <c r="E3" s="1303">
        <f>IF(dm4p,Optimize!C41,0)</f>
        <v>0</v>
      </c>
      <c r="F3" s="389"/>
      <c r="I3" s="44" t="s">
        <v>2253</v>
      </c>
      <c r="J3" s="44" t="s">
        <v>2254</v>
      </c>
      <c r="K3" t="s">
        <v>570</v>
      </c>
      <c r="L3" t="s">
        <v>571</v>
      </c>
      <c r="N3" s="32" t="s">
        <v>3021</v>
      </c>
      <c r="O3" s="33">
        <f>P3*(P1/(1-P1))*(1-Qrec)+P3</f>
        <v>25</v>
      </c>
      <c r="P3" s="33">
        <f>25</f>
        <v>25</v>
      </c>
      <c r="Q3" s="33"/>
      <c r="R3" s="33" t="s">
        <v>572</v>
      </c>
      <c r="S3" s="33">
        <f>(60+180)/2</f>
        <v>120</v>
      </c>
      <c r="T3" s="92">
        <f>1-P1-T4</f>
        <v>0.77888830774793893</v>
      </c>
      <c r="U3" s="93">
        <f>T3/T5</f>
        <v>0.77888830774793893</v>
      </c>
      <c r="V3" s="1177" t="s">
        <v>1540</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16.158312420109564</v>
      </c>
      <c r="AA3" s="1178" t="s">
        <v>1541</v>
      </c>
      <c r="AB3" s="1181"/>
      <c r="AC3" s="110"/>
      <c r="AD3" s="96"/>
      <c r="AE3" s="391"/>
    </row>
    <row r="4" spans="2:31">
      <c r="B4" s="15" t="s">
        <v>2009</v>
      </c>
      <c r="C4" s="1303">
        <f>IF(dm4p,Optimize!C32,0)</f>
        <v>0</v>
      </c>
      <c r="D4" s="1303">
        <f>IF(dm4p,Optimize!C37,0)</f>
        <v>0</v>
      </c>
      <c r="E4" s="1303">
        <f>IF(dm4p,Optimize!C42,0)</f>
        <v>0</v>
      </c>
      <c r="F4" s="393"/>
      <c r="G4" t="s">
        <v>573</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12.395139788263995</v>
      </c>
      <c r="J4" s="86">
        <f>eec+I1*(Slayer2val-1)</f>
        <v>13.168681724743193</v>
      </c>
      <c r="K4" s="29">
        <f>armor</f>
        <v>0.7417881608993474</v>
      </c>
      <c r="L4" s="29">
        <f>armor</f>
        <v>0.7417881608993474</v>
      </c>
      <c r="N4" s="32" t="s">
        <v>574</v>
      </c>
      <c r="O4" s="33">
        <f>P4*(P1/(1-P1))*(1-Qrec)+P4</f>
        <v>35</v>
      </c>
      <c r="P4" s="33">
        <f>35-as4p*10</f>
        <v>35</v>
      </c>
      <c r="Q4" s="33"/>
      <c r="R4" s="33" t="s">
        <v>575</v>
      </c>
      <c r="S4" s="33">
        <f>185+40*dm2p</f>
        <v>185</v>
      </c>
      <c r="T4" s="92">
        <f>fincrit</f>
        <v>0.22111169225206101</v>
      </c>
      <c r="U4" s="93">
        <f>T4/T5</f>
        <v>0.22111169225206101</v>
      </c>
      <c r="V4" s="1177" t="s">
        <v>1543</v>
      </c>
      <c r="W4" s="1178"/>
      <c r="X4" s="1182">
        <f>VLOOKUP($X$2,CHOOSE({1,2},AG56:AG284,D56:D284),2,FALSE)/VLOOKUP($X$2,CHOOSE({1,2},AG56:AG284,Q56:Q284),2,FALSE)</f>
        <v>6.1887651012086285E-2</v>
      </c>
      <c r="Y4" s="1182">
        <f>IF($W$15&gt;1, X4/$W$15, X4)</f>
        <v>6.1887651012086285E-2</v>
      </c>
      <c r="Z4" s="1179"/>
      <c r="AA4" s="1178" t="s">
        <v>1544</v>
      </c>
      <c r="AB4" s="1181" t="str">
        <f>"Cycle: "&amp;VLOOKUP($X$2,CHOOSE({1,2},AG56:AG284,AK56:AK284),2,FALSE)&amp;IF(forceea,"   EA Slack: "&amp;ROUND(VLOOKUP($X$2,CHOOSE({1,2},AG56:AG284,AJ56:AJ284),2,FALSE),2),"   SnD Slack: "&amp;ROUND(VLOOKUP($X$2,CHOOSE({1,2},AG56:AG284,AH56:AH284),2,FALSE),2))</f>
        <v>Cycle: 1s/5r   SnD Slack: 1.24</v>
      </c>
      <c r="AC4" s="108"/>
      <c r="AD4" s="27"/>
    </row>
    <row r="5" spans="2:31">
      <c r="B5" s="15" t="s">
        <v>2010</v>
      </c>
      <c r="C5" s="1303">
        <f>IF(dm4p,Optimize!C33,0)</f>
        <v>0</v>
      </c>
      <c r="D5" s="1303">
        <f>IF(dm4p,Optimize!C38,0)</f>
        <v>0</v>
      </c>
      <c r="E5" s="1303">
        <f>IF(dm4p,Optimize!C43,0)</f>
        <v>0</v>
      </c>
      <c r="F5" s="393"/>
      <c r="G5" s="27" t="s">
        <v>2998</v>
      </c>
      <c r="I5" s="95">
        <f>25</f>
        <v>25</v>
      </c>
      <c r="J5" s="86"/>
      <c r="N5" s="32" t="s">
        <v>576</v>
      </c>
      <c r="O5" s="33">
        <f>1*(1+(ievis*0.05))*(1+(agg*0.02))</f>
        <v>1.06</v>
      </c>
      <c r="P5" s="90">
        <f>(1*U3+2*U4)</f>
        <v>1.2211116922520611</v>
      </c>
      <c r="Q5" s="33"/>
      <c r="R5" s="33" t="s">
        <v>577</v>
      </c>
      <c r="S5" s="90">
        <f>(ohavg+ap/APtoDPS*OHnorm)*(instactualhit+(1+((leth*0.06+2)-1)*(cfact-1))*instactualcrit)*(1+sa*0.1)*(0.5+0.05*dws)+avipdam</f>
        <v>850.31292568652589</v>
      </c>
      <c r="T5" s="92">
        <f>T4+T3</f>
        <v>1</v>
      </c>
      <c r="U5" s="91"/>
      <c r="V5" s="1177" t="s">
        <v>1545</v>
      </c>
      <c r="W5" s="1178"/>
      <c r="X5" s="1182">
        <f>VLOOKUP($X$2,CHOOSE({1,2},AG56:AG284,I56:I284),2,FALSE)/VLOOKUP($X$2,CHOOSE({1,2},AG56:AG284,Q56:Q284),2,FALSE)+IF(arush,IF(time=0,MIN(1,150/(instcost*N43+evicost))*5/300,MIN(1,totalARTicks*10/(instcost*N43+evicost))*5/time),0)</f>
        <v>0.30886886428081306</v>
      </c>
      <c r="Y5" s="1182">
        <f>IF($W$15&gt;1, X5/$W$15, X5)</f>
        <v>0.30886886428081306</v>
      </c>
      <c r="Z5" s="1183">
        <f>IF(time=0, VLOOKUP($X$2,CHOOSE({1,2},AG56:AG284,V56:V284),2,FALSE), MIN(VLOOKUP($X$2,CHOOSE({1,2},AG56:AG284,V56:V284),2,FALSE),MIN(1,1-$S$49/time)))</f>
        <v>0.98</v>
      </c>
      <c r="AA5" s="1178" t="s">
        <v>407</v>
      </c>
      <c r="AB5" s="1181"/>
      <c r="AC5" s="108"/>
      <c r="AD5" s="27"/>
    </row>
    <row r="6" spans="2:31">
      <c r="B6" s="15" t="s">
        <v>2011</v>
      </c>
      <c r="C6" s="1303">
        <f>IF(dm4p,Optimize!C34,0)</f>
        <v>0</v>
      </c>
      <c r="D6" s="1303">
        <f>IF(dm4p,Optimize!C39,0)</f>
        <v>0</v>
      </c>
      <c r="E6" s="1303">
        <f>IF(dm4p,Optimize!C44,0)</f>
        <v>0</v>
      </c>
      <c r="F6" s="393"/>
      <c r="G6" t="s">
        <v>578</v>
      </c>
      <c r="J6" s="86"/>
      <c r="K6" t="s">
        <v>579</v>
      </c>
      <c r="L6" t="str">
        <f>IF(Talents!O28="Yes", "SS", IF(AND(Talents!$O$29="Yes",ohtemp="Instant Poison VII"),"V",IF(mhtype="dagger",IF(AND(ohtype="dagger",mutilate=1),"Mut","BS"),IF(hemo,"HEMO","SS"))))</f>
        <v>SS</v>
      </c>
      <c r="N6" s="32" t="s">
        <v>580</v>
      </c>
      <c r="O6" s="90">
        <f>mhdps+ohdps</f>
        <v>797.97744112991768</v>
      </c>
      <c r="P6" s="33"/>
      <c r="Q6" s="33"/>
      <c r="R6" s="33" t="s">
        <v>581</v>
      </c>
      <c r="S6" s="90">
        <f>(1.5+talSCallInstBon)*(MHavg+ap/APtoDPS*MHnorm+170)*(instactualhit+(1+((leth*0.06+2)-1)*(cfact-1))*instactualcrit)*(1+sa*0.1+0.04*opp+0.02*agg+Slayer4value-1)</f>
        <v>2096.8643883549157</v>
      </c>
      <c r="T6" s="92">
        <f>insthit</f>
        <v>0.76331054159298017</v>
      </c>
      <c r="U6" s="93">
        <f>T6/T8</f>
        <v>0.77888830774793893</v>
      </c>
      <c r="V6" s="1177" t="s">
        <v>1546</v>
      </c>
      <c r="W6" s="1178"/>
      <c r="X6" s="1179">
        <f>IF(VLOOKUP($X$2,CHOOSE({1,2},AG56:AG284,AB56:AB284),2,FALSE)&gt;0,VLOOKUP($X$2,CHOOSE({1,2},AG56:AG284,AB56:AB284),2,FALSE)/VLOOKUP($X$2,CHOOSE({1,2},AG56:AG284,E56:E284),2,FALSE),F24)</f>
        <v>1459.2710844590233</v>
      </c>
      <c r="Y6" s="1179"/>
      <c r="Z6" s="1183">
        <f>IF(time=0, VLOOKUP($X$2,CHOOSE({1,2},AG56:AG284,U56:U284),2,FALSE), MIN(VLOOKUP($X$2,CHOOSE({1,2},AG56:AG284,U56:U284),2,FALSE), MIN(1,1-$R$49/time)))</f>
        <v>0.9966666666666667</v>
      </c>
      <c r="AA6" s="1178" t="s">
        <v>1547</v>
      </c>
      <c r="AB6" s="1181"/>
      <c r="AC6" s="108"/>
      <c r="AD6" s="27"/>
    </row>
    <row r="7" spans="2:31">
      <c r="B7" s="17" t="s">
        <v>2013</v>
      </c>
      <c r="C7" s="26">
        <f>eec*10+I1*(Slayer2val-1)</f>
        <v>124.72493981911916</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582</v>
      </c>
      <c r="O7" s="90">
        <f>IF(L6="v",S5,IF(L6="mut",S10,IF(L6="BS",S6,IF(L6="HEMO",S8,S7))))</f>
        <v>1288.9417237527728</v>
      </c>
      <c r="P7" s="90">
        <f>O7/O2</f>
        <v>32.092553081242819</v>
      </c>
      <c r="Q7" s="33" t="s">
        <v>583</v>
      </c>
      <c r="R7" s="33" t="s">
        <v>584</v>
      </c>
      <c r="S7" s="90">
        <f>(MHavg+ap/APtoDPS*MHnorm+98)*(instactualhit+(1+((leth*0.06+2)-1)*(cfact-1))*instactualcrit)*(1+sa*0.1+0.02*agg+Slayer4value-1)</f>
        <v>1288.9417237527728</v>
      </c>
      <c r="T7" s="92">
        <f>instcrit</f>
        <v>0.21668945840701978</v>
      </c>
      <c r="U7" s="93">
        <f>T7/T8</f>
        <v>0.22111169225206101</v>
      </c>
      <c r="V7" s="1177" t="s">
        <v>1548</v>
      </c>
      <c r="W7" s="1178"/>
      <c r="X7" s="1179">
        <f>VLOOKUP($X$2,CHOOSE({1,2},AG56:AG284,AA56:AA284),2,FALSE)</f>
        <v>1759.7269451999114</v>
      </c>
      <c r="Y7" s="1179"/>
      <c r="Z7" s="1183">
        <f>IF(time=0, VLOOKUP($X$2,CHOOSE({1,2},AG56:AG284,W56:W284),2,FALSE), MIN(VLOOKUP($X$2,CHOOSE({1,2},AG56:AG284,W56:W284),2,FALSE),MIN(1,1-$T$49/time)))</f>
        <v>0</v>
      </c>
      <c r="AA7" s="1178" t="s">
        <v>3026</v>
      </c>
      <c r="AB7" s="1181"/>
      <c r="AC7" s="108"/>
      <c r="AD7" s="27"/>
    </row>
    <row r="8" spans="2:31">
      <c r="B8" s="392"/>
      <c r="C8" s="393"/>
      <c r="D8" s="389"/>
      <c r="E8" s="393"/>
      <c r="F8" s="393"/>
      <c r="G8" t="s">
        <v>320</v>
      </c>
      <c r="H8">
        <f>eec</f>
        <v>12.395139788263995</v>
      </c>
      <c r="I8" s="86"/>
      <c r="J8" s="86"/>
      <c r="N8" s="32"/>
      <c r="O8" s="98"/>
      <c r="P8" s="33"/>
      <c r="Q8" s="33"/>
      <c r="R8" s="33" t="s">
        <v>585</v>
      </c>
      <c r="S8" s="90">
        <f>Slayer4value*(MHavg+ap/APtoDPS*MHnorm)*(1.1+talSCallInstBon)*(instactualhit+(1+((leth*0.06+2)-1)*(cfact-1))*instactualcrit)+420*(1+raidcrit)*debuffon</f>
        <v>1606.626536142983</v>
      </c>
      <c r="T8" s="92">
        <f>T6+T7</f>
        <v>0.98</v>
      </c>
      <c r="U8" s="91"/>
      <c r="V8" s="1184" t="s">
        <v>1549</v>
      </c>
      <c r="W8" s="1178"/>
      <c r="X8" s="1179">
        <f>VLOOKUP($X$2,CHOOSE({1,2},AG56:AG284,Z56:Z284),2,FALSE)</f>
        <v>2869.3780204034333</v>
      </c>
      <c r="Y8" s="1179">
        <f>X8/$Z$3</f>
        <v>177.57906554847867</v>
      </c>
      <c r="Z8" s="1179"/>
      <c r="AA8" s="1178"/>
      <c r="AB8" s="1181"/>
      <c r="AC8" s="27"/>
      <c r="AD8" s="27"/>
      <c r="AE8" s="197"/>
    </row>
    <row r="9" spans="2:31">
      <c r="B9" s="392"/>
      <c r="C9" s="393"/>
      <c r="D9" s="389"/>
      <c r="E9" s="393"/>
      <c r="F9" s="389"/>
      <c r="G9" t="s">
        <v>324</v>
      </c>
      <c r="H9">
        <f>sndeec</f>
        <v>13.168681724743193</v>
      </c>
      <c r="I9" s="28"/>
      <c r="J9" s="395"/>
      <c r="K9" s="394"/>
      <c r="L9" s="394"/>
      <c r="N9" s="32"/>
      <c r="O9" s="99"/>
      <c r="P9" s="33"/>
      <c r="Q9" s="33"/>
      <c r="R9" s="33" t="s">
        <v>586</v>
      </c>
      <c r="S9" s="90">
        <f>((MHavg+ap/APtoDPS*MHspd)*1.25)*(instactualhit+(1+((leth*0.06+2)-1)*(cfact-1))*instactualcrit)</f>
        <v>1302.8717781345997</v>
      </c>
      <c r="T9" s="33"/>
      <c r="U9" s="91"/>
      <c r="V9" s="1177" t="s">
        <v>1550</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838</v>
      </c>
      <c r="S10" s="90">
        <f>Slayer4value*((1+0.04*opp)*(MHavg+101+ap/APtoDPS*MHnorm+(0.5+0.05*dws)*(ohavg+ap/APtoDPS*OHnorm)+101*(1+0.1*dws))*(1+0.5*IF(Talents!$O$18="Yes",1,0))*(instactualhit+(1+((leth*0.06+2)-1)*(cfact-1))*instactualcrit))</f>
        <v>2913.1167823175683</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839</v>
      </c>
      <c r="O11" s="33"/>
      <c r="P11" s="33"/>
      <c r="Q11" s="33"/>
      <c r="R11" s="33"/>
      <c r="S11" s="33"/>
      <c r="T11" s="33"/>
      <c r="U11" s="91"/>
      <c r="V11" s="1190" t="s">
        <v>316</v>
      </c>
      <c r="W11" s="1182">
        <f>VLOOKUP($X$2,CHOOSE({1,2},AG56:AG284,F56:F284),2,FALSE)/VLOOKUP($X$2,CHOOSE({1,2},AG56:AG284,Q56:Q284),2,FALSE)</f>
        <v>0</v>
      </c>
      <c r="X11" s="1182">
        <f>IF($W$15&gt;1, W11/$W$15, W11)</f>
        <v>0</v>
      </c>
      <c r="Y11" s="1191"/>
      <c r="Z11" s="1191" t="s">
        <v>1539</v>
      </c>
      <c r="AA11" s="1191">
        <f>VLOOKUP($X$2,CHOOSE({1,2},AG56:AG284,H56:H284),2,FALSE)</f>
        <v>2</v>
      </c>
      <c r="AB11" s="1191"/>
      <c r="AC11" s="108"/>
      <c r="AD11" s="27"/>
      <c r="AE11" s="396"/>
    </row>
    <row r="12" spans="2:31">
      <c r="B12" s="17" t="s">
        <v>420</v>
      </c>
      <c r="C12" s="312" t="s">
        <v>922</v>
      </c>
      <c r="D12" s="312" t="s">
        <v>125</v>
      </c>
      <c r="E12" s="312" t="s">
        <v>813</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1542</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1026</v>
      </c>
      <c r="W13" s="1192"/>
      <c r="X13" s="1192"/>
      <c r="Y13" s="1191"/>
      <c r="Z13" s="1191" t="s">
        <v>270</v>
      </c>
      <c r="AA13" s="1182">
        <f>VLOOKUP($X$2,CHOOSE({1,2},AG56:AG284,C56:C284),2,FALSE)/VLOOKUP($X$2,CHOOSE({1,2},AG56:AG284,Q56:Q284),2,FALSE)</f>
        <v>6.1887651012086285E-2</v>
      </c>
      <c r="AB13" s="1182">
        <f>IF($W$15&gt;1, AA13/$W$15, AA13)</f>
        <v>6.1887651012086285E-2</v>
      </c>
      <c r="AE13" s="197"/>
    </row>
    <row r="14" spans="2:31">
      <c r="B14" s="207" t="s">
        <v>126</v>
      </c>
      <c r="C14">
        <v>2</v>
      </c>
      <c r="D14" s="25">
        <f>(6+3*C14+3*nb2p)*(1+0.15*isnd)</f>
        <v>21.75</v>
      </c>
      <c r="E14" s="397">
        <f>25-(5*relent*C14)-(25*C3)</f>
        <v>15</v>
      </c>
      <c r="F14" s="374" t="s">
        <v>322</v>
      </c>
      <c r="G14" s="389"/>
      <c r="H14" s="1581" t="s">
        <v>319</v>
      </c>
      <c r="I14" s="1582"/>
      <c r="J14" s="1285">
        <v>1</v>
      </c>
      <c r="K14" s="1286">
        <v>2</v>
      </c>
      <c r="L14" s="1286">
        <v>3</v>
      </c>
      <c r="M14" s="1286">
        <v>4</v>
      </c>
      <c r="N14" s="1287">
        <v>5</v>
      </c>
      <c r="O14" s="394"/>
      <c r="P14" s="394"/>
      <c r="Q14" s="394"/>
      <c r="R14" s="97"/>
      <c r="V14" s="1190" t="s">
        <v>3019</v>
      </c>
      <c r="W14" s="1182">
        <f>VLOOKUP($X$2,CHOOSE({1,2},AG56:AG284,G56:G284),2,FALSE)/VLOOKUP($X$2,CHOOSE({1,2},AG56:AG284,Q56:Q284),2,FALSE)</f>
        <v>0</v>
      </c>
      <c r="X14" s="1182">
        <f>IF($W$15&gt;1, W14/$W$15, W14)</f>
        <v>0</v>
      </c>
      <c r="Y14" s="1191"/>
      <c r="Z14" s="1191" t="s">
        <v>3196</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79" t="s">
        <v>323</v>
      </c>
      <c r="I15" s="1580"/>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3018</v>
      </c>
      <c r="W15" s="1182">
        <f>X3+X4+X5+AA13+W11+W14</f>
        <v>0.43500579418954538</v>
      </c>
      <c r="X15" s="1182">
        <f>envsec+easec+evisec+rupsec+sndsec+instsec</f>
        <v>0.43500579418954544</v>
      </c>
      <c r="Y15" s="1191"/>
      <c r="Z15" s="1191"/>
      <c r="AA15" s="1191"/>
      <c r="AB15" s="1191"/>
      <c r="AE15" s="197"/>
    </row>
    <row r="16" spans="2:31">
      <c r="B16" s="207" t="s">
        <v>126</v>
      </c>
      <c r="C16">
        <v>4</v>
      </c>
      <c r="D16" s="25">
        <f>(6+3*C16+3*nb2p)*(1+0.15*isnd)</f>
        <v>30.45</v>
      </c>
      <c r="E16" s="397">
        <f>25-(5*relent*C16)-(25*C5)</f>
        <v>5</v>
      </c>
      <c r="F16" s="374" t="s">
        <v>322</v>
      </c>
      <c r="G16" s="389"/>
      <c r="H16" s="1587"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66"/>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67"/>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384.02905544238831</v>
      </c>
      <c r="H20" s="1583" t="s">
        <v>329</v>
      </c>
      <c r="I20" s="1583"/>
      <c r="J20" s="1583"/>
      <c r="K20" s="1583"/>
      <c r="L20" s="1583"/>
      <c r="M20" s="1583"/>
      <c r="N20" s="1583"/>
      <c r="P20" s="1583" t="s">
        <v>330</v>
      </c>
      <c r="Q20" s="1583"/>
      <c r="R20" s="1583"/>
      <c r="S20" s="1583"/>
      <c r="T20" s="1583"/>
      <c r="U20" s="1583"/>
      <c r="V20" s="1583"/>
      <c r="AE20" s="197"/>
    </row>
    <row r="21" spans="2:31" ht="18" customHeight="1">
      <c r="B21" s="207" t="s">
        <v>128</v>
      </c>
      <c r="C21">
        <v>2</v>
      </c>
      <c r="D21" s="402" t="s">
        <v>322</v>
      </c>
      <c r="E21" s="397">
        <f>$O$4-(5*relent*C21)-(35*E3)</f>
        <v>25</v>
      </c>
      <c r="F21" s="397">
        <f>(($S$3+$S$4*C21+ap*0.03*C21)*$O$5+IF(AND(Hemorrhage=1,OR(Talents!O25="No",instatk&lt;&gt;"HEMO")),42*HDebuff,0))*$K$4*$P$5</f>
        <v>652.8395626965472</v>
      </c>
      <c r="H21" s="1584"/>
      <c r="I21" s="1584"/>
      <c r="J21" s="1584"/>
      <c r="K21" s="1584"/>
      <c r="L21" s="1584"/>
      <c r="M21" s="1584"/>
      <c r="N21" s="1584"/>
      <c r="P21" s="1584"/>
      <c r="Q21" s="1584"/>
      <c r="R21" s="1584"/>
      <c r="S21" s="1584"/>
      <c r="T21" s="1584"/>
      <c r="U21" s="1584"/>
      <c r="V21" s="1584"/>
      <c r="AE21" s="197"/>
    </row>
    <row r="22" spans="2:31">
      <c r="B22" s="207" t="s">
        <v>128</v>
      </c>
      <c r="C22">
        <v>3</v>
      </c>
      <c r="D22" s="402" t="s">
        <v>322</v>
      </c>
      <c r="E22" s="397">
        <f>$O$4-(5*relent*C22)-(35*E4)</f>
        <v>20</v>
      </c>
      <c r="F22" s="397">
        <f>(($S$3+$S$4*C22+ap*0.03*C22)*$O$5+IF(AND(Hemorrhage=1,OR(Talents!O25="No",instatk&lt;&gt;"HEMO")),42*HDebuff,0))*$K$4*$P$5</f>
        <v>921.65006995070587</v>
      </c>
      <c r="G22" s="398"/>
      <c r="H22" s="1577" t="s">
        <v>319</v>
      </c>
      <c r="I22" s="1578"/>
      <c r="J22" s="1288">
        <v>1</v>
      </c>
      <c r="K22" s="1289">
        <v>2</v>
      </c>
      <c r="L22" s="1289">
        <v>3</v>
      </c>
      <c r="M22" s="1289">
        <v>4</v>
      </c>
      <c r="N22" s="1290">
        <v>5</v>
      </c>
      <c r="P22" s="1577" t="s">
        <v>319</v>
      </c>
      <c r="Q22" s="1578"/>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1190.4605772048644</v>
      </c>
      <c r="H23" s="1585" t="s">
        <v>331</v>
      </c>
      <c r="I23" s="1586"/>
      <c r="J23" s="1193"/>
      <c r="K23" s="1194"/>
      <c r="L23" s="1194"/>
      <c r="M23" s="1194"/>
      <c r="N23" s="1195"/>
      <c r="P23" s="1588" t="s">
        <v>331</v>
      </c>
      <c r="Q23" s="1589"/>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1459.2710844590233</v>
      </c>
      <c r="H24" s="1196" t="s">
        <v>922</v>
      </c>
      <c r="I24" s="1197" t="s">
        <v>2298</v>
      </c>
      <c r="J24" s="1198"/>
      <c r="K24" s="1105"/>
      <c r="L24" s="1105"/>
      <c r="M24" s="1105"/>
      <c r="N24" s="1199"/>
      <c r="P24" s="1234" t="s">
        <v>922</v>
      </c>
      <c r="Q24" s="1235" t="s">
        <v>2298</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1347</v>
      </c>
      <c r="C27">
        <v>1</v>
      </c>
      <c r="D27" s="25">
        <f>(6+2*C27)</f>
        <v>8</v>
      </c>
      <c r="E27" s="397">
        <f>$O$3-(5*relent*C27)-(25*D2)</f>
        <v>20</v>
      </c>
      <c r="F27" s="397">
        <f>(324+0.04*ap)*(1+0.1*serrb)*(1+mangle*0.3)</f>
        <v>450.62115753331858</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1347</v>
      </c>
      <c r="C28">
        <v>2</v>
      </c>
      <c r="D28" s="25">
        <f>(6+2*C28)</f>
        <v>10</v>
      </c>
      <c r="E28" s="397">
        <f>$O$3-(5*relent*C28)-(25*D3)</f>
        <v>15</v>
      </c>
      <c r="F28" s="25">
        <f>(460+ap*0.1)*(1+0.1*serrb)*(1+mangle*0.3)</f>
        <v>776.55289383329648</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1347</v>
      </c>
      <c r="C29">
        <v>3</v>
      </c>
      <c r="D29" s="25">
        <f>(6+2*C29)</f>
        <v>12</v>
      </c>
      <c r="E29" s="397">
        <f>$O$3-(5*relent*C29)-(25*D4)</f>
        <v>10</v>
      </c>
      <c r="F29" s="25">
        <f>(618+ap*0.18)*(1+0.1*serrb)*(1+mangle*0.3)</f>
        <v>1187.7952088999336</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1347</v>
      </c>
      <c r="C30">
        <v>4</v>
      </c>
      <c r="D30" s="25">
        <f>(6+2*C30)</f>
        <v>14</v>
      </c>
      <c r="E30" s="397">
        <f>$O$3-(5*relent*C30)-(25*D5)</f>
        <v>5</v>
      </c>
      <c r="F30" s="25">
        <f>(798+ap*0.21)*(1+0.1*serrb)*(1+mangle*0.3)</f>
        <v>1462.7610770499225</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1347</v>
      </c>
      <c r="C31">
        <v>5</v>
      </c>
      <c r="D31" s="25">
        <f>(6+2*C31)</f>
        <v>16</v>
      </c>
      <c r="E31" s="397">
        <f>$O$3-(5*relent*C31)-(25*D6)</f>
        <v>0</v>
      </c>
      <c r="F31" s="25">
        <f>(1000+ap*0.24)*(1+0.1*serrb)*(1+mangle*0.3)</f>
        <v>1759.7269451999114</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394.85850700419155</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789.7170140083831</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1184.5755210125749</v>
      </c>
      <c r="H36" s="1200">
        <v>3</v>
      </c>
      <c r="I36" s="1201">
        <v>3</v>
      </c>
      <c r="J36" s="1218">
        <v>0</v>
      </c>
      <c r="K36" s="1223">
        <v>0</v>
      </c>
      <c r="L36" s="1217">
        <f>L32*(1-$Q$46)</f>
        <v>0.39999999999999991</v>
      </c>
      <c r="M36" s="1203">
        <f>M32*(1-$Q$46)</f>
        <v>0.39999999999999991</v>
      </c>
      <c r="N36" s="1204">
        <f>N32*(1-$Q$46)</f>
        <v>0.39999999999999991</v>
      </c>
      <c r="P36" s="1590" t="s">
        <v>323</v>
      </c>
      <c r="Q36" s="1591"/>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1579.4340280167662</v>
      </c>
      <c r="H37" s="1200">
        <v>4</v>
      </c>
      <c r="I37" s="1201">
        <v>3</v>
      </c>
      <c r="J37" s="1218">
        <v>0</v>
      </c>
      <c r="K37" s="1223">
        <v>0</v>
      </c>
      <c r="L37" s="1217">
        <f>L32*$Q$46</f>
        <v>0</v>
      </c>
      <c r="M37" s="1217">
        <f>M32*$Q$46+M33*(1-$Q$46)</f>
        <v>0.60000000000000009</v>
      </c>
      <c r="N37" s="1204">
        <f>N32*$Q$46+N33*(1-$Q$46)</f>
        <v>0.60000000000000009</v>
      </c>
      <c r="P37" s="1587"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1974.2925350209578</v>
      </c>
      <c r="H38" s="1206">
        <v>5</v>
      </c>
      <c r="I38" s="1207">
        <v>3</v>
      </c>
      <c r="J38" s="1219">
        <v>0</v>
      </c>
      <c r="K38" s="1220">
        <v>0</v>
      </c>
      <c r="L38" s="1220">
        <v>0</v>
      </c>
      <c r="M38" s="1209">
        <f>M33*$Q$46</f>
        <v>0</v>
      </c>
      <c r="N38" s="1224">
        <f>N33*$Q$46+N34</f>
        <v>0</v>
      </c>
      <c r="P38" s="1566"/>
      <c r="Q38" s="1304" t="s">
        <v>327</v>
      </c>
      <c r="R38" s="1241">
        <f>R27+R28</f>
        <v>0.39999999999999991</v>
      </c>
      <c r="S38" s="1242">
        <f>S29</f>
        <v>0.60000000000000009</v>
      </c>
      <c r="T38" s="1242">
        <f>T30+T32</f>
        <v>0.39999999999999991</v>
      </c>
      <c r="U38" s="1242">
        <f>U31+U33</f>
        <v>0.60000000000000009</v>
      </c>
      <c r="V38" s="1271">
        <v>0</v>
      </c>
    </row>
    <row r="39" spans="2:31" ht="13.5" thickBot="1">
      <c r="B39" s="411" t="s">
        <v>3144</v>
      </c>
      <c r="C39" s="400"/>
      <c r="D39" s="400"/>
      <c r="E39" s="400"/>
      <c r="F39" s="400"/>
      <c r="H39" s="1200">
        <v>4</v>
      </c>
      <c r="I39" s="1201">
        <v>4</v>
      </c>
      <c r="J39" s="1218">
        <v>0</v>
      </c>
      <c r="K39" s="1223">
        <v>0</v>
      </c>
      <c r="L39" s="1223">
        <v>0</v>
      </c>
      <c r="M39" s="1217">
        <f>M36*(1-$Q$46)</f>
        <v>0.39999999999999991</v>
      </c>
      <c r="N39" s="1204">
        <f>N36*(1-$Q$46)</f>
        <v>0.39999999999999991</v>
      </c>
      <c r="P39" s="1567"/>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68" t="s">
        <v>323</v>
      </c>
      <c r="I43" s="1569"/>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66"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66"/>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67"/>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3139</v>
      </c>
      <c r="S48" s="904" t="s">
        <v>3140</v>
      </c>
      <c r="T48" s="904" t="s">
        <v>3141</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1.24</v>
      </c>
      <c r="L51" s="905" t="s">
        <v>1136</v>
      </c>
      <c r="M51" s="1574" t="s">
        <v>3103</v>
      </c>
      <c r="N51" s="1574"/>
    </row>
    <row r="52" spans="2:43" ht="30">
      <c r="B52" s="1366" t="s">
        <v>338</v>
      </c>
      <c r="C52" s="1366"/>
      <c r="D52" s="1366"/>
      <c r="E52" s="1366"/>
      <c r="F52" s="1366"/>
      <c r="G52" s="1366"/>
      <c r="H52" s="1366"/>
      <c r="I52" s="1367" t="s">
        <v>1537</v>
      </c>
      <c r="J52" s="1368">
        <f>'Damage Calc'!$J$16</f>
        <v>1555.182530256119</v>
      </c>
      <c r="K52" s="1367"/>
      <c r="L52" s="1369">
        <f>'Gear &amp; Buffs'!$C$7</f>
        <v>1555.182530256119</v>
      </c>
      <c r="M52" s="1573" t="str">
        <f>ROUNDUP(J52-L52,2)&amp;" ("&amp;ROUNDUP((J52-L52)/J52,2)&amp;"%)"</f>
        <v>0 (0%)</v>
      </c>
      <c r="N52" s="1573"/>
    </row>
    <row r="53" spans="2:43">
      <c r="B53" s="1575" t="s">
        <v>1024</v>
      </c>
      <c r="C53" s="1571" t="s">
        <v>339</v>
      </c>
      <c r="D53" s="1571"/>
      <c r="E53" s="1571"/>
      <c r="F53" s="1571"/>
      <c r="G53" s="1571"/>
      <c r="H53" s="1571"/>
      <c r="I53" s="420" t="s">
        <v>340</v>
      </c>
      <c r="J53" s="1571" t="s">
        <v>341</v>
      </c>
      <c r="K53" s="1571"/>
      <c r="L53" s="1571"/>
      <c r="M53" s="421" t="s">
        <v>922</v>
      </c>
      <c r="N53" s="1571" t="s">
        <v>342</v>
      </c>
      <c r="O53" s="1571"/>
      <c r="P53" s="1571"/>
      <c r="Q53" s="1571"/>
      <c r="R53" s="1571" t="s">
        <v>3025</v>
      </c>
      <c r="S53" s="1571"/>
      <c r="T53" s="1571"/>
      <c r="U53" s="1571" t="s">
        <v>343</v>
      </c>
      <c r="V53" s="1571"/>
      <c r="W53" s="1571"/>
      <c r="X53" s="419" t="s">
        <v>321</v>
      </c>
      <c r="Y53" s="1571" t="s">
        <v>318</v>
      </c>
      <c r="Z53" s="1571"/>
      <c r="AA53" s="1571"/>
      <c r="AB53" s="1571"/>
      <c r="AC53" s="1571"/>
      <c r="AD53" s="1571"/>
      <c r="AE53" s="1571"/>
      <c r="AF53" s="1571"/>
      <c r="AG53" s="1572" t="s">
        <v>1537</v>
      </c>
      <c r="AH53" s="1576" t="s">
        <v>344</v>
      </c>
      <c r="AI53" s="1576"/>
      <c r="AJ53" s="1576"/>
      <c r="AK53" s="1570" t="s">
        <v>345</v>
      </c>
      <c r="AP53">
        <v>1</v>
      </c>
      <c r="AQ53" s="905" t="s">
        <v>3031</v>
      </c>
    </row>
    <row r="54" spans="2:43">
      <c r="B54" s="1575"/>
      <c r="C54" s="422" t="s">
        <v>126</v>
      </c>
      <c r="D54" s="422" t="s">
        <v>346</v>
      </c>
      <c r="E54" s="422" t="s">
        <v>347</v>
      </c>
      <c r="F54" s="422" t="s">
        <v>348</v>
      </c>
      <c r="G54" s="1374" t="s">
        <v>332</v>
      </c>
      <c r="H54" s="424" t="s">
        <v>1894</v>
      </c>
      <c r="I54" s="425" t="s">
        <v>1894</v>
      </c>
      <c r="J54" s="422" t="s">
        <v>2298</v>
      </c>
      <c r="K54" s="422" t="s">
        <v>1012</v>
      </c>
      <c r="L54" s="424" t="s">
        <v>1894</v>
      </c>
      <c r="M54" s="426" t="s">
        <v>1894</v>
      </c>
      <c r="N54" s="422" t="s">
        <v>126</v>
      </c>
      <c r="O54" s="422" t="s">
        <v>1188</v>
      </c>
      <c r="P54" s="1374" t="s">
        <v>332</v>
      </c>
      <c r="Q54" s="427" t="s">
        <v>1024</v>
      </c>
      <c r="R54" s="428" t="s">
        <v>126</v>
      </c>
      <c r="S54" s="428" t="s">
        <v>1188</v>
      </c>
      <c r="T54" s="1374" t="s">
        <v>332</v>
      </c>
      <c r="U54" s="428" t="s">
        <v>126</v>
      </c>
      <c r="V54" s="428" t="s">
        <v>1188</v>
      </c>
      <c r="W54" s="1374" t="s">
        <v>332</v>
      </c>
      <c r="X54" s="424"/>
      <c r="Y54" s="422" t="s">
        <v>2298</v>
      </c>
      <c r="Z54" s="422" t="s">
        <v>126</v>
      </c>
      <c r="AA54" s="422" t="s">
        <v>346</v>
      </c>
      <c r="AB54" s="422" t="s">
        <v>347</v>
      </c>
      <c r="AC54" s="422" t="s">
        <v>348</v>
      </c>
      <c r="AD54" s="423" t="s">
        <v>332</v>
      </c>
      <c r="AE54" s="422" t="s">
        <v>2057</v>
      </c>
      <c r="AF54" s="424" t="s">
        <v>1894</v>
      </c>
      <c r="AG54" s="1572"/>
      <c r="AH54" s="422" t="s">
        <v>126</v>
      </c>
      <c r="AI54" s="422" t="s">
        <v>346</v>
      </c>
      <c r="AJ54" s="1374" t="s">
        <v>332</v>
      </c>
      <c r="AK54" s="1570"/>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2.9096328672788698</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382.44868430760147</v>
      </c>
      <c r="Z56" s="446">
        <v>0</v>
      </c>
      <c r="AA56" s="446">
        <f>SUMPRODUCT($F$27:$F$29,$J$16:$J$18)*MIN(Q56/O56,1)*X56</f>
        <v>163.89276633127412</v>
      </c>
      <c r="AB56" s="446">
        <v>0</v>
      </c>
      <c r="AC56" s="446">
        <v>0</v>
      </c>
      <c r="AD56" s="446">
        <v>0</v>
      </c>
      <c r="AE56" s="446">
        <v>0</v>
      </c>
      <c r="AF56" s="447">
        <f t="shared" ref="AF56:AF81" si="7">SUM(Y56:AE56)</f>
        <v>546.34145063887559</v>
      </c>
      <c r="AG56" s="452">
        <f t="shared" ref="AG56:AG87" si="8">IF(AND(forceea,W56=0),0,IF(time=0, AF56/Q56, IF(time&lt;Q56, 0, AF56/Q56))*AQ56)</f>
        <v>187.76989247781694</v>
      </c>
      <c r="AH56" s="453">
        <v>0</v>
      </c>
      <c r="AI56" s="104">
        <f t="shared" ref="AI56:AI87" si="9">O56-$Q56</f>
        <v>5.0903671327211306</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5.746491983576683</v>
      </c>
      <c r="R57" s="1309">
        <v>0</v>
      </c>
      <c r="S57" s="1309">
        <f>(I57+1-$J$15)*$O$2+D57*$O$3</f>
        <v>105.32653061224489</v>
      </c>
      <c r="T57" s="1309">
        <v>0</v>
      </c>
      <c r="U57" s="450">
        <v>0</v>
      </c>
      <c r="V57" s="450">
        <f t="shared" si="4"/>
        <v>1</v>
      </c>
      <c r="W57" s="450">
        <v>0</v>
      </c>
      <c r="X57" s="451">
        <f t="shared" si="5"/>
        <v>1</v>
      </c>
      <c r="Y57" s="446">
        <f t="shared" si="6"/>
        <v>1338.5703950766056</v>
      </c>
      <c r="Z57" s="446">
        <v>0</v>
      </c>
      <c r="AA57" s="446">
        <f>SUMPRODUCT($F$28:$F$30,$K$16:$K$18)*MIN(Q57/O57,1)*X57</f>
        <v>446.24549792363126</v>
      </c>
      <c r="AB57" s="446">
        <v>0</v>
      </c>
      <c r="AC57" s="446">
        <v>0</v>
      </c>
      <c r="AD57" s="446">
        <v>0</v>
      </c>
      <c r="AE57" s="446">
        <v>0</v>
      </c>
      <c r="AF57" s="447">
        <f t="shared" si="7"/>
        <v>1784.8158930002369</v>
      </c>
      <c r="AG57" s="452">
        <f t="shared" si="8"/>
        <v>310.59225316961931</v>
      </c>
      <c r="AH57" s="453">
        <v>0</v>
      </c>
      <c r="AI57" s="104">
        <f t="shared" si="9"/>
        <v>4.253508016423317</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8.5833510998744931</v>
      </c>
      <c r="R58" s="1309">
        <v>0</v>
      </c>
      <c r="S58" s="1309">
        <f>(I58+1-$J$15)*$O$2+D58*$O$3</f>
        <v>145.48979591836735</v>
      </c>
      <c r="T58" s="1309">
        <v>0</v>
      </c>
      <c r="U58" s="450">
        <v>0</v>
      </c>
      <c r="V58" s="450">
        <f t="shared" si="4"/>
        <v>1</v>
      </c>
      <c r="W58" s="450">
        <v>0</v>
      </c>
      <c r="X58" s="451">
        <f t="shared" si="5"/>
        <v>1</v>
      </c>
      <c r="Y58" s="446">
        <f t="shared" si="6"/>
        <v>2294.6921058456096</v>
      </c>
      <c r="Z58" s="446">
        <v>0</v>
      </c>
      <c r="AA58" s="446">
        <f>SUMPRODUCT($F$29:$F$31,$L$16:$L$18)*MIN(Q58/O58,1)*X58</f>
        <v>849.60527606140818</v>
      </c>
      <c r="AB58" s="446">
        <v>0</v>
      </c>
      <c r="AC58" s="446">
        <v>0</v>
      </c>
      <c r="AD58" s="446">
        <v>0</v>
      </c>
      <c r="AE58" s="446">
        <v>0</v>
      </c>
      <c r="AF58" s="447">
        <f t="shared" si="7"/>
        <v>3144.2973819070176</v>
      </c>
      <c r="AG58" s="452">
        <f t="shared" si="8"/>
        <v>366.32515031955222</v>
      </c>
      <c r="AH58" s="453">
        <v>0</v>
      </c>
      <c r="AI58" s="104">
        <f t="shared" si="9"/>
        <v>3.4166489001255069</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11.420210216172306</v>
      </c>
      <c r="R59" s="1309">
        <v>0</v>
      </c>
      <c r="S59" s="1309">
        <f>(I59+1-$J$15)*$O$2+D59*$O$3</f>
        <v>185.65306122448979</v>
      </c>
      <c r="T59" s="1309">
        <v>0</v>
      </c>
      <c r="U59" s="450">
        <v>0</v>
      </c>
      <c r="V59" s="450">
        <f t="shared" si="4"/>
        <v>1</v>
      </c>
      <c r="W59" s="450">
        <v>0</v>
      </c>
      <c r="X59" s="451">
        <f t="shared" si="5"/>
        <v>1</v>
      </c>
      <c r="Y59" s="446">
        <f t="shared" si="6"/>
        <v>3250.8138166146132</v>
      </c>
      <c r="Z59" s="106">
        <v>0</v>
      </c>
      <c r="AA59" s="446">
        <f>SUMPRODUCT($F$30:$F$32,$M$16:$M$18)*MIN(Q59/O59,1)*X59</f>
        <v>1193.2170711389094</v>
      </c>
      <c r="AB59" s="446">
        <v>0</v>
      </c>
      <c r="AC59" s="446">
        <v>0</v>
      </c>
      <c r="AD59" s="446">
        <v>0</v>
      </c>
      <c r="AE59" s="446">
        <v>0</v>
      </c>
      <c r="AF59" s="447">
        <f t="shared" si="7"/>
        <v>4444.0308877535226</v>
      </c>
      <c r="AG59" s="452">
        <f t="shared" si="8"/>
        <v>389.13739796665681</v>
      </c>
      <c r="AH59" s="453">
        <v>0</v>
      </c>
      <c r="AI59" s="104">
        <f t="shared" si="9"/>
        <v>2.5797897838276942</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14.25706933247012</v>
      </c>
      <c r="R60" s="1309">
        <v>0</v>
      </c>
      <c r="S60" s="1309">
        <f>(I60+1-$J$15)*$O$2+D60*$O$3</f>
        <v>225.81632653061223</v>
      </c>
      <c r="T60" s="1309">
        <v>0</v>
      </c>
      <c r="U60" s="450">
        <v>0</v>
      </c>
      <c r="V60" s="450">
        <f t="shared" si="4"/>
        <v>1</v>
      </c>
      <c r="W60" s="450">
        <v>0</v>
      </c>
      <c r="X60" s="451">
        <f t="shared" si="5"/>
        <v>1</v>
      </c>
      <c r="Y60" s="446">
        <f t="shared" si="6"/>
        <v>4206.9355273836181</v>
      </c>
      <c r="Z60" s="446">
        <v>0</v>
      </c>
      <c r="AA60" s="446">
        <f>SUMPRODUCT($F$31:$F$33,$N$16:$N$18)*MIN(Q60/O60,1)*X60</f>
        <v>1568.0343164956864</v>
      </c>
      <c r="AB60" s="446">
        <v>0</v>
      </c>
      <c r="AC60" s="446">
        <v>0</v>
      </c>
      <c r="AD60" s="446">
        <v>0</v>
      </c>
      <c r="AE60" s="446">
        <v>0</v>
      </c>
      <c r="AF60" s="447">
        <f t="shared" si="7"/>
        <v>5774.9698438793048</v>
      </c>
      <c r="AG60" s="452">
        <f t="shared" si="8"/>
        <v>405.06009399329741</v>
      </c>
      <c r="AH60" s="453">
        <v>0</v>
      </c>
      <c r="AI60" s="104">
        <f t="shared" si="9"/>
        <v>1.7429306675298797</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10.817874243970381</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2677.1407901532111</v>
      </c>
      <c r="Z61" s="446">
        <f t="shared" ref="Z61:Z92" si="14">Q61*U61*$O$6*(sndfact-1)*$K$4</f>
        <v>1921.0279994652158</v>
      </c>
      <c r="AA61" s="446">
        <f>SUMPRODUCT($F$29:$F$31,$L$16:$L$18)*MIN(Q61/O61,1)*X61</f>
        <v>1070.7849331225009</v>
      </c>
      <c r="AB61" s="446">
        <v>0</v>
      </c>
      <c r="AC61" s="446">
        <v>0</v>
      </c>
      <c r="AD61" s="446">
        <v>0</v>
      </c>
      <c r="AE61" s="446">
        <v>0</v>
      </c>
      <c r="AF61" s="447">
        <f t="shared" si="7"/>
        <v>5668.9537227409273</v>
      </c>
      <c r="AG61" s="452">
        <f t="shared" si="8"/>
        <v>524.03583133725772</v>
      </c>
      <c r="AH61" s="453">
        <f t="shared" ref="AH61:AH92" si="15">N61-$Q61</f>
        <v>6.5821257560296171</v>
      </c>
      <c r="AI61" s="104">
        <f t="shared" si="9"/>
        <v>1.1821257560296186</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13.488093332039972</v>
      </c>
      <c r="R62" s="1309">
        <f>(K$15+1-$J$15)*$O$2+25</f>
        <v>105.32653061224489</v>
      </c>
      <c r="S62" s="1309">
        <f>(I62+1-$J$15)*$O$2+C62*$E$14+D62*$O$3</f>
        <v>216.71836734693878</v>
      </c>
      <c r="T62" s="1309">
        <v>0</v>
      </c>
      <c r="U62" s="450">
        <f t="shared" si="13"/>
        <v>1</v>
      </c>
      <c r="V62" s="450">
        <f t="shared" si="4"/>
        <v>0.88967355908598911</v>
      </c>
      <c r="W62" s="450">
        <v>0</v>
      </c>
      <c r="X62" s="451">
        <f t="shared" si="5"/>
        <v>1</v>
      </c>
      <c r="Y62" s="446">
        <f t="shared" si="6"/>
        <v>3633.2625009222152</v>
      </c>
      <c r="Z62" s="446">
        <f t="shared" si="14"/>
        <v>2395.2030099343247</v>
      </c>
      <c r="AA62" s="446">
        <f>SUMPRODUCT($F$29:$F$31,$L$16:$L$18)*MIN(Q62/O62,1)*X62</f>
        <v>1187.7952088999336</v>
      </c>
      <c r="AB62" s="446">
        <v>0</v>
      </c>
      <c r="AC62" s="446">
        <v>0</v>
      </c>
      <c r="AD62" s="446">
        <v>0</v>
      </c>
      <c r="AE62" s="446">
        <v>0</v>
      </c>
      <c r="AF62" s="447">
        <f t="shared" si="7"/>
        <v>7216.2607197564739</v>
      </c>
      <c r="AG62" s="452">
        <f t="shared" si="8"/>
        <v>535.00969648651369</v>
      </c>
      <c r="AH62" s="453">
        <f t="shared" si="15"/>
        <v>8.2619066679600284</v>
      </c>
      <c r="AI62" s="104">
        <f t="shared" si="9"/>
        <v>-1.4880933320399716</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16.15831242010956</v>
      </c>
      <c r="R63" s="1309">
        <f>(L$15+1-$J$15)*$O$2+25</f>
        <v>145.48979591836735</v>
      </c>
      <c r="S63" s="1309">
        <f>(I63+1-$J$15)*$O$2+C63*$E$15+D63*$O$3</f>
        <v>251.88163265306122</v>
      </c>
      <c r="T63" s="1309">
        <v>0</v>
      </c>
      <c r="U63" s="450">
        <f t="shared" si="13"/>
        <v>1</v>
      </c>
      <c r="V63" s="450">
        <f t="shared" si="4"/>
        <v>0.74265181214503562</v>
      </c>
      <c r="W63" s="450">
        <v>0</v>
      </c>
      <c r="X63" s="451">
        <f t="shared" si="5"/>
        <v>1</v>
      </c>
      <c r="Y63" s="446">
        <f t="shared" si="6"/>
        <v>4589.3842116912192</v>
      </c>
      <c r="Z63" s="446">
        <f t="shared" si="14"/>
        <v>2869.3780204034329</v>
      </c>
      <c r="AA63" s="446">
        <f>SUMPRODUCT($F$29:$F$31,$L$16:$L$18)*MIN(Q63/O63,1)*X63</f>
        <v>1187.7952088999336</v>
      </c>
      <c r="AB63" s="446">
        <v>0</v>
      </c>
      <c r="AC63" s="446">
        <v>0</v>
      </c>
      <c r="AD63" s="446">
        <v>0</v>
      </c>
      <c r="AE63" s="446">
        <v>0</v>
      </c>
      <c r="AF63" s="447">
        <f t="shared" si="7"/>
        <v>8646.5574409945857</v>
      </c>
      <c r="AG63" s="452">
        <f t="shared" si="8"/>
        <v>535.11512936423082</v>
      </c>
      <c r="AH63" s="453">
        <f t="shared" si="15"/>
        <v>9.9416875798904378</v>
      </c>
      <c r="AI63" s="104">
        <f t="shared" si="9"/>
        <v>-4.15831242010956</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18.82853150817915</v>
      </c>
      <c r="R64" s="1309">
        <f>(M$15+1-$J$15)*$O$2+25</f>
        <v>185.65306122448979</v>
      </c>
      <c r="S64" s="1309">
        <f>(I64+1-$J$15)*$O$2+C64*$E$16+D64*$O$3</f>
        <v>287.04489795918369</v>
      </c>
      <c r="T64" s="1309">
        <v>0</v>
      </c>
      <c r="U64" s="450">
        <f t="shared" si="13"/>
        <v>1</v>
      </c>
      <c r="V64" s="450">
        <f t="shared" si="4"/>
        <v>0.63733063806846413</v>
      </c>
      <c r="W64" s="450">
        <v>0</v>
      </c>
      <c r="X64" s="451">
        <f t="shared" si="5"/>
        <v>1</v>
      </c>
      <c r="Y64" s="446">
        <f t="shared" si="6"/>
        <v>5545.5059224602228</v>
      </c>
      <c r="Z64" s="446">
        <f t="shared" si="14"/>
        <v>3343.5530308725415</v>
      </c>
      <c r="AA64" s="446">
        <f>SUMPRODUCT($F$29:$F$31,$L$16:$L$18)*MIN(Q64/O64,1)*X64</f>
        <v>1187.7952088999336</v>
      </c>
      <c r="AB64" s="446">
        <v>0</v>
      </c>
      <c r="AC64" s="446">
        <v>0</v>
      </c>
      <c r="AD64" s="446">
        <v>0</v>
      </c>
      <c r="AE64" s="446">
        <v>0</v>
      </c>
      <c r="AF64" s="447">
        <f t="shared" si="7"/>
        <v>10076.854162232697</v>
      </c>
      <c r="AG64" s="452">
        <f t="shared" si="8"/>
        <v>535.19065774488536</v>
      </c>
      <c r="AH64" s="453">
        <f t="shared" si="15"/>
        <v>11.621468491820849</v>
      </c>
      <c r="AI64" s="104">
        <f t="shared" si="9"/>
        <v>-6.8285315081791502</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21.498750596248744</v>
      </c>
      <c r="R65" s="1309">
        <f>(N$15+1-$J$15)*$O$2+25</f>
        <v>225.81632653061223</v>
      </c>
      <c r="S65" s="1309">
        <f>(I65+1-$J$15)*$O$2+C65*$E$17+D65*$O$3</f>
        <v>322.2081632653061</v>
      </c>
      <c r="T65" s="1309">
        <v>0</v>
      </c>
      <c r="U65" s="450">
        <f t="shared" si="13"/>
        <v>1</v>
      </c>
      <c r="V65" s="450">
        <f t="shared" si="4"/>
        <v>0.55817197126301121</v>
      </c>
      <c r="W65" s="450">
        <v>0</v>
      </c>
      <c r="X65" s="451">
        <f t="shared" si="5"/>
        <v>1</v>
      </c>
      <c r="Y65" s="446">
        <f t="shared" si="6"/>
        <v>6501.6276332292282</v>
      </c>
      <c r="Z65" s="446">
        <f t="shared" si="14"/>
        <v>3817.7280413416511</v>
      </c>
      <c r="AA65" s="446">
        <f>SUMPRODUCT($F$29:$F$31,$L$16:$L$18)*MIN(Q65/O65,1)*X65</f>
        <v>1187.7952088999336</v>
      </c>
      <c r="AB65" s="446">
        <v>0</v>
      </c>
      <c r="AC65" s="446">
        <v>0</v>
      </c>
      <c r="AD65" s="446">
        <v>0</v>
      </c>
      <c r="AE65" s="446">
        <v>0</v>
      </c>
      <c r="AF65" s="447">
        <f t="shared" si="7"/>
        <v>11507.150883470813</v>
      </c>
      <c r="AG65" s="452">
        <f t="shared" si="8"/>
        <v>535.24742435398377</v>
      </c>
      <c r="AH65" s="453">
        <f t="shared" si="15"/>
        <v>13.301249403751253</v>
      </c>
      <c r="AI65" s="104">
        <f t="shared" si="9"/>
        <v>-9.498750596248744</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13.488093332039972</v>
      </c>
      <c r="R66" s="1309">
        <f>(J$15+1-$J$15)*$O$2+C66*25</f>
        <v>65.16326530612244</v>
      </c>
      <c r="S66" s="1309">
        <f>(I66+1-$J$15)*$O$2+C66*$E$13+D66*$O$3</f>
        <v>221.71836734693878</v>
      </c>
      <c r="T66" s="1309">
        <v>0</v>
      </c>
      <c r="U66" s="450">
        <f t="shared" si="13"/>
        <v>1</v>
      </c>
      <c r="V66" s="450">
        <f t="shared" si="4"/>
        <v>1</v>
      </c>
      <c r="W66" s="450">
        <v>0</v>
      </c>
      <c r="X66" s="451">
        <f t="shared" si="5"/>
        <v>1</v>
      </c>
      <c r="Y66" s="446">
        <f t="shared" si="6"/>
        <v>3633.2625009222152</v>
      </c>
      <c r="Z66" s="446">
        <f t="shared" si="14"/>
        <v>2395.2030099343247</v>
      </c>
      <c r="AA66" s="446">
        <f>SUMPRODUCT($F$30:$F$32,$M$16:$M$18)*MIN(Q66/O66,1)*X66</f>
        <v>1409.2755664089048</v>
      </c>
      <c r="AB66" s="446">
        <v>0</v>
      </c>
      <c r="AC66" s="446">
        <v>0</v>
      </c>
      <c r="AD66" s="446">
        <v>0</v>
      </c>
      <c r="AE66" s="446">
        <v>0</v>
      </c>
      <c r="AF66" s="447">
        <f t="shared" si="7"/>
        <v>7437.7410772654448</v>
      </c>
      <c r="AG66" s="452">
        <f t="shared" si="8"/>
        <v>551.4301313142339</v>
      </c>
      <c r="AH66" s="453">
        <f t="shared" si="15"/>
        <v>3.911906667960027</v>
      </c>
      <c r="AI66" s="104">
        <f t="shared" si="9"/>
        <v>0.51190666796002837</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16.15831242010956</v>
      </c>
      <c r="R67" s="1309">
        <f>(K$15+1-$J$15)*$O$2+C67*25</f>
        <v>105.32653061224489</v>
      </c>
      <c r="S67" s="1309">
        <f>(I67+1-$J$15)*$O$2+C67*$E$14+D67*$O$3</f>
        <v>256.88163265306122</v>
      </c>
      <c r="T67" s="1309">
        <v>0</v>
      </c>
      <c r="U67" s="450">
        <f t="shared" si="13"/>
        <v>1</v>
      </c>
      <c r="V67" s="450">
        <f t="shared" si="4"/>
        <v>0.86642711416920815</v>
      </c>
      <c r="W67" s="450">
        <v>0</v>
      </c>
      <c r="X67" s="451">
        <f t="shared" si="5"/>
        <v>1</v>
      </c>
      <c r="Y67" s="446">
        <f t="shared" si="6"/>
        <v>4589.3842116912192</v>
      </c>
      <c r="Z67" s="446">
        <f t="shared" si="14"/>
        <v>2869.3780204034329</v>
      </c>
      <c r="AA67" s="446">
        <f>SUMPRODUCT($F$30:$F$32,$M$16:$M$18)*MIN(Q67/O67,1)*X67</f>
        <v>1462.7610770499225</v>
      </c>
      <c r="AB67" s="446">
        <v>0</v>
      </c>
      <c r="AC67" s="446">
        <v>0</v>
      </c>
      <c r="AD67" s="446">
        <v>0</v>
      </c>
      <c r="AE67" s="446">
        <v>0</v>
      </c>
      <c r="AF67" s="447">
        <f t="shared" si="7"/>
        <v>8921.5233091445753</v>
      </c>
      <c r="AG67" s="452">
        <f t="shared" si="8"/>
        <v>552.13212105253274</v>
      </c>
      <c r="AH67" s="453">
        <f t="shared" si="15"/>
        <v>5.59168757989044</v>
      </c>
      <c r="AI67" s="104">
        <f t="shared" si="9"/>
        <v>-2.15831242010956</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18.82853150817915</v>
      </c>
      <c r="R68" s="1309">
        <f>(L$15+1-$J$15)*$O$2+C68*25</f>
        <v>145.48979591836735</v>
      </c>
      <c r="S68" s="1309">
        <f>(I68+1-$J$15)*$O$2+C68*$E$15+D68*$O$3</f>
        <v>292.04489795918369</v>
      </c>
      <c r="T68" s="1309">
        <v>0</v>
      </c>
      <c r="U68" s="450">
        <f t="shared" si="13"/>
        <v>1</v>
      </c>
      <c r="V68" s="450">
        <f t="shared" si="4"/>
        <v>0.74355241107987491</v>
      </c>
      <c r="W68" s="450">
        <v>0</v>
      </c>
      <c r="X68" s="451">
        <f t="shared" si="5"/>
        <v>1</v>
      </c>
      <c r="Y68" s="446">
        <f t="shared" si="6"/>
        <v>5545.5059224602228</v>
      </c>
      <c r="Z68" s="446">
        <f t="shared" si="14"/>
        <v>3343.5530308725415</v>
      </c>
      <c r="AA68" s="446">
        <f>SUMPRODUCT($F$30:$F$32,$M$16:$M$18)*MIN(Q68/O68,1)*X68</f>
        <v>1462.7610770499225</v>
      </c>
      <c r="AB68" s="446">
        <v>0</v>
      </c>
      <c r="AC68" s="446">
        <v>0</v>
      </c>
      <c r="AD68" s="446">
        <v>0</v>
      </c>
      <c r="AE68" s="446">
        <v>0</v>
      </c>
      <c r="AF68" s="447">
        <f t="shared" si="7"/>
        <v>10351.820030382687</v>
      </c>
      <c r="AG68" s="452">
        <f t="shared" si="8"/>
        <v>549.79433876114217</v>
      </c>
      <c r="AH68" s="453">
        <f t="shared" si="15"/>
        <v>7.2714684918208476</v>
      </c>
      <c r="AI68" s="104">
        <f t="shared" si="9"/>
        <v>-4.8285315081791502</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21.49875059624874</v>
      </c>
      <c r="R69" s="1309">
        <f>(M$15+1-$J$15)*$O$2+C69*25</f>
        <v>185.65306122448979</v>
      </c>
      <c r="S69" s="1309">
        <f>(I69+1-$J$15)*$O$2+C69*$E$16+D69*$O$3</f>
        <v>327.2081632653061</v>
      </c>
      <c r="T69" s="1309">
        <v>0</v>
      </c>
      <c r="U69" s="450">
        <f t="shared" si="13"/>
        <v>1</v>
      </c>
      <c r="V69" s="450">
        <f t="shared" si="4"/>
        <v>0.65120063314017995</v>
      </c>
      <c r="W69" s="450">
        <v>0</v>
      </c>
      <c r="X69" s="451">
        <f t="shared" si="5"/>
        <v>1</v>
      </c>
      <c r="Y69" s="446">
        <f t="shared" si="6"/>
        <v>6501.6276332292264</v>
      </c>
      <c r="Z69" s="446">
        <f t="shared" si="14"/>
        <v>3817.7280413416506</v>
      </c>
      <c r="AA69" s="446">
        <f>SUMPRODUCT($F$30:$F$32,$M$16:$M$18)*MIN(Q69/O69,1)*X69</f>
        <v>1462.7610770499225</v>
      </c>
      <c r="AB69" s="446">
        <v>0</v>
      </c>
      <c r="AC69" s="446">
        <v>0</v>
      </c>
      <c r="AD69" s="446">
        <v>0</v>
      </c>
      <c r="AE69" s="446">
        <v>0</v>
      </c>
      <c r="AF69" s="447">
        <f t="shared" si="7"/>
        <v>11782.116751620801</v>
      </c>
      <c r="AG69" s="452">
        <f t="shared" si="8"/>
        <v>548.03727774192748</v>
      </c>
      <c r="AH69" s="453">
        <f t="shared" si="15"/>
        <v>8.9512494037512589</v>
      </c>
      <c r="AI69" s="104">
        <f t="shared" si="9"/>
        <v>-7.4987505962487404</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2256</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24.168969684318338</v>
      </c>
      <c r="R70" s="1309">
        <f>(N$15+1-$J$15)*$O$2+C70*25</f>
        <v>225.81632653061223</v>
      </c>
      <c r="S70" s="1309">
        <f>(I70+1-$J$15)*$O$2+C70*$E$17+D70*$O$3</f>
        <v>362.37142857142857</v>
      </c>
      <c r="T70" s="1309">
        <v>0</v>
      </c>
      <c r="U70" s="450">
        <f t="shared" si="13"/>
        <v>1</v>
      </c>
      <c r="V70" s="450">
        <f t="shared" si="4"/>
        <v>0.57925514338675688</v>
      </c>
      <c r="W70" s="450">
        <v>0</v>
      </c>
      <c r="X70" s="451">
        <f t="shared" si="5"/>
        <v>1</v>
      </c>
      <c r="Y70" s="446">
        <f t="shared" si="6"/>
        <v>7457.7493439982318</v>
      </c>
      <c r="Z70" s="446">
        <f t="shared" si="14"/>
        <v>4291.9030518107611</v>
      </c>
      <c r="AA70" s="446">
        <f>SUMPRODUCT($F$30:$F$32,$M$16:$M$18)*MIN(Q70/O70,1)*X70</f>
        <v>1462.7610770499225</v>
      </c>
      <c r="AB70" s="446">
        <v>0</v>
      </c>
      <c r="AC70" s="446">
        <v>0</v>
      </c>
      <c r="AD70" s="446">
        <v>0</v>
      </c>
      <c r="AE70" s="446">
        <v>0</v>
      </c>
      <c r="AF70" s="447">
        <f t="shared" si="7"/>
        <v>13212.413472858916</v>
      </c>
      <c r="AG70" s="452">
        <f t="shared" si="8"/>
        <v>546.66846147900071</v>
      </c>
      <c r="AH70" s="453">
        <f t="shared" si="15"/>
        <v>10.631030315681659</v>
      </c>
      <c r="AI70" s="104">
        <f t="shared" si="9"/>
        <v>-10.168969684318338</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1907</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16.158312420109564</v>
      </c>
      <c r="R71" s="1309">
        <f>(J$15+1-$J$15)*$O$2+C71*25</f>
        <v>65.16326530612244</v>
      </c>
      <c r="S71" s="1309">
        <f>(I71+1-$J$15)*$O$2+C71*$E$13+D71*$O$3</f>
        <v>261.88163265306122</v>
      </c>
      <c r="T71" s="1309">
        <v>0</v>
      </c>
      <c r="U71" s="450">
        <f t="shared" si="13"/>
        <v>1</v>
      </c>
      <c r="V71" s="450">
        <f t="shared" si="4"/>
        <v>0.99020241619338056</v>
      </c>
      <c r="W71" s="450">
        <v>0</v>
      </c>
      <c r="X71" s="451">
        <f t="shared" si="5"/>
        <v>1</v>
      </c>
      <c r="Y71" s="446">
        <f t="shared" si="6"/>
        <v>4589.3842116912201</v>
      </c>
      <c r="Z71" s="446">
        <f t="shared" si="14"/>
        <v>2869.3780204034333</v>
      </c>
      <c r="AA71" s="446">
        <f>SUMPRODUCT($F$31:$F$33,$N$16:$N$18)*MIN(Q71/O71,1)*X71</f>
        <v>1759.7269451999114</v>
      </c>
      <c r="AB71" s="446">
        <v>0</v>
      </c>
      <c r="AC71" s="446">
        <v>0</v>
      </c>
      <c r="AD71" s="446">
        <v>0</v>
      </c>
      <c r="AE71" s="446">
        <v>0</v>
      </c>
      <c r="AF71" s="447">
        <f t="shared" si="7"/>
        <v>9218.4891772945648</v>
      </c>
      <c r="AG71" s="452">
        <f t="shared" si="8"/>
        <v>570.51064106310048</v>
      </c>
      <c r="AH71" s="453">
        <f t="shared" si="15"/>
        <v>1.241687579890435</v>
      </c>
      <c r="AI71" s="104">
        <f t="shared" si="9"/>
        <v>-0.15831242010956359</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1908</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18.828531508179157</v>
      </c>
      <c r="R72" s="1309">
        <f>(K$15+1-$J$15)*$O$2+C72*25</f>
        <v>105.32653061224489</v>
      </c>
      <c r="S72" s="1309">
        <f>(I72+1-$J$15)*$O$2+C72*$E$14+D72*$O$3</f>
        <v>297.04489795918369</v>
      </c>
      <c r="T72" s="1309">
        <v>0</v>
      </c>
      <c r="U72" s="450">
        <f t="shared" si="13"/>
        <v>1</v>
      </c>
      <c r="V72" s="450">
        <f t="shared" si="4"/>
        <v>0.84977418409128525</v>
      </c>
      <c r="W72" s="450">
        <v>0</v>
      </c>
      <c r="X72" s="451">
        <f t="shared" si="5"/>
        <v>1</v>
      </c>
      <c r="Y72" s="446">
        <f t="shared" si="6"/>
        <v>5545.5059224602237</v>
      </c>
      <c r="Z72" s="446">
        <f t="shared" si="14"/>
        <v>3343.5530308725429</v>
      </c>
      <c r="AA72" s="446">
        <f>SUMPRODUCT($F$31:$F$33,$N$16:$N$18)*MIN(Q72/O72,1)*X72</f>
        <v>1759.7269451999114</v>
      </c>
      <c r="AB72" s="446">
        <v>0</v>
      </c>
      <c r="AC72" s="446">
        <v>0</v>
      </c>
      <c r="AD72" s="446">
        <v>0</v>
      </c>
      <c r="AE72" s="446">
        <v>0</v>
      </c>
      <c r="AF72" s="447">
        <f t="shared" si="7"/>
        <v>10648.785898532677</v>
      </c>
      <c r="AG72" s="452">
        <f t="shared" si="8"/>
        <v>565.56645928052433</v>
      </c>
      <c r="AH72" s="453">
        <f t="shared" si="15"/>
        <v>2.9214684918208427</v>
      </c>
      <c r="AI72" s="104">
        <f t="shared" si="9"/>
        <v>-2.8285315081791573</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21.498750596248744</v>
      </c>
      <c r="R73" s="1309">
        <f>(L$15+1-$J$15)*$O$2+C73*25</f>
        <v>145.48979591836735</v>
      </c>
      <c r="S73" s="1309">
        <f>(I73+1-$J$15)*$O$2+C73*$E$15+D73*$O$3</f>
        <v>332.2081632653061</v>
      </c>
      <c r="T73" s="1309">
        <v>0</v>
      </c>
      <c r="U73" s="450">
        <f t="shared" si="13"/>
        <v>1</v>
      </c>
      <c r="V73" s="450">
        <f t="shared" si="4"/>
        <v>0.74422929501734836</v>
      </c>
      <c r="W73" s="450">
        <v>0</v>
      </c>
      <c r="X73" s="451">
        <f t="shared" si="5"/>
        <v>1</v>
      </c>
      <c r="Y73" s="446">
        <f t="shared" si="6"/>
        <v>6501.6276332292282</v>
      </c>
      <c r="Z73" s="446">
        <f t="shared" si="14"/>
        <v>3817.7280413416511</v>
      </c>
      <c r="AA73" s="446">
        <f>SUMPRODUCT($F$31:$F$33,$N$16:$N$18)*MIN(Q73/O73,1)*X73</f>
        <v>1759.7269451999114</v>
      </c>
      <c r="AB73" s="446">
        <v>0</v>
      </c>
      <c r="AC73" s="446">
        <v>0</v>
      </c>
      <c r="AD73" s="446">
        <v>0</v>
      </c>
      <c r="AE73" s="446">
        <v>0</v>
      </c>
      <c r="AF73" s="447">
        <f t="shared" si="7"/>
        <v>12079.08261977079</v>
      </c>
      <c r="AG73" s="452">
        <f t="shared" si="8"/>
        <v>561.85044641052002</v>
      </c>
      <c r="AH73" s="453">
        <f t="shared" si="15"/>
        <v>4.6012494037512539</v>
      </c>
      <c r="AI73" s="104">
        <f t="shared" si="9"/>
        <v>-5.498750596248744</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24.168969684318338</v>
      </c>
      <c r="R74" s="1309">
        <f>(M$15+1-$J$15)*$O$2+C74*25</f>
        <v>185.65306122448979</v>
      </c>
      <c r="S74" s="1309">
        <f>(I74+1-$J$15)*$O$2+C74*$E$16+D74*$O$3</f>
        <v>367.37142857142857</v>
      </c>
      <c r="T74" s="1309">
        <v>0</v>
      </c>
      <c r="U74" s="450">
        <f t="shared" si="13"/>
        <v>1</v>
      </c>
      <c r="V74" s="450">
        <f t="shared" si="4"/>
        <v>0.66200587815629364</v>
      </c>
      <c r="W74" s="450">
        <v>0</v>
      </c>
      <c r="X74" s="451">
        <f t="shared" si="5"/>
        <v>1</v>
      </c>
      <c r="Y74" s="446">
        <f t="shared" si="6"/>
        <v>7457.7493439982318</v>
      </c>
      <c r="Z74" s="446">
        <f t="shared" si="14"/>
        <v>4291.9030518107611</v>
      </c>
      <c r="AA74" s="446">
        <f>SUMPRODUCT($F$31:$F$33,$N$16:$N$18)*MIN(Q74/O74,1)*X74</f>
        <v>1759.7269451999114</v>
      </c>
      <c r="AB74" s="446">
        <v>0</v>
      </c>
      <c r="AC74" s="446">
        <v>0</v>
      </c>
      <c r="AD74" s="446">
        <v>0</v>
      </c>
      <c r="AE74" s="446">
        <v>0</v>
      </c>
      <c r="AF74" s="447">
        <f t="shared" si="7"/>
        <v>13509.379341008904</v>
      </c>
      <c r="AG74" s="452">
        <f t="shared" si="8"/>
        <v>558.95553337444312</v>
      </c>
      <c r="AH74" s="453">
        <f t="shared" si="15"/>
        <v>6.2810303156816616</v>
      </c>
      <c r="AI74" s="104">
        <f t="shared" si="9"/>
        <v>-8.1689696843183377</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26.839188772387924</v>
      </c>
      <c r="R75" s="1309">
        <f>(N$15+1-$J$15)*$O$2+C75*25</f>
        <v>225.81632653061223</v>
      </c>
      <c r="S75" s="1309">
        <f>(I75+1-$J$15)*$O$2+C75*$E$17+D75*$O$3</f>
        <v>402.53469387755104</v>
      </c>
      <c r="T75" s="1309">
        <v>0</v>
      </c>
      <c r="U75" s="450">
        <f t="shared" si="13"/>
        <v>1</v>
      </c>
      <c r="V75" s="450">
        <f t="shared" si="4"/>
        <v>0.5961432044645385</v>
      </c>
      <c r="W75" s="450">
        <v>0</v>
      </c>
      <c r="X75" s="451">
        <f t="shared" si="5"/>
        <v>1</v>
      </c>
      <c r="Y75" s="446">
        <f t="shared" si="6"/>
        <v>8413.8710547672363</v>
      </c>
      <c r="Z75" s="446">
        <f t="shared" si="14"/>
        <v>4766.0780622798693</v>
      </c>
      <c r="AA75" s="446">
        <f>SUMPRODUCT($F$31:$F$33,$N$16:$N$18)*MIN(Q75/O75,1)*X75</f>
        <v>1759.7269451999114</v>
      </c>
      <c r="AB75" s="446">
        <v>0</v>
      </c>
      <c r="AC75" s="446">
        <v>0</v>
      </c>
      <c r="AD75" s="446">
        <v>0</v>
      </c>
      <c r="AE75" s="446">
        <v>0</v>
      </c>
      <c r="AF75" s="447">
        <f t="shared" si="7"/>
        <v>14939.676062247016</v>
      </c>
      <c r="AG75" s="452">
        <f t="shared" si="8"/>
        <v>556.63664758813081</v>
      </c>
      <c r="AH75" s="453">
        <f t="shared" si="15"/>
        <v>7.9608112276120728</v>
      </c>
      <c r="AI75" s="104">
        <f t="shared" si="9"/>
        <v>-10.839188772387924</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21.56724954209475</v>
      </c>
      <c r="R76" s="1309">
        <f>(J$15+1-$J$15)*$O$2+25</f>
        <v>65.16326530612244</v>
      </c>
      <c r="S76" s="1309">
        <f>(I76+1-$J$15)*$O$2+$E$13+$E$16+D76*$O$3</f>
        <v>323.11020408163262</v>
      </c>
      <c r="T76" s="1309">
        <v>0</v>
      </c>
      <c r="U76" s="450">
        <f t="shared" si="13"/>
        <v>1</v>
      </c>
      <c r="V76" s="450">
        <f t="shared" si="4"/>
        <v>0.5563991818510986</v>
      </c>
      <c r="W76" s="450">
        <v>0</v>
      </c>
      <c r="X76" s="451">
        <f t="shared" si="5"/>
        <v>1</v>
      </c>
      <c r="Y76" s="446">
        <f t="shared" si="6"/>
        <v>5927.9546067678239</v>
      </c>
      <c r="Z76" s="446">
        <f t="shared" si="14"/>
        <v>3829.8920201360402</v>
      </c>
      <c r="AA76" s="446">
        <f>SUMPRODUCT($F$29:$F$31,$L$16:$L$18)*MIN(Q76/O76,1)*X76</f>
        <v>1187.7952088999336</v>
      </c>
      <c r="AB76" s="446">
        <v>0</v>
      </c>
      <c r="AC76" s="446">
        <v>0</v>
      </c>
      <c r="AD76" s="446">
        <v>0</v>
      </c>
      <c r="AE76" s="446">
        <v>0</v>
      </c>
      <c r="AF76" s="447">
        <f t="shared" si="7"/>
        <v>10945.641835803797</v>
      </c>
      <c r="AG76" s="452">
        <f t="shared" si="8"/>
        <v>507.51218018969917</v>
      </c>
      <c r="AH76" s="453">
        <f t="shared" si="15"/>
        <v>26.282750457905244</v>
      </c>
      <c r="AI76" s="104">
        <f t="shared" si="9"/>
        <v>-9.5672495420947499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24.237468630164344</v>
      </c>
      <c r="R77" s="1309">
        <f>(K$15+1-$J$15)*$O$2+25</f>
        <v>105.32653061224489</v>
      </c>
      <c r="S77" s="1309">
        <f>(I77+1-$J$15)*$O$2+$E$14+$E$16+D77*$O$3</f>
        <v>358.27346938775503</v>
      </c>
      <c r="T77" s="1309">
        <v>0</v>
      </c>
      <c r="U77" s="450">
        <f t="shared" si="13"/>
        <v>1</v>
      </c>
      <c r="V77" s="450">
        <f t="shared" si="4"/>
        <v>0.49510120809669028</v>
      </c>
      <c r="W77" s="450">
        <v>0</v>
      </c>
      <c r="X77" s="451">
        <f t="shared" si="5"/>
        <v>1</v>
      </c>
      <c r="Y77" s="446">
        <f t="shared" si="6"/>
        <v>6884.0763175368284</v>
      </c>
      <c r="Z77" s="446">
        <f t="shared" si="14"/>
        <v>4304.0670306051506</v>
      </c>
      <c r="AA77" s="446">
        <f>SUMPRODUCT($F$29:$F$31,$L$16:$L$18)*MIN(Q77/O77,1)*X77</f>
        <v>1187.7952088999336</v>
      </c>
      <c r="AB77" s="446">
        <v>0</v>
      </c>
      <c r="AC77" s="446">
        <v>0</v>
      </c>
      <c r="AD77" s="446">
        <v>0</v>
      </c>
      <c r="AE77" s="446">
        <v>0</v>
      </c>
      <c r="AF77" s="447">
        <f t="shared" si="7"/>
        <v>12375.938557041913</v>
      </c>
      <c r="AG77" s="452">
        <f t="shared" si="8"/>
        <v>510.61184424348841</v>
      </c>
      <c r="AH77" s="453">
        <f t="shared" si="15"/>
        <v>27.962531369835659</v>
      </c>
      <c r="AI77" s="104">
        <f t="shared" si="9"/>
        <v>-12.237468630164344</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24.237468630164344</v>
      </c>
      <c r="R78" s="1309">
        <f>(J$15+1-$J$15)*$O$2+25</f>
        <v>65.16326530612244</v>
      </c>
      <c r="S78" s="1309">
        <f>(I78+1-$J$15)*$O$2+$E$13+$E$16+D78*$O$3</f>
        <v>363.27346938775503</v>
      </c>
      <c r="T78" s="1309">
        <v>0</v>
      </c>
      <c r="U78" s="450">
        <f t="shared" si="13"/>
        <v>1</v>
      </c>
      <c r="V78" s="450">
        <f t="shared" si="4"/>
        <v>0.57761807611280536</v>
      </c>
      <c r="W78" s="450">
        <v>0</v>
      </c>
      <c r="X78" s="451">
        <f t="shared" si="5"/>
        <v>1</v>
      </c>
      <c r="Y78" s="446">
        <f t="shared" si="6"/>
        <v>6884.0763175368284</v>
      </c>
      <c r="Z78" s="446">
        <f t="shared" si="14"/>
        <v>4304.0670306051506</v>
      </c>
      <c r="AA78" s="446">
        <f>SUMPRODUCT($F$30:$F$32,$M$16:$M$18)*MIN(Q78/O78,1)*X78</f>
        <v>1462.7610770499225</v>
      </c>
      <c r="AB78" s="446">
        <v>0</v>
      </c>
      <c r="AC78" s="446">
        <v>0</v>
      </c>
      <c r="AD78" s="446">
        <v>0</v>
      </c>
      <c r="AE78" s="446">
        <v>0</v>
      </c>
      <c r="AF78" s="447">
        <f t="shared" si="7"/>
        <v>12650.904425191902</v>
      </c>
      <c r="AG78" s="452">
        <f t="shared" si="8"/>
        <v>521.95650536902303</v>
      </c>
      <c r="AH78" s="453">
        <f t="shared" si="15"/>
        <v>23.612531369835651</v>
      </c>
      <c r="AI78" s="104">
        <f t="shared" si="9"/>
        <v>-10.237468630164344</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26.90768771823393</v>
      </c>
      <c r="R79" s="1309">
        <f>(K$15+1-$J$15)*$O$2+25</f>
        <v>105.32653061224489</v>
      </c>
      <c r="S79" s="1309">
        <f>(I79+1-$J$15)*$O$2+$E$14+$E$16+D79*$O$3</f>
        <v>398.4367346938775</v>
      </c>
      <c r="T79" s="1309">
        <v>0</v>
      </c>
      <c r="U79" s="450">
        <f t="shared" si="13"/>
        <v>1</v>
      </c>
      <c r="V79" s="450">
        <f t="shared" si="4"/>
        <v>0.52029740149366066</v>
      </c>
      <c r="W79" s="450">
        <v>0</v>
      </c>
      <c r="X79" s="451">
        <f t="shared" si="5"/>
        <v>1</v>
      </c>
      <c r="Y79" s="446">
        <f t="shared" si="6"/>
        <v>7840.1980283058319</v>
      </c>
      <c r="Z79" s="446">
        <f t="shared" si="14"/>
        <v>4778.2420410742579</v>
      </c>
      <c r="AA79" s="446">
        <f>SUMPRODUCT($F$30:$F$32,$M$16:$M$18)*MIN(Q79/O79,1)*X79</f>
        <v>1462.7610770499225</v>
      </c>
      <c r="AB79" s="446">
        <v>0</v>
      </c>
      <c r="AC79" s="446">
        <v>0</v>
      </c>
      <c r="AD79" s="446">
        <v>0</v>
      </c>
      <c r="AE79" s="446">
        <v>0</v>
      </c>
      <c r="AF79" s="447">
        <f t="shared" si="7"/>
        <v>14081.201146430012</v>
      </c>
      <c r="AG79" s="452">
        <f t="shared" si="8"/>
        <v>523.31516902836358</v>
      </c>
      <c r="AH79" s="453">
        <f t="shared" si="15"/>
        <v>25.292312281766073</v>
      </c>
      <c r="AI79" s="104">
        <f t="shared" si="9"/>
        <v>-12.90768771823393</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26.90768771823393</v>
      </c>
      <c r="R80" s="1309">
        <f>(J$15+1-$J$15)*$O$2+25</f>
        <v>65.16326530612244</v>
      </c>
      <c r="S80" s="1309">
        <f>(I80+1-$J$15)*$O$2+$E$13+$E$16+D80*$O$3</f>
        <v>403.4367346938775</v>
      </c>
      <c r="T80" s="1309">
        <v>0</v>
      </c>
      <c r="U80" s="450">
        <f t="shared" si="13"/>
        <v>1</v>
      </c>
      <c r="V80" s="450">
        <f t="shared" si="4"/>
        <v>0.59462560170704071</v>
      </c>
      <c r="W80" s="450">
        <v>0</v>
      </c>
      <c r="X80" s="451">
        <f t="shared" si="5"/>
        <v>1</v>
      </c>
      <c r="Y80" s="446">
        <f t="shared" si="6"/>
        <v>7840.1980283058319</v>
      </c>
      <c r="Z80" s="446">
        <f t="shared" si="14"/>
        <v>4778.2420410742579</v>
      </c>
      <c r="AA80" s="446">
        <f>SUMPRODUCT($F$31:$F$33,$N$16:$N$18)*MIN(Q80/O80,1)*X80</f>
        <v>1759.7269451999114</v>
      </c>
      <c r="AB80" s="446">
        <v>0</v>
      </c>
      <c r="AC80" s="446">
        <v>0</v>
      </c>
      <c r="AD80" s="446">
        <v>0</v>
      </c>
      <c r="AE80" s="446">
        <v>0</v>
      </c>
      <c r="AF80" s="447">
        <f t="shared" si="7"/>
        <v>14378.16701458</v>
      </c>
      <c r="AG80" s="452">
        <f t="shared" si="8"/>
        <v>534.35163828055988</v>
      </c>
      <c r="AH80" s="453">
        <f t="shared" si="15"/>
        <v>20.942312281766064</v>
      </c>
      <c r="AI80" s="104">
        <f t="shared" si="9"/>
        <v>-10.90768771823393</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29.57790680630352</v>
      </c>
      <c r="R81" s="1309">
        <f>(K$15+1-$J$15)*$O$2+25</f>
        <v>105.32653061224489</v>
      </c>
      <c r="S81" s="1309">
        <f>(I81+1-$J$15)*$O$2+$E$14+$E$16+D81*$O$3</f>
        <v>438.59999999999997</v>
      </c>
      <c r="T81" s="1309">
        <v>0</v>
      </c>
      <c r="U81" s="450">
        <f t="shared" si="13"/>
        <v>1</v>
      </c>
      <c r="V81" s="450">
        <f t="shared" si="4"/>
        <v>0.54094429686248613</v>
      </c>
      <c r="W81" s="450">
        <v>0</v>
      </c>
      <c r="X81" s="451">
        <f t="shared" si="5"/>
        <v>1</v>
      </c>
      <c r="Y81" s="446">
        <f t="shared" si="6"/>
        <v>8796.3197390748355</v>
      </c>
      <c r="Z81" s="446">
        <f t="shared" si="14"/>
        <v>5252.417051543368</v>
      </c>
      <c r="AA81" s="446">
        <f>SUMPRODUCT($F$31:$F$33,$N$16:$N$18)*MIN(Q81/O81,1)*X81</f>
        <v>1759.7269451999114</v>
      </c>
      <c r="AB81" s="446">
        <v>0</v>
      </c>
      <c r="AC81" s="446">
        <v>0</v>
      </c>
      <c r="AD81" s="446">
        <v>0</v>
      </c>
      <c r="AE81" s="446">
        <v>0</v>
      </c>
      <c r="AF81" s="447">
        <f t="shared" si="7"/>
        <v>15808.463735818115</v>
      </c>
      <c r="AG81" s="452">
        <f t="shared" si="8"/>
        <v>534.46864375301504</v>
      </c>
      <c r="AH81" s="453">
        <f t="shared" si="15"/>
        <v>22.622093193696482</v>
      </c>
      <c r="AI81" s="104">
        <f t="shared" si="9"/>
        <v>-13.57790680630352</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24.237468630164347</v>
      </c>
      <c r="R82" s="1309">
        <f>(J$15+1-$J$15)*$O$2+25</f>
        <v>65.16326530612244</v>
      </c>
      <c r="S82" s="1309">
        <f>(I82+1-$J$15)*$O$2+$E$13+$E$17+D82*$O$3</f>
        <v>358.27346938775514</v>
      </c>
      <c r="T82" s="1309">
        <v>0</v>
      </c>
      <c r="U82" s="450">
        <f t="shared" si="13"/>
        <v>1</v>
      </c>
      <c r="V82" s="450">
        <f t="shared" si="4"/>
        <v>0.49510120809669023</v>
      </c>
      <c r="W82" s="450">
        <v>0</v>
      </c>
      <c r="X82" s="451">
        <f t="shared" si="5"/>
        <v>1</v>
      </c>
      <c r="Y82" s="446">
        <f t="shared" si="6"/>
        <v>6884.0763175368302</v>
      </c>
      <c r="Z82" s="446">
        <f t="shared" si="14"/>
        <v>4304.0670306051516</v>
      </c>
      <c r="AA82" s="446">
        <f>SUMPRODUCT($F$29:$F$31,$L$16:$L$18)*MIN(Q82/O82,1)*X82</f>
        <v>1187.7952088999336</v>
      </c>
      <c r="AB82" s="446">
        <v>0</v>
      </c>
      <c r="AC82" s="446">
        <v>0</v>
      </c>
      <c r="AD82" s="446">
        <v>0</v>
      </c>
      <c r="AE82" s="446">
        <v>0</v>
      </c>
      <c r="AF82" s="447">
        <f>SUM(Y82:AE82)</f>
        <v>12375.938557041914</v>
      </c>
      <c r="AG82" s="452">
        <f t="shared" si="8"/>
        <v>510.61184424348841</v>
      </c>
      <c r="AH82" s="453">
        <f t="shared" si="15"/>
        <v>27.962531369835649</v>
      </c>
      <c r="AI82" s="104">
        <f t="shared" si="9"/>
        <v>-12.237468630164347</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26.907687718233937</v>
      </c>
      <c r="R83" s="1309">
        <f>(K$15+1-$J$15)*$O$2+25</f>
        <v>105.32653061224489</v>
      </c>
      <c r="S83" s="1309">
        <f>(I83+1-$J$15)*$O$2+$E$14+$E$17+D83*$O$3</f>
        <v>393.43673469387755</v>
      </c>
      <c r="T83" s="1309">
        <v>0</v>
      </c>
      <c r="U83" s="450">
        <f t="shared" si="13"/>
        <v>1</v>
      </c>
      <c r="V83" s="450">
        <f t="shared" si="4"/>
        <v>0.44596920128028039</v>
      </c>
      <c r="W83" s="450">
        <v>0</v>
      </c>
      <c r="X83" s="451">
        <f t="shared" si="5"/>
        <v>1</v>
      </c>
      <c r="Y83" s="446">
        <f t="shared" si="6"/>
        <v>7840.1980283058338</v>
      </c>
      <c r="Z83" s="446">
        <f t="shared" si="14"/>
        <v>4778.2420410742598</v>
      </c>
      <c r="AA83" s="446">
        <f>SUMPRODUCT($F$29:$F$31,$L$16:$L$18)*MIN(Q83/O83,1)*X83</f>
        <v>1187.7952088999336</v>
      </c>
      <c r="AB83" s="446">
        <v>0</v>
      </c>
      <c r="AC83" s="446">
        <v>0</v>
      </c>
      <c r="AD83" s="446">
        <v>0</v>
      </c>
      <c r="AE83" s="446">
        <v>0</v>
      </c>
      <c r="AF83" s="447">
        <f>SUM(Y83:AE83)</f>
        <v>13806.235278280026</v>
      </c>
      <c r="AG83" s="452">
        <f t="shared" si="8"/>
        <v>513.09630997851445</v>
      </c>
      <c r="AH83" s="453">
        <f t="shared" si="15"/>
        <v>29.64231228176606</v>
      </c>
      <c r="AI83" s="104">
        <f t="shared" si="9"/>
        <v>-14.907687718233937</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29.577906806303528</v>
      </c>
      <c r="R84" s="1309">
        <f>(L$15+1-$J$15)*$O$2+25</f>
        <v>145.48979591836735</v>
      </c>
      <c r="S84" s="1309">
        <f>(I84+1-$J$15)*$O$2+$E$15+$E$17+D84*$O$3</f>
        <v>428.6</v>
      </c>
      <c r="T84" s="1309">
        <v>0</v>
      </c>
      <c r="U84" s="450">
        <f t="shared" si="13"/>
        <v>1</v>
      </c>
      <c r="V84" s="450">
        <f t="shared" si="4"/>
        <v>0.40570822264686446</v>
      </c>
      <c r="W84" s="450">
        <v>0</v>
      </c>
      <c r="X84" s="451">
        <f t="shared" si="5"/>
        <v>1</v>
      </c>
      <c r="Y84" s="446">
        <f t="shared" si="6"/>
        <v>8796.3197390748373</v>
      </c>
      <c r="Z84" s="446">
        <f t="shared" si="14"/>
        <v>5252.417051543368</v>
      </c>
      <c r="AA84" s="446">
        <f>SUMPRODUCT($F$29:$F$31,$L$16:$L$18)*MIN(Q84/O84,1)*X84</f>
        <v>1187.7952088999336</v>
      </c>
      <c r="AB84" s="446">
        <v>0</v>
      </c>
      <c r="AC84" s="446">
        <v>0</v>
      </c>
      <c r="AD84" s="446">
        <v>0</v>
      </c>
      <c r="AE84" s="446">
        <v>0</v>
      </c>
      <c r="AF84" s="447">
        <f>SUM(Y84:AE84)</f>
        <v>15236.531999518138</v>
      </c>
      <c r="AG84" s="452">
        <f t="shared" si="8"/>
        <v>515.13219306888163</v>
      </c>
      <c r="AH84" s="453">
        <f t="shared" si="15"/>
        <v>31.322093193696464</v>
      </c>
      <c r="AI84" s="104">
        <f t="shared" si="9"/>
        <v>-17.577906806303528</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26.907687718233937</v>
      </c>
      <c r="R85" s="1309">
        <f>(J$15+1-$J$15)*$O$2+25</f>
        <v>65.16326530612244</v>
      </c>
      <c r="S85" s="1309">
        <f>(I85+1-$J$15)*$O$2+$E$13+$E$17+D85*$O$3</f>
        <v>398.43673469387755</v>
      </c>
      <c r="T85" s="1309">
        <v>0</v>
      </c>
      <c r="U85" s="450">
        <f t="shared" si="13"/>
        <v>1</v>
      </c>
      <c r="V85" s="450">
        <f t="shared" si="4"/>
        <v>0.52029740149366044</v>
      </c>
      <c r="W85" s="450">
        <v>0</v>
      </c>
      <c r="X85" s="451">
        <f t="shared" si="5"/>
        <v>1</v>
      </c>
      <c r="Y85" s="446">
        <f t="shared" si="6"/>
        <v>7840.1980283058338</v>
      </c>
      <c r="Z85" s="446">
        <f t="shared" si="14"/>
        <v>4778.2420410742598</v>
      </c>
      <c r="AA85" s="446">
        <f>SUMPRODUCT($F$30:$F$32,$M$16:$M$18)*MIN(Q85/O85,1)*X85</f>
        <v>1462.7610770499225</v>
      </c>
      <c r="AB85" s="446">
        <v>0</v>
      </c>
      <c r="AC85" s="446">
        <v>0</v>
      </c>
      <c r="AD85" s="446">
        <v>0</v>
      </c>
      <c r="AE85" s="446">
        <v>0</v>
      </c>
      <c r="AF85" s="447">
        <f t="shared" ref="AF85:AF148" si="20">SUM(Y85:AE85)</f>
        <v>14081.201146430016</v>
      </c>
      <c r="AG85" s="452">
        <f t="shared" si="8"/>
        <v>523.31516902836358</v>
      </c>
      <c r="AH85" s="453">
        <f t="shared" si="15"/>
        <v>25.292312281766058</v>
      </c>
      <c r="AI85" s="104">
        <f t="shared" si="9"/>
        <v>-12.907687718233937</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29.577906806303528</v>
      </c>
      <c r="R86" s="1309">
        <f>(K$15+1-$J$15)*$O$2+25</f>
        <v>105.32653061224489</v>
      </c>
      <c r="S86" s="1309">
        <f>(I86+1-$J$15)*$O$2+$E$14+$E$17+D86*$O$3</f>
        <v>433.6</v>
      </c>
      <c r="T86" s="1309">
        <v>0</v>
      </c>
      <c r="U86" s="450">
        <f t="shared" si="13"/>
        <v>1</v>
      </c>
      <c r="V86" s="450">
        <f t="shared" si="4"/>
        <v>0.47332625975467524</v>
      </c>
      <c r="W86" s="450">
        <v>0</v>
      </c>
      <c r="X86" s="451">
        <f t="shared" si="5"/>
        <v>1</v>
      </c>
      <c r="Y86" s="446">
        <f t="shared" si="6"/>
        <v>8796.3197390748373</v>
      </c>
      <c r="Z86" s="446">
        <f t="shared" si="14"/>
        <v>5252.417051543368</v>
      </c>
      <c r="AA86" s="446">
        <f>SUMPRODUCT($F$30:$F$32,$M$16:$M$18)*MIN(Q86/O86,1)*X86</f>
        <v>1462.7610770499225</v>
      </c>
      <c r="AB86" s="446">
        <v>0</v>
      </c>
      <c r="AC86" s="446">
        <v>0</v>
      </c>
      <c r="AD86" s="446">
        <v>0</v>
      </c>
      <c r="AE86" s="446">
        <v>0</v>
      </c>
      <c r="AF86" s="447">
        <f t="shared" si="20"/>
        <v>15511.497867668128</v>
      </c>
      <c r="AG86" s="452">
        <f t="shared" si="8"/>
        <v>524.42851920685541</v>
      </c>
      <c r="AH86" s="453">
        <f t="shared" si="15"/>
        <v>26.97209319369647</v>
      </c>
      <c r="AI86" s="104">
        <f t="shared" si="9"/>
        <v>-15.577906806303528</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32.248125894373118</v>
      </c>
      <c r="R87" s="1309">
        <f>(L$15+1-$J$15)*$O$2+25</f>
        <v>145.48979591836735</v>
      </c>
      <c r="S87" s="1309">
        <f>(I87+1-$J$15)*$O$2+$E$15+$E$17+D87*$O$3</f>
        <v>468.76326530612243</v>
      </c>
      <c r="T87" s="1309">
        <v>0</v>
      </c>
      <c r="U87" s="450">
        <f t="shared" si="13"/>
        <v>1</v>
      </c>
      <c r="V87" s="450">
        <f t="shared" si="4"/>
        <v>0.43413375542678651</v>
      </c>
      <c r="W87" s="450">
        <v>0</v>
      </c>
      <c r="X87" s="451">
        <f t="shared" si="5"/>
        <v>1</v>
      </c>
      <c r="Y87" s="446">
        <f t="shared" si="6"/>
        <v>9752.4414498438418</v>
      </c>
      <c r="Z87" s="446">
        <f t="shared" si="14"/>
        <v>5726.5920620124771</v>
      </c>
      <c r="AA87" s="446">
        <f>SUMPRODUCT($F$30:$F$32,$M$16:$M$18)*MIN(Q87/O87,1)*X87</f>
        <v>1462.7610770499225</v>
      </c>
      <c r="AB87" s="446">
        <v>0</v>
      </c>
      <c r="AC87" s="446">
        <v>0</v>
      </c>
      <c r="AD87" s="446">
        <v>0</v>
      </c>
      <c r="AE87" s="446">
        <v>0</v>
      </c>
      <c r="AF87" s="447">
        <f t="shared" si="20"/>
        <v>16941.794588906243</v>
      </c>
      <c r="AG87" s="452">
        <f t="shared" si="8"/>
        <v>525.35749346793409</v>
      </c>
      <c r="AH87" s="453">
        <f t="shared" si="15"/>
        <v>28.651874105626874</v>
      </c>
      <c r="AI87" s="104">
        <f t="shared" si="9"/>
        <v>-18.248125894373118</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29.577906806303528</v>
      </c>
      <c r="R88" s="1309">
        <f>(J$15+1-$J$15)*$O$2+25</f>
        <v>65.16326530612244</v>
      </c>
      <c r="S88" s="1309">
        <f>(I88+1-$J$15)*$O$2+$E$13+$E$17+D88*$O$3</f>
        <v>438.6</v>
      </c>
      <c r="T88" s="1309">
        <v>0</v>
      </c>
      <c r="U88" s="450">
        <f t="shared" si="13"/>
        <v>1</v>
      </c>
      <c r="V88" s="450">
        <f t="shared" ref="V88:V119" si="22">IF(O88&gt;0,MIN(1,O88/Q88),0)</f>
        <v>0.54094429686248602</v>
      </c>
      <c r="W88" s="450">
        <v>0</v>
      </c>
      <c r="X88" s="451">
        <f t="shared" ref="X88:X119" si="23">MIN(1,H88*10/Q88)*fw+(1-(MIN(1,H88*10/Q88)))*1</f>
        <v>1</v>
      </c>
      <c r="Y88" s="446">
        <f t="shared" ref="Y88:Y119" si="24">(I88*avginst)*X88*$K$4</f>
        <v>8796.3197390748373</v>
      </c>
      <c r="Z88" s="446">
        <f t="shared" si="14"/>
        <v>5252.417051543368</v>
      </c>
      <c r="AA88" s="446">
        <f>SUMPRODUCT($F$31:$F$33,$N$16:$N$18)*MIN(Q88/O88,1)*X88</f>
        <v>1759.7269451999114</v>
      </c>
      <c r="AB88" s="446">
        <v>0</v>
      </c>
      <c r="AC88" s="446">
        <v>0</v>
      </c>
      <c r="AD88" s="446">
        <v>0</v>
      </c>
      <c r="AE88" s="446">
        <v>0</v>
      </c>
      <c r="AF88" s="447">
        <f t="shared" si="20"/>
        <v>15808.463735818115</v>
      </c>
      <c r="AG88" s="452">
        <f t="shared" ref="AG88:AG119" si="25">IF(AND(forceea,W88=0),0,IF(time=0, AF88/Q88, IF(time&lt;Q88, 0, AF88/Q88))*AQ88)</f>
        <v>534.46864375301493</v>
      </c>
      <c r="AH88" s="453">
        <f t="shared" si="15"/>
        <v>22.622093193696468</v>
      </c>
      <c r="AI88" s="104">
        <f t="shared" ref="AI88:AI119" si="26">O88-$Q88</f>
        <v>-13.577906806303528</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32.248125894373118</v>
      </c>
      <c r="R89" s="1309">
        <f>(K$15+1-$J$15)*$O$2+25</f>
        <v>105.32653061224489</v>
      </c>
      <c r="S89" s="1309">
        <f>(I89+1-$J$15)*$O$2+$E$14+$E$17+D89*$O$3</f>
        <v>473.76326530612243</v>
      </c>
      <c r="T89" s="1309">
        <v>0</v>
      </c>
      <c r="U89" s="450">
        <f t="shared" si="13"/>
        <v>1</v>
      </c>
      <c r="V89" s="450">
        <f t="shared" si="22"/>
        <v>0.49615286334489889</v>
      </c>
      <c r="W89" s="450">
        <v>0</v>
      </c>
      <c r="X89" s="451">
        <f t="shared" si="23"/>
        <v>1</v>
      </c>
      <c r="Y89" s="446">
        <f t="shared" si="24"/>
        <v>9752.4414498438418</v>
      </c>
      <c r="Z89" s="446">
        <f t="shared" si="14"/>
        <v>5726.5920620124771</v>
      </c>
      <c r="AA89" s="446">
        <f>SUMPRODUCT($F$31:$F$33,$N$16:$N$18)*MIN(Q89/O89,1)*X89</f>
        <v>1759.7269451999114</v>
      </c>
      <c r="AB89" s="446">
        <v>0</v>
      </c>
      <c r="AC89" s="446">
        <v>0</v>
      </c>
      <c r="AD89" s="446">
        <v>0</v>
      </c>
      <c r="AE89" s="446">
        <v>0</v>
      </c>
      <c r="AF89" s="447">
        <f t="shared" si="20"/>
        <v>17238.760457056233</v>
      </c>
      <c r="AG89" s="452">
        <f t="shared" si="25"/>
        <v>534.56627258032916</v>
      </c>
      <c r="AH89" s="453">
        <f t="shared" si="15"/>
        <v>24.301874105626879</v>
      </c>
      <c r="AI89" s="104">
        <f t="shared" si="26"/>
        <v>-16.248125894373118</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34.918344982442711</v>
      </c>
      <c r="R90" s="1309">
        <f>(L$15+1-$J$15)*$O$2+25</f>
        <v>145.48979591836735</v>
      </c>
      <c r="S90" s="1309">
        <f>(I90+1-$J$15)*$O$2+$E$15+$E$17+D90*$O$3</f>
        <v>508.9265306122449</v>
      </c>
      <c r="T90" s="1309">
        <v>0</v>
      </c>
      <c r="U90" s="450">
        <f t="shared" si="13"/>
        <v>1</v>
      </c>
      <c r="V90" s="450">
        <f t="shared" si="22"/>
        <v>0.45821186565528688</v>
      </c>
      <c r="W90" s="450">
        <v>0</v>
      </c>
      <c r="X90" s="451">
        <f t="shared" si="23"/>
        <v>1</v>
      </c>
      <c r="Y90" s="446">
        <f t="shared" si="24"/>
        <v>10708.563160612846</v>
      </c>
      <c r="Z90" s="446">
        <f t="shared" si="14"/>
        <v>6200.7670724815862</v>
      </c>
      <c r="AA90" s="446">
        <f>SUMPRODUCT($F$31:$F$33,$N$16:$N$18)*MIN(Q90/O90,1)*X90</f>
        <v>1759.7269451999114</v>
      </c>
      <c r="AB90" s="446">
        <v>0</v>
      </c>
      <c r="AC90" s="446">
        <v>0</v>
      </c>
      <c r="AD90" s="446">
        <v>0</v>
      </c>
      <c r="AE90" s="446">
        <v>0</v>
      </c>
      <c r="AF90" s="447">
        <f t="shared" si="20"/>
        <v>18669.057178294344</v>
      </c>
      <c r="AG90" s="452">
        <f t="shared" si="25"/>
        <v>534.64896998071731</v>
      </c>
      <c r="AH90" s="453">
        <f t="shared" si="15"/>
        <v>25.98165501755728</v>
      </c>
      <c r="AI90" s="104">
        <f t="shared" si="26"/>
        <v>-18.918344982442711</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19.797223273709182</v>
      </c>
      <c r="R91" s="1309">
        <f>(J$15+1-$J$15)*$O$2+25</f>
        <v>65.16326530612244</v>
      </c>
      <c r="S91" s="1309">
        <f>(J$15+L$15+1-$J$15)*$O$2+$E$13+D91*$O$3</f>
        <v>181.55510204081631</v>
      </c>
      <c r="T91" s="1309">
        <v>0</v>
      </c>
      <c r="U91" s="450">
        <f t="shared" si="13"/>
        <v>0.87891113614439509</v>
      </c>
      <c r="V91" s="450">
        <f t="shared" si="22"/>
        <v>0.60614561113406562</v>
      </c>
      <c r="W91" s="450">
        <v>0</v>
      </c>
      <c r="X91" s="451">
        <f t="shared" si="23"/>
        <v>1</v>
      </c>
      <c r="Y91" s="446">
        <f t="shared" si="24"/>
        <v>4971.8328959988194</v>
      </c>
      <c r="Z91" s="446">
        <f t="shared" si="14"/>
        <v>3089.8757405435285</v>
      </c>
      <c r="AA91" s="446">
        <f>SUMPRODUCT($F$29:$F$31,$L$16:$L$18)*MIN(Q91/O91,1)*X91</f>
        <v>1187.7952088999336</v>
      </c>
      <c r="AB91">
        <f t="shared" ref="AB91:AB105" si="28">SUMPRODUCT($F$22:$F$24,$L$16:$L$18)*X91</f>
        <v>921.65006995070587</v>
      </c>
      <c r="AC91" s="446">
        <v>0</v>
      </c>
      <c r="AD91" s="446">
        <v>0</v>
      </c>
      <c r="AE91" s="446">
        <v>0</v>
      </c>
      <c r="AF91" s="447">
        <f t="shared" si="20"/>
        <v>10171.153915392986</v>
      </c>
      <c r="AG91" s="452">
        <f t="shared" si="25"/>
        <v>513.76669216537721</v>
      </c>
      <c r="AH91" s="453">
        <f t="shared" si="15"/>
        <v>-2.3972232737091836</v>
      </c>
      <c r="AI91" s="104">
        <f t="shared" si="26"/>
        <v>-7.7972232737091822</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22.362612484772807</v>
      </c>
      <c r="R92" s="1309">
        <f>(K$15+1-$J$15)*$O$2+25</f>
        <v>105.32653061224489</v>
      </c>
      <c r="S92" s="1309">
        <f>(K$15+L$15+1-$J$15)*$O$2+$E$14+D92*$O$3</f>
        <v>216.71836734693878</v>
      </c>
      <c r="T92" s="1309">
        <v>0</v>
      </c>
      <c r="U92" s="450">
        <f t="shared" si="13"/>
        <v>0.9726055046032771</v>
      </c>
      <c r="V92" s="450">
        <f t="shared" si="22"/>
        <v>0.53660993357422182</v>
      </c>
      <c r="W92" s="450">
        <v>0</v>
      </c>
      <c r="X92" s="451">
        <f t="shared" si="23"/>
        <v>1</v>
      </c>
      <c r="Y92" s="446">
        <f t="shared" si="24"/>
        <v>5927.9546067678239</v>
      </c>
      <c r="Z92" s="446">
        <f t="shared" si="14"/>
        <v>3862.3446756794115</v>
      </c>
      <c r="AA92" s="446">
        <f>SUMPRODUCT($F$29:$F$31,$L$16:$L$18)*MIN(Q92/O92,1)*X92</f>
        <v>1187.7952088999336</v>
      </c>
      <c r="AB92">
        <f t="shared" si="28"/>
        <v>921.65006995070587</v>
      </c>
      <c r="AC92" s="446">
        <v>0</v>
      </c>
      <c r="AD92" s="446">
        <v>0</v>
      </c>
      <c r="AE92" s="446">
        <v>0</v>
      </c>
      <c r="AF92" s="447">
        <f t="shared" si="20"/>
        <v>11899.744561297874</v>
      </c>
      <c r="AG92" s="452">
        <f t="shared" si="25"/>
        <v>532.12676154902158</v>
      </c>
      <c r="AH92" s="453">
        <f t="shared" si="15"/>
        <v>-0.61261248477280716</v>
      </c>
      <c r="AI92" s="104">
        <f t="shared" si="26"/>
        <v>-10.362612484772807</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24.996846084113326</v>
      </c>
      <c r="R93" s="1309">
        <f>(L$15+1-$J$15)*$O$2+25</f>
        <v>145.48979591836735</v>
      </c>
      <c r="S93" s="1309">
        <f>(L$15+L$15+1-$J$15)*$O$2+$E$15+D93*$O$3</f>
        <v>251.88163265306122</v>
      </c>
      <c r="T93" s="1309">
        <v>0</v>
      </c>
      <c r="U93" s="450">
        <f t="shared" ref="U93:U124" si="29">IF(N93&gt;0,MIN(1,N93/Q93),0)</f>
        <v>1</v>
      </c>
      <c r="V93" s="450">
        <f t="shared" si="22"/>
        <v>0.48006056282542642</v>
      </c>
      <c r="W93" s="450">
        <v>0</v>
      </c>
      <c r="X93" s="451">
        <f t="shared" si="23"/>
        <v>1</v>
      </c>
      <c r="Y93" s="446">
        <f t="shared" si="24"/>
        <v>6884.0763175368284</v>
      </c>
      <c r="Z93" s="446">
        <f t="shared" ref="Z93:Z124" si="30">Q93*U93*$O$6*(sndfact-1)*$K$4</f>
        <v>4438.9165692759934</v>
      </c>
      <c r="AA93" s="446">
        <f>SUMPRODUCT($F$29:$F$31,$L$16:$L$18)*MIN(Q93/O93,1)*X93</f>
        <v>1187.7952088999336</v>
      </c>
      <c r="AB93">
        <f t="shared" si="28"/>
        <v>921.65006995070587</v>
      </c>
      <c r="AC93" s="446">
        <v>0</v>
      </c>
      <c r="AD93" s="446">
        <v>0</v>
      </c>
      <c r="AE93" s="446">
        <v>0</v>
      </c>
      <c r="AF93" s="447">
        <f t="shared" si="20"/>
        <v>13432.438165663461</v>
      </c>
      <c r="AG93" s="452">
        <f t="shared" si="25"/>
        <v>537.36531882717838</v>
      </c>
      <c r="AH93" s="453">
        <f t="shared" ref="AH93:AH124" si="31">N93-$Q93</f>
        <v>1.1031539158866721</v>
      </c>
      <c r="AI93" s="104">
        <f t="shared" si="26"/>
        <v>-12.996846084113326</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27.667065172182912</v>
      </c>
      <c r="R94" s="1309">
        <f>(M$15+1-$J$15)*$O$2+25</f>
        <v>185.65306122448979</v>
      </c>
      <c r="S94" s="1309">
        <f>(M$15+L$15+1-$J$15)*$O$2+$E$16+D94*$O$3</f>
        <v>287.04489795918369</v>
      </c>
      <c r="T94" s="1309">
        <v>0</v>
      </c>
      <c r="U94" s="450">
        <f t="shared" si="29"/>
        <v>1</v>
      </c>
      <c r="V94" s="450">
        <f t="shared" si="22"/>
        <v>0.43372869241169348</v>
      </c>
      <c r="W94" s="450">
        <v>0</v>
      </c>
      <c r="X94" s="451">
        <f t="shared" si="23"/>
        <v>1</v>
      </c>
      <c r="Y94" s="446">
        <f t="shared" si="24"/>
        <v>7840.1980283058319</v>
      </c>
      <c r="Z94" s="446">
        <f t="shared" si="30"/>
        <v>4913.0915797451016</v>
      </c>
      <c r="AA94" s="446">
        <f>SUMPRODUCT($F$29:$F$31,$L$16:$L$18)*MIN(Q94/O94,1)*X94</f>
        <v>1187.7952088999336</v>
      </c>
      <c r="AB94">
        <f t="shared" si="28"/>
        <v>921.65006995070587</v>
      </c>
      <c r="AC94" s="446">
        <v>0</v>
      </c>
      <c r="AD94" s="446">
        <v>0</v>
      </c>
      <c r="AE94" s="446">
        <v>0</v>
      </c>
      <c r="AF94" s="447">
        <f t="shared" si="20"/>
        <v>14862.734886901573</v>
      </c>
      <c r="AG94" s="452">
        <f t="shared" si="25"/>
        <v>537.19954734645648</v>
      </c>
      <c r="AH94" s="453">
        <f t="shared" si="31"/>
        <v>2.7829348278170869</v>
      </c>
      <c r="AI94" s="104">
        <f t="shared" si="26"/>
        <v>-15.667065172182912</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30.33728426025251</v>
      </c>
      <c r="R95" s="1309">
        <f>(N$15+1-$J$15)*$O$2+25</f>
        <v>225.81632653061223</v>
      </c>
      <c r="S95" s="1309">
        <f>(N$15+L$15+1-$J$15)*$O$2+$E$17+D95*$O$3</f>
        <v>322.2081632653061</v>
      </c>
      <c r="T95" s="1309">
        <v>0</v>
      </c>
      <c r="U95" s="450">
        <f t="shared" si="29"/>
        <v>1</v>
      </c>
      <c r="V95" s="450">
        <f t="shared" si="22"/>
        <v>0.39555287470876999</v>
      </c>
      <c r="W95" s="450">
        <v>0</v>
      </c>
      <c r="X95" s="451">
        <f t="shared" si="23"/>
        <v>1</v>
      </c>
      <c r="Y95" s="446">
        <f t="shared" si="24"/>
        <v>8796.3197390748373</v>
      </c>
      <c r="Z95" s="446">
        <f t="shared" si="30"/>
        <v>5387.2665902142116</v>
      </c>
      <c r="AA95" s="446">
        <f>SUMPRODUCT($F$29:$F$31,$L$16:$L$18)*MIN(Q95/O95,1)*X95</f>
        <v>1187.7952088999336</v>
      </c>
      <c r="AB95">
        <f t="shared" si="28"/>
        <v>921.65006995070587</v>
      </c>
      <c r="AC95" s="446">
        <v>0</v>
      </c>
      <c r="AD95" s="446">
        <v>0</v>
      </c>
      <c r="AE95" s="446">
        <v>0</v>
      </c>
      <c r="AF95" s="447">
        <f t="shared" si="20"/>
        <v>16293.031608139689</v>
      </c>
      <c r="AG95" s="452">
        <f t="shared" si="25"/>
        <v>537.06295752670894</v>
      </c>
      <c r="AH95" s="453">
        <f t="shared" si="31"/>
        <v>4.4627157397474875</v>
      </c>
      <c r="AI95" s="104">
        <f t="shared" si="26"/>
        <v>-18.33728426025251</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22.634082390006995</v>
      </c>
      <c r="R96" s="1309">
        <f>(J$15+1-$J$15)*$O$2+25</f>
        <v>65.16326530612244</v>
      </c>
      <c r="S96" s="1309">
        <f>(J$15+M$15+1-$J$15)*$O$2+$E$13+D96*$O$3</f>
        <v>221.71836734693878</v>
      </c>
      <c r="T96" s="1309">
        <v>0</v>
      </c>
      <c r="U96" s="450">
        <f t="shared" si="29"/>
        <v>0.76875217206429114</v>
      </c>
      <c r="V96" s="450">
        <f t="shared" si="22"/>
        <v>0.61853623039655614</v>
      </c>
      <c r="W96" s="450">
        <v>0</v>
      </c>
      <c r="X96" s="451">
        <f t="shared" si="23"/>
        <v>1</v>
      </c>
      <c r="Y96" s="446">
        <f t="shared" si="24"/>
        <v>5927.9546067678239</v>
      </c>
      <c r="Z96" s="446">
        <f t="shared" si="30"/>
        <v>3089.8757405435285</v>
      </c>
      <c r="AA96" s="446">
        <f>SUMPRODUCT($F$30:$F$32,$M$16:$M$18)*MIN(Q96/O96,1)*X96</f>
        <v>1462.7610770499225</v>
      </c>
      <c r="AB96">
        <f t="shared" si="28"/>
        <v>921.65006995070587</v>
      </c>
      <c r="AC96" s="446">
        <v>0</v>
      </c>
      <c r="AD96" s="446">
        <v>0</v>
      </c>
      <c r="AE96" s="446">
        <v>0</v>
      </c>
      <c r="AF96" s="447">
        <f t="shared" si="20"/>
        <v>11402.24149431198</v>
      </c>
      <c r="AG96" s="452">
        <f t="shared" si="25"/>
        <v>503.76424799735196</v>
      </c>
      <c r="AH96" s="453">
        <f t="shared" si="31"/>
        <v>-5.2340823900069964</v>
      </c>
      <c r="AI96" s="104">
        <f t="shared" si="26"/>
        <v>-8.634082390006995</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25.19947160107062</v>
      </c>
      <c r="R97" s="1309">
        <f>(K$15+1-$J$15)*$O$2+25</f>
        <v>105.32653061224489</v>
      </c>
      <c r="S97" s="1309">
        <f>(K$15+M$15+1-$J$15)*$O$2+$E$14+D97*$O$3</f>
        <v>256.88163265306122</v>
      </c>
      <c r="T97" s="1309">
        <v>0</v>
      </c>
      <c r="U97" s="450">
        <f t="shared" si="29"/>
        <v>0.86311333603820228</v>
      </c>
      <c r="V97" s="450">
        <f t="shared" si="22"/>
        <v>0.55556720480619914</v>
      </c>
      <c r="W97" s="450">
        <v>0</v>
      </c>
      <c r="X97" s="451">
        <f t="shared" si="23"/>
        <v>1</v>
      </c>
      <c r="Y97" s="446">
        <f t="shared" si="24"/>
        <v>6884.0763175368284</v>
      </c>
      <c r="Z97" s="446">
        <f t="shared" si="30"/>
        <v>3862.3446756794115</v>
      </c>
      <c r="AA97" s="446">
        <f>SUMPRODUCT($F$30:$F$32,$M$16:$M$18)*MIN(Q97/O97,1)*X97</f>
        <v>1462.7610770499225</v>
      </c>
      <c r="AB97">
        <f t="shared" si="28"/>
        <v>921.65006995070587</v>
      </c>
      <c r="AC97" s="446">
        <v>0</v>
      </c>
      <c r="AD97" s="446">
        <v>0</v>
      </c>
      <c r="AE97" s="446">
        <v>0</v>
      </c>
      <c r="AF97" s="447">
        <f t="shared" si="20"/>
        <v>13130.832140216868</v>
      </c>
      <c r="AG97" s="452">
        <f t="shared" si="25"/>
        <v>521.07569349426331</v>
      </c>
      <c r="AH97" s="453">
        <f t="shared" si="31"/>
        <v>-3.4494716010706199</v>
      </c>
      <c r="AI97" s="104">
        <f t="shared" si="26"/>
        <v>-11.19947160107062</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27.764860812134245</v>
      </c>
      <c r="R98" s="1309">
        <f>(L$15+1-$J$15)*$O$2+25</f>
        <v>145.48979591836735</v>
      </c>
      <c r="S98" s="1309">
        <f>(L$15+M$15+1-$J$15)*$O$2+$E$15+D98*$O$3</f>
        <v>292.04489795918369</v>
      </c>
      <c r="T98" s="1309">
        <v>0</v>
      </c>
      <c r="U98" s="450">
        <f t="shared" si="29"/>
        <v>0.94003712738200929</v>
      </c>
      <c r="V98" s="450">
        <f t="shared" si="22"/>
        <v>0.5042344744577828</v>
      </c>
      <c r="W98" s="450">
        <v>0</v>
      </c>
      <c r="X98" s="451">
        <f t="shared" si="23"/>
        <v>1</v>
      </c>
      <c r="Y98" s="446">
        <f t="shared" si="24"/>
        <v>7840.1980283058319</v>
      </c>
      <c r="Z98" s="446">
        <f t="shared" si="30"/>
        <v>4634.813610815293</v>
      </c>
      <c r="AA98" s="446">
        <f>SUMPRODUCT($F$30:$F$32,$M$16:$M$18)*MIN(Q98/O98,1)*X98</f>
        <v>1462.7610770499225</v>
      </c>
      <c r="AB98">
        <f t="shared" si="28"/>
        <v>921.65006995070587</v>
      </c>
      <c r="AC98" s="446">
        <v>0</v>
      </c>
      <c r="AD98" s="446">
        <v>0</v>
      </c>
      <c r="AE98" s="446">
        <v>0</v>
      </c>
      <c r="AF98" s="447">
        <f t="shared" si="20"/>
        <v>14859.422786121753</v>
      </c>
      <c r="AG98" s="452">
        <f t="shared" si="25"/>
        <v>535.18808852186464</v>
      </c>
      <c r="AH98" s="453">
        <f t="shared" si="31"/>
        <v>-1.664860812134247</v>
      </c>
      <c r="AI98" s="104">
        <f t="shared" si="26"/>
        <v>-13.764860812134245</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30.337284260252506</v>
      </c>
      <c r="R99" s="1309">
        <f>(M$15+1-$J$15)*$O$2+25</f>
        <v>185.65306122448979</v>
      </c>
      <c r="S99" s="1309">
        <f>(M$15+M$15+1-$J$15)*$O$2+$E$16+D99*$O$3</f>
        <v>327.2081632653061</v>
      </c>
      <c r="T99" s="1309">
        <v>0</v>
      </c>
      <c r="U99" s="450">
        <f t="shared" si="29"/>
        <v>1</v>
      </c>
      <c r="V99" s="450">
        <f t="shared" si="22"/>
        <v>0.46147835382689834</v>
      </c>
      <c r="W99" s="450">
        <v>0</v>
      </c>
      <c r="X99" s="451">
        <f t="shared" si="23"/>
        <v>1</v>
      </c>
      <c r="Y99" s="446">
        <f t="shared" si="24"/>
        <v>8796.3197390748355</v>
      </c>
      <c r="Z99" s="446">
        <f t="shared" si="30"/>
        <v>5387.2665902142107</v>
      </c>
      <c r="AA99" s="446">
        <f>SUMPRODUCT($F$30:$F$32,$M$16:$M$18)*MIN(Q99/O99,1)*X99</f>
        <v>1462.7610770499225</v>
      </c>
      <c r="AB99">
        <f t="shared" si="28"/>
        <v>921.65006995070587</v>
      </c>
      <c r="AC99" s="446">
        <v>0</v>
      </c>
      <c r="AD99" s="446">
        <v>0</v>
      </c>
      <c r="AE99" s="446">
        <v>0</v>
      </c>
      <c r="AF99" s="447">
        <f t="shared" si="20"/>
        <v>16567.997476289675</v>
      </c>
      <c r="AG99" s="452">
        <f t="shared" si="25"/>
        <v>546.12658582616893</v>
      </c>
      <c r="AH99" s="453">
        <f t="shared" si="31"/>
        <v>0.11271573974749316</v>
      </c>
      <c r="AI99" s="104">
        <f t="shared" si="26"/>
        <v>-16.337284260252506</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33.007503348322103</v>
      </c>
      <c r="R100" s="1309">
        <f>(N$15+1-$J$15)*$O$2+25</f>
        <v>225.81632653061223</v>
      </c>
      <c r="S100" s="1309">
        <f>(N$15+M$15+1-$J$15)*$O$2+$E$17+D100*$O$3</f>
        <v>362.37142857142857</v>
      </c>
      <c r="T100" s="1309">
        <v>0</v>
      </c>
      <c r="U100" s="450">
        <f t="shared" si="29"/>
        <v>1</v>
      </c>
      <c r="V100" s="450">
        <f t="shared" si="22"/>
        <v>0.42414598439211165</v>
      </c>
      <c r="W100" s="450">
        <v>0</v>
      </c>
      <c r="X100" s="451">
        <f t="shared" si="23"/>
        <v>1</v>
      </c>
      <c r="Y100" s="446">
        <f t="shared" si="24"/>
        <v>9752.4414498438418</v>
      </c>
      <c r="Z100" s="446">
        <f t="shared" si="30"/>
        <v>5861.4416006833208</v>
      </c>
      <c r="AA100" s="446">
        <f>SUMPRODUCT($F$30:$F$32,$M$16:$M$18)*MIN(Q100/O100,1)*X100</f>
        <v>1462.7610770499225</v>
      </c>
      <c r="AB100">
        <f t="shared" si="28"/>
        <v>921.65006995070587</v>
      </c>
      <c r="AC100" s="446">
        <v>0</v>
      </c>
      <c r="AD100" s="446">
        <v>0</v>
      </c>
      <c r="AE100" s="446">
        <v>0</v>
      </c>
      <c r="AF100" s="447">
        <f t="shared" si="20"/>
        <v>17998.29419752779</v>
      </c>
      <c r="AG100" s="452">
        <f t="shared" si="25"/>
        <v>545.27887212780399</v>
      </c>
      <c r="AH100" s="453">
        <f t="shared" si="31"/>
        <v>1.7924966516778937</v>
      </c>
      <c r="AI100" s="104">
        <f t="shared" si="26"/>
        <v>-19.007503348322103</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1905</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25.470941506304811</v>
      </c>
      <c r="R101" s="1309">
        <f>(J$15+1-$J$15)*$O$2+25</f>
        <v>65.16326530612244</v>
      </c>
      <c r="S101" s="1309">
        <f>(J$15+N$15+1-$J$15)*$O$2+$E$13+D101*$O$3</f>
        <v>261.88163265306122</v>
      </c>
      <c r="T101" s="1309">
        <v>0</v>
      </c>
      <c r="U101" s="159">
        <f t="shared" si="29"/>
        <v>0.68313140272780981</v>
      </c>
      <c r="V101" s="159">
        <f t="shared" si="22"/>
        <v>0.62816680710603201</v>
      </c>
      <c r="W101" s="450">
        <v>0</v>
      </c>
      <c r="X101" s="461">
        <f t="shared" si="23"/>
        <v>1</v>
      </c>
      <c r="Y101" s="106">
        <f t="shared" si="24"/>
        <v>6884.0763175368302</v>
      </c>
      <c r="Z101" s="106">
        <f t="shared" si="30"/>
        <v>3089.8757405435285</v>
      </c>
      <c r="AA101" s="106">
        <f>SUMPRODUCT($F$31:$F$33,$N$16:$N$18)*MIN(Q101/O101,1)*X101</f>
        <v>1759.7269451999114</v>
      </c>
      <c r="AB101" s="28">
        <f t="shared" si="28"/>
        <v>921.65006995070587</v>
      </c>
      <c r="AC101" s="446">
        <v>0</v>
      </c>
      <c r="AD101" s="446">
        <v>0</v>
      </c>
      <c r="AE101" s="446">
        <v>0</v>
      </c>
      <c r="AF101" s="458">
        <f t="shared" si="20"/>
        <v>12655.329073230974</v>
      </c>
      <c r="AG101" s="452">
        <f t="shared" si="25"/>
        <v>496.85360355047754</v>
      </c>
      <c r="AH101" s="462">
        <f t="shared" si="31"/>
        <v>-8.0709415063048127</v>
      </c>
      <c r="AI101" s="105">
        <f t="shared" si="26"/>
        <v>-9.4709415063048112</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1906</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28.03633071736844</v>
      </c>
      <c r="R102" s="1309">
        <f>(K$15+1-$J$15)*$O$2+25</f>
        <v>105.32653061224489</v>
      </c>
      <c r="S102" s="1309">
        <f>(K$15+N$15+1-$J$15)*$O$2+$E$14+D102*$O$3</f>
        <v>297.04489795918369</v>
      </c>
      <c r="T102" s="1309">
        <v>0</v>
      </c>
      <c r="U102" s="159">
        <f t="shared" si="29"/>
        <v>0.77577912100052115</v>
      </c>
      <c r="V102" s="159">
        <f t="shared" si="22"/>
        <v>0.57068808901187762</v>
      </c>
      <c r="W102" s="450">
        <v>0</v>
      </c>
      <c r="X102" s="461">
        <f t="shared" si="23"/>
        <v>1</v>
      </c>
      <c r="Y102" s="106">
        <f t="shared" si="24"/>
        <v>7840.1980283058338</v>
      </c>
      <c r="Z102" s="106">
        <f t="shared" si="30"/>
        <v>3862.3446756794115</v>
      </c>
      <c r="AA102" s="106">
        <f>SUMPRODUCT($F$31:$F$33,$N$16:$N$18)*MIN(Q102/O102,1)*X102</f>
        <v>1759.7269451999114</v>
      </c>
      <c r="AB102" s="28">
        <f t="shared" si="28"/>
        <v>921.65006995070587</v>
      </c>
      <c r="AC102" s="446">
        <v>0</v>
      </c>
      <c r="AD102" s="446">
        <v>0</v>
      </c>
      <c r="AE102" s="446">
        <v>0</v>
      </c>
      <c r="AF102" s="458">
        <f t="shared" si="20"/>
        <v>14383.919719135862</v>
      </c>
      <c r="AG102" s="452">
        <f t="shared" si="25"/>
        <v>513.04572856336927</v>
      </c>
      <c r="AH102" s="462">
        <f t="shared" si="31"/>
        <v>-6.2863307173684397</v>
      </c>
      <c r="AI102" s="105">
        <f t="shared" si="26"/>
        <v>-12.03633071736844</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30.601719928432061</v>
      </c>
      <c r="R103" s="1309">
        <f>(L$15+1-$J$15)*$O$2+25</f>
        <v>145.48979591836735</v>
      </c>
      <c r="S103" s="1309">
        <f>(L$15+N$15+1-$J$15)*$O$2+$E$15+D103*$O$3</f>
        <v>332.2081632653061</v>
      </c>
      <c r="T103" s="1309">
        <v>0</v>
      </c>
      <c r="U103" s="159">
        <f t="shared" si="29"/>
        <v>0.85289323806112238</v>
      </c>
      <c r="V103" s="159">
        <f t="shared" si="22"/>
        <v>0.52284642946275706</v>
      </c>
      <c r="W103" s="450">
        <v>0</v>
      </c>
      <c r="X103" s="461">
        <f t="shared" si="23"/>
        <v>1</v>
      </c>
      <c r="Y103" s="106">
        <f t="shared" si="24"/>
        <v>8796.3197390748373</v>
      </c>
      <c r="Z103" s="106">
        <f t="shared" si="30"/>
        <v>4634.813610815293</v>
      </c>
      <c r="AA103" s="106">
        <f>SUMPRODUCT($F$31:$F$33,$N$16:$N$18)*MIN(Q103/O103,1)*X103</f>
        <v>1759.7269451999114</v>
      </c>
      <c r="AB103" s="28">
        <f t="shared" si="28"/>
        <v>921.65006995070587</v>
      </c>
      <c r="AC103" s="446">
        <v>0</v>
      </c>
      <c r="AD103" s="446">
        <v>0</v>
      </c>
      <c r="AE103" s="446">
        <v>0</v>
      </c>
      <c r="AF103" s="458">
        <f t="shared" si="20"/>
        <v>16112.510365040745</v>
      </c>
      <c r="AG103" s="452">
        <f t="shared" si="25"/>
        <v>526.52303212770107</v>
      </c>
      <c r="AH103" s="462">
        <f t="shared" si="31"/>
        <v>-4.5017199284320633</v>
      </c>
      <c r="AI103" s="105">
        <f t="shared" si="26"/>
        <v>-14.601719928432061</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33.167109139495693</v>
      </c>
      <c r="R104" s="1309">
        <f>(M$15+1-$J$15)*$O$2+25</f>
        <v>185.65306122448979</v>
      </c>
      <c r="S104" s="1309">
        <f>(M$15+N$15+1-$J$15)*$O$2+$E$16+D104*$O$3</f>
        <v>367.37142857142857</v>
      </c>
      <c r="T104" s="1309">
        <v>0</v>
      </c>
      <c r="U104" s="159">
        <f t="shared" si="29"/>
        <v>0.91807820428159848</v>
      </c>
      <c r="V104" s="159">
        <f t="shared" si="22"/>
        <v>0.48240562458146391</v>
      </c>
      <c r="W104" s="450">
        <v>0</v>
      </c>
      <c r="X104" s="461">
        <f t="shared" si="23"/>
        <v>1</v>
      </c>
      <c r="Y104" s="106">
        <f t="shared" si="24"/>
        <v>9752.4414498438418</v>
      </c>
      <c r="Z104" s="106">
        <f t="shared" si="30"/>
        <v>5407.2825459511769</v>
      </c>
      <c r="AA104" s="106">
        <f>SUMPRODUCT($F$31:$F$33,$N$16:$N$18)*MIN(Q104/O104,1)*X104</f>
        <v>1759.7269451999114</v>
      </c>
      <c r="AB104" s="28">
        <f t="shared" si="28"/>
        <v>921.65006995070587</v>
      </c>
      <c r="AC104" s="446">
        <v>0</v>
      </c>
      <c r="AD104" s="446">
        <v>0</v>
      </c>
      <c r="AE104" s="446">
        <v>0</v>
      </c>
      <c r="AF104" s="458">
        <f t="shared" si="20"/>
        <v>17841.101010945637</v>
      </c>
      <c r="AG104" s="452">
        <f t="shared" si="25"/>
        <v>537.91546727538855</v>
      </c>
      <c r="AH104" s="462">
        <f t="shared" si="31"/>
        <v>-2.7171091394956939</v>
      </c>
      <c r="AI104" s="105">
        <f t="shared" si="26"/>
        <v>-17.167109139495693</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35.732498350559325</v>
      </c>
      <c r="R105" s="1309">
        <f>(N$15+1-$J$15)*$O$2+25</f>
        <v>225.81632653061223</v>
      </c>
      <c r="S105" s="1309">
        <f>(N$15+N$15+1-$J$15)*$O$2+$E$17+D105*$O$3</f>
        <v>402.53469387755104</v>
      </c>
      <c r="T105" s="1309">
        <v>0</v>
      </c>
      <c r="U105" s="159">
        <f t="shared" si="29"/>
        <v>0.97390335426840557</v>
      </c>
      <c r="V105" s="159">
        <f t="shared" si="22"/>
        <v>0.44777165713489914</v>
      </c>
      <c r="W105" s="450">
        <v>0</v>
      </c>
      <c r="X105" s="461">
        <f t="shared" si="23"/>
        <v>1</v>
      </c>
      <c r="Y105" s="106">
        <f t="shared" si="24"/>
        <v>10708.563160612846</v>
      </c>
      <c r="Z105" s="106">
        <f t="shared" si="30"/>
        <v>6179.7514810870571</v>
      </c>
      <c r="AA105" s="106">
        <f>SUMPRODUCT($F$31:$F$33,$N$16:$N$18)*MIN(Q105/O105,1)*X105</f>
        <v>1759.7269451999114</v>
      </c>
      <c r="AB105" s="28">
        <f t="shared" si="28"/>
        <v>921.65006995070587</v>
      </c>
      <c r="AC105" s="446">
        <v>0</v>
      </c>
      <c r="AD105" s="446">
        <v>0</v>
      </c>
      <c r="AE105" s="446">
        <v>0</v>
      </c>
      <c r="AF105" s="458">
        <f t="shared" si="20"/>
        <v>19569.691656850522</v>
      </c>
      <c r="AG105" s="452">
        <f t="shared" si="25"/>
        <v>547.67207892543559</v>
      </c>
      <c r="AH105" s="462">
        <f t="shared" si="31"/>
        <v>-0.93249835055932806</v>
      </c>
      <c r="AI105" s="105">
        <f t="shared" si="26"/>
        <v>-19.732498350559325</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22.634082390006995</v>
      </c>
      <c r="R106" s="1309">
        <f>(J$15+1-$J$15)*$O$2+25</f>
        <v>65.16326530612244</v>
      </c>
      <c r="S106" s="1309">
        <f>(J$15+L$15+1-$J$15)*$O$2+$E$13+D106*$O$3</f>
        <v>181.55510204081631</v>
      </c>
      <c r="T106" s="1309">
        <v>0</v>
      </c>
      <c r="U106" s="450">
        <f t="shared" si="29"/>
        <v>0.76875217206429114</v>
      </c>
      <c r="V106" s="450">
        <f t="shared" si="22"/>
        <v>0.53017391176847661</v>
      </c>
      <c r="W106" s="450">
        <v>0</v>
      </c>
      <c r="X106" s="451">
        <f t="shared" si="23"/>
        <v>1</v>
      </c>
      <c r="Y106" s="446">
        <f t="shared" si="24"/>
        <v>5927.9546067678239</v>
      </c>
      <c r="Z106" s="446">
        <f t="shared" si="30"/>
        <v>3089.8757405435285</v>
      </c>
      <c r="AA106" s="446">
        <f>SUMPRODUCT($F$29:$F$31,$L$16:$L$18)*MIN(Q106/O106,1)*X106</f>
        <v>1187.7952088999336</v>
      </c>
      <c r="AB106" s="28">
        <f t="shared" ref="AB106:AB120" si="34">SUMPRODUCT($F$23:$F$25,$M$16:$M$18)*X106</f>
        <v>1190.4605772048644</v>
      </c>
      <c r="AC106" s="446">
        <v>0</v>
      </c>
      <c r="AD106" s="446">
        <v>0</v>
      </c>
      <c r="AE106" s="446">
        <v>0</v>
      </c>
      <c r="AF106" s="447">
        <f t="shared" si="20"/>
        <v>11396.086133416149</v>
      </c>
      <c r="AG106" s="452">
        <f t="shared" si="25"/>
        <v>503.49229701697783</v>
      </c>
      <c r="AH106" s="453">
        <f t="shared" si="31"/>
        <v>-5.2340823900069964</v>
      </c>
      <c r="AI106" s="104">
        <f t="shared" si="26"/>
        <v>-10.634082390006995</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25.19947160107062</v>
      </c>
      <c r="R107" s="1309">
        <f>(K$15+1-$J$15)*$O$2+25</f>
        <v>105.32653061224489</v>
      </c>
      <c r="S107" s="1309">
        <f>(K$15+L$15+1-$J$15)*$O$2+$E$14+D107*$O$3</f>
        <v>216.71836734693878</v>
      </c>
      <c r="T107" s="1309">
        <v>0</v>
      </c>
      <c r="U107" s="450">
        <f t="shared" si="29"/>
        <v>0.86311333603820228</v>
      </c>
      <c r="V107" s="450">
        <f t="shared" si="22"/>
        <v>0.47620046126245641</v>
      </c>
      <c r="W107" s="450">
        <v>0</v>
      </c>
      <c r="X107" s="451">
        <f t="shared" si="23"/>
        <v>1</v>
      </c>
      <c r="Y107" s="446">
        <f t="shared" si="24"/>
        <v>6884.0763175368284</v>
      </c>
      <c r="Z107" s="446">
        <f t="shared" si="30"/>
        <v>3862.3446756794115</v>
      </c>
      <c r="AA107" s="446">
        <f>SUMPRODUCT($F$29:$F$31,$L$16:$L$18)*MIN(Q107/O107,1)*X107</f>
        <v>1187.7952088999336</v>
      </c>
      <c r="AB107" s="28">
        <f t="shared" si="34"/>
        <v>1190.4605772048644</v>
      </c>
      <c r="AC107" s="446">
        <v>0</v>
      </c>
      <c r="AD107" s="446">
        <v>0</v>
      </c>
      <c r="AE107" s="446">
        <v>0</v>
      </c>
      <c r="AF107" s="447">
        <f t="shared" si="20"/>
        <v>13124.676779321038</v>
      </c>
      <c r="AG107" s="452">
        <f t="shared" si="25"/>
        <v>520.83142801944405</v>
      </c>
      <c r="AH107" s="453">
        <f t="shared" si="31"/>
        <v>-3.4494716010706199</v>
      </c>
      <c r="AI107" s="104">
        <f t="shared" si="26"/>
        <v>-13.19947160107062</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27.764860812134245</v>
      </c>
      <c r="R108" s="1309">
        <f>(L$15+1-$J$15)*$O$2+25</f>
        <v>145.48979591836735</v>
      </c>
      <c r="S108" s="1309">
        <f>(L$15+L$15+1-$J$15)*$O$2+$E$15+D108*$O$3</f>
        <v>251.88163265306122</v>
      </c>
      <c r="T108" s="1309">
        <v>0</v>
      </c>
      <c r="U108" s="450">
        <f t="shared" si="29"/>
        <v>0.94003712738200929</v>
      </c>
      <c r="V108" s="450">
        <f t="shared" si="22"/>
        <v>0.43220097810667096</v>
      </c>
      <c r="W108" s="450">
        <v>0</v>
      </c>
      <c r="X108" s="451">
        <f t="shared" si="23"/>
        <v>1</v>
      </c>
      <c r="Y108" s="446">
        <f t="shared" si="24"/>
        <v>7840.1980283058319</v>
      </c>
      <c r="Z108" s="446">
        <f t="shared" si="30"/>
        <v>4634.813610815293</v>
      </c>
      <c r="AA108" s="446">
        <f>SUMPRODUCT($F$29:$F$31,$L$16:$L$18)*MIN(Q108/O108,1)*X108</f>
        <v>1187.7952088999336</v>
      </c>
      <c r="AB108" s="28">
        <f t="shared" si="34"/>
        <v>1190.4605772048644</v>
      </c>
      <c r="AC108" s="446">
        <v>0</v>
      </c>
      <c r="AD108" s="446">
        <v>0</v>
      </c>
      <c r="AE108" s="446">
        <v>0</v>
      </c>
      <c r="AF108" s="447">
        <f t="shared" si="20"/>
        <v>14853.267425225924</v>
      </c>
      <c r="AG108" s="452">
        <f t="shared" si="25"/>
        <v>534.96639243854986</v>
      </c>
      <c r="AH108" s="453">
        <f t="shared" si="31"/>
        <v>-1.664860812134247</v>
      </c>
      <c r="AI108" s="104">
        <f t="shared" si="26"/>
        <v>-15.764860812134245</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30.337284260252506</v>
      </c>
      <c r="R109" s="1309">
        <f>(M$15+1-$J$15)*$O$2+25</f>
        <v>185.65306122448979</v>
      </c>
      <c r="S109" s="1309">
        <f>(M$15+L$15+1-$J$15)*$O$2+$E$16+D109*$O$3</f>
        <v>287.04489795918369</v>
      </c>
      <c r="T109" s="1309">
        <v>0</v>
      </c>
      <c r="U109" s="450">
        <f t="shared" si="29"/>
        <v>1</v>
      </c>
      <c r="V109" s="450">
        <f t="shared" si="22"/>
        <v>0.39555287470876999</v>
      </c>
      <c r="W109" s="450">
        <v>0</v>
      </c>
      <c r="X109" s="451">
        <f t="shared" si="23"/>
        <v>1</v>
      </c>
      <c r="Y109" s="446">
        <f t="shared" si="24"/>
        <v>8796.3197390748355</v>
      </c>
      <c r="Z109" s="446">
        <f t="shared" si="30"/>
        <v>5387.2665902142107</v>
      </c>
      <c r="AA109" s="446">
        <f>SUMPRODUCT($F$29:$F$31,$L$16:$L$18)*MIN(Q109/O109,1)*X109</f>
        <v>1187.7952088999336</v>
      </c>
      <c r="AB109" s="28">
        <f t="shared" si="34"/>
        <v>1190.4605772048644</v>
      </c>
      <c r="AC109" s="446">
        <v>0</v>
      </c>
      <c r="AD109" s="446">
        <v>0</v>
      </c>
      <c r="AE109" s="446">
        <v>0</v>
      </c>
      <c r="AF109" s="447">
        <f t="shared" si="20"/>
        <v>16561.842115393843</v>
      </c>
      <c r="AG109" s="452">
        <f t="shared" si="25"/>
        <v>545.92368826806762</v>
      </c>
      <c r="AH109" s="453">
        <f t="shared" si="31"/>
        <v>0.11271573974749316</v>
      </c>
      <c r="AI109" s="104">
        <f t="shared" si="26"/>
        <v>-18.337284260252506</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33.007503348322103</v>
      </c>
      <c r="R110" s="1309">
        <f>(N$15+1-$J$15)*$O$2+25</f>
        <v>225.81632653061223</v>
      </c>
      <c r="S110" s="1309">
        <f>(N$15+L$15+1-$J$15)*$O$2+$E$17+D110*$O$3</f>
        <v>322.2081632653061</v>
      </c>
      <c r="T110" s="1309">
        <v>0</v>
      </c>
      <c r="U110" s="450">
        <f t="shared" si="29"/>
        <v>1</v>
      </c>
      <c r="V110" s="450">
        <f t="shared" si="22"/>
        <v>0.36355370090752426</v>
      </c>
      <c r="W110" s="450">
        <v>0</v>
      </c>
      <c r="X110" s="451">
        <f t="shared" si="23"/>
        <v>1</v>
      </c>
      <c r="Y110" s="446">
        <f t="shared" si="24"/>
        <v>9752.4414498438418</v>
      </c>
      <c r="Z110" s="446">
        <f t="shared" si="30"/>
        <v>5861.4416006833208</v>
      </c>
      <c r="AA110" s="446">
        <f>SUMPRODUCT($F$29:$F$31,$L$16:$L$18)*MIN(Q110/O110,1)*X110</f>
        <v>1187.7952088999336</v>
      </c>
      <c r="AB110" s="28">
        <f t="shared" si="34"/>
        <v>1190.4605772048644</v>
      </c>
      <c r="AC110" s="446">
        <v>0</v>
      </c>
      <c r="AD110" s="446">
        <v>0</v>
      </c>
      <c r="AE110" s="446">
        <v>0</v>
      </c>
      <c r="AF110" s="447">
        <f t="shared" si="20"/>
        <v>17992.138836631959</v>
      </c>
      <c r="AG110" s="452">
        <f t="shared" si="25"/>
        <v>545.09238844162894</v>
      </c>
      <c r="AH110" s="453">
        <f t="shared" si="31"/>
        <v>1.7924966516778937</v>
      </c>
      <c r="AI110" s="104">
        <f t="shared" si="26"/>
        <v>-21.007503348322103</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25.470941506304804</v>
      </c>
      <c r="R111" s="1309">
        <f>(J$15+1-$J$15)*$O$2+25</f>
        <v>65.16326530612244</v>
      </c>
      <c r="S111" s="1309">
        <f>(J$15+M$15+1-$J$15)*$O$2+$E$13+D111*$O$3</f>
        <v>221.71836734693878</v>
      </c>
      <c r="T111" s="1309">
        <v>0</v>
      </c>
      <c r="U111" s="450">
        <f t="shared" si="29"/>
        <v>0.68313140272781003</v>
      </c>
      <c r="V111" s="450">
        <f t="shared" si="22"/>
        <v>0.54964595621777823</v>
      </c>
      <c r="W111" s="450">
        <v>0</v>
      </c>
      <c r="X111" s="451">
        <f t="shared" si="23"/>
        <v>1</v>
      </c>
      <c r="Y111" s="446">
        <f t="shared" si="24"/>
        <v>6884.0763175368284</v>
      </c>
      <c r="Z111" s="446">
        <f t="shared" si="30"/>
        <v>3089.8757405435285</v>
      </c>
      <c r="AA111" s="446">
        <f>SUMPRODUCT($F$30:$F$32,$M$16:$M$18)*MIN(Q111/O111,1)*X111</f>
        <v>1462.7610770499225</v>
      </c>
      <c r="AB111" s="28">
        <f t="shared" si="34"/>
        <v>1190.4605772048644</v>
      </c>
      <c r="AC111" s="446">
        <v>0</v>
      </c>
      <c r="AD111" s="446">
        <v>0</v>
      </c>
      <c r="AE111" s="446">
        <v>0</v>
      </c>
      <c r="AF111" s="447">
        <f t="shared" si="20"/>
        <v>12627.173712335145</v>
      </c>
      <c r="AG111" s="452">
        <f t="shared" si="25"/>
        <v>495.74821210317452</v>
      </c>
      <c r="AH111" s="453">
        <f t="shared" si="31"/>
        <v>-8.0709415063048056</v>
      </c>
      <c r="AI111" s="104">
        <f t="shared" si="26"/>
        <v>-11.470941506304804</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28.036330717368429</v>
      </c>
      <c r="R112" s="1309">
        <f>(K$15+1-$J$15)*$O$2+25</f>
        <v>105.32653061224489</v>
      </c>
      <c r="S112" s="1309">
        <f>(K$15+M$15+1-$J$15)*$O$2+$E$14+D112*$O$3</f>
        <v>256.88163265306122</v>
      </c>
      <c r="T112" s="1309">
        <v>0</v>
      </c>
      <c r="U112" s="450">
        <f t="shared" si="29"/>
        <v>0.77577912100052149</v>
      </c>
      <c r="V112" s="450">
        <f t="shared" si="22"/>
        <v>0.49935207788539315</v>
      </c>
      <c r="W112" s="450">
        <v>0</v>
      </c>
      <c r="X112" s="451">
        <f t="shared" si="23"/>
        <v>1</v>
      </c>
      <c r="Y112" s="446">
        <f t="shared" si="24"/>
        <v>7840.1980283058319</v>
      </c>
      <c r="Z112" s="446">
        <f t="shared" si="30"/>
        <v>3862.3446756794115</v>
      </c>
      <c r="AA112" s="446">
        <f>SUMPRODUCT($F$30:$F$32,$M$16:$M$18)*MIN(Q112/O112,1)*X112</f>
        <v>1462.7610770499225</v>
      </c>
      <c r="AB112" s="28">
        <f t="shared" si="34"/>
        <v>1190.4605772048644</v>
      </c>
      <c r="AC112" s="446">
        <v>0</v>
      </c>
      <c r="AD112" s="446">
        <v>0</v>
      </c>
      <c r="AE112" s="446">
        <v>0</v>
      </c>
      <c r="AF112" s="447">
        <f t="shared" si="20"/>
        <v>14355.764358240031</v>
      </c>
      <c r="AG112" s="452">
        <f t="shared" si="25"/>
        <v>512.04148299430187</v>
      </c>
      <c r="AH112" s="453">
        <f t="shared" si="31"/>
        <v>-6.2863307173684291</v>
      </c>
      <c r="AI112" s="104">
        <f t="shared" si="26"/>
        <v>-14.036330717368429</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30.601719928432061</v>
      </c>
      <c r="R113" s="1309">
        <f>(L$15+1-$J$15)*$O$2+25</f>
        <v>145.48979591836735</v>
      </c>
      <c r="S113" s="1309">
        <f>(L$15+M$15+1-$J$15)*$O$2+$E$15+D113*$O$3</f>
        <v>292.04489795918369</v>
      </c>
      <c r="T113" s="1309">
        <v>0</v>
      </c>
      <c r="U113" s="450">
        <f t="shared" si="29"/>
        <v>0.85289323806112238</v>
      </c>
      <c r="V113" s="450">
        <f t="shared" si="22"/>
        <v>0.4574906257799124</v>
      </c>
      <c r="W113" s="450">
        <v>0</v>
      </c>
      <c r="X113" s="451">
        <f t="shared" si="23"/>
        <v>1</v>
      </c>
      <c r="Y113" s="446">
        <f t="shared" si="24"/>
        <v>8796.3197390748355</v>
      </c>
      <c r="Z113" s="446">
        <f t="shared" si="30"/>
        <v>4634.813610815293</v>
      </c>
      <c r="AA113" s="446">
        <f>SUMPRODUCT($F$30:$F$32,$M$16:$M$18)*MIN(Q113/O113,1)*X113</f>
        <v>1462.7610770499225</v>
      </c>
      <c r="AB113" s="28">
        <f t="shared" si="34"/>
        <v>1190.4605772048644</v>
      </c>
      <c r="AC113" s="446">
        <v>0</v>
      </c>
      <c r="AD113" s="446">
        <v>0</v>
      </c>
      <c r="AE113" s="446">
        <v>0</v>
      </c>
      <c r="AF113" s="447">
        <f t="shared" si="20"/>
        <v>16084.355004144916</v>
      </c>
      <c r="AG113" s="452">
        <f t="shared" si="25"/>
        <v>525.60297400803734</v>
      </c>
      <c r="AH113" s="453">
        <f t="shared" si="31"/>
        <v>-4.5017199284320633</v>
      </c>
      <c r="AI113" s="104">
        <f t="shared" si="26"/>
        <v>-16.601719928432061</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33.167109139495686</v>
      </c>
      <c r="R114" s="1309">
        <f>(M$15+1-$J$15)*$O$2+25</f>
        <v>185.65306122448979</v>
      </c>
      <c r="S114" s="1309">
        <f>(M$15+M$15+1-$J$15)*$O$2+$E$16+D114*$O$3</f>
        <v>327.2081632653061</v>
      </c>
      <c r="T114" s="1309">
        <v>0</v>
      </c>
      <c r="U114" s="450">
        <f t="shared" si="29"/>
        <v>0.9180782042815987</v>
      </c>
      <c r="V114" s="450">
        <f t="shared" si="22"/>
        <v>0.42210492150878104</v>
      </c>
      <c r="W114" s="450">
        <v>0</v>
      </c>
      <c r="X114" s="451">
        <f t="shared" si="23"/>
        <v>1</v>
      </c>
      <c r="Y114" s="446">
        <f t="shared" si="24"/>
        <v>9752.44144984384</v>
      </c>
      <c r="Z114" s="446">
        <f t="shared" si="30"/>
        <v>5407.2825459511769</v>
      </c>
      <c r="AA114" s="446">
        <f>SUMPRODUCT($F$30:$F$32,$M$16:$M$18)*MIN(Q114/O114,1)*X114</f>
        <v>1462.7610770499225</v>
      </c>
      <c r="AB114" s="28">
        <f t="shared" si="34"/>
        <v>1190.4605772048644</v>
      </c>
      <c r="AC114" s="446">
        <v>0</v>
      </c>
      <c r="AD114" s="446">
        <v>0</v>
      </c>
      <c r="AE114" s="446">
        <v>0</v>
      </c>
      <c r="AF114" s="447">
        <f t="shared" si="20"/>
        <v>17812.945650049802</v>
      </c>
      <c r="AG114" s="452">
        <f t="shared" si="25"/>
        <v>537.06657324674666</v>
      </c>
      <c r="AH114" s="453">
        <f t="shared" si="31"/>
        <v>-2.7171091394956868</v>
      </c>
      <c r="AI114" s="104">
        <f t="shared" si="26"/>
        <v>-19.167109139495686</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35.732498350559325</v>
      </c>
      <c r="R115" s="1309">
        <f>(N$15+1-$J$15)*$O$2+25</f>
        <v>225.81632653061223</v>
      </c>
      <c r="S115" s="1309">
        <f>(N$15+M$15+1-$J$15)*$O$2+$E$17+D115*$O$3</f>
        <v>362.37142857142857</v>
      </c>
      <c r="T115" s="1309">
        <v>0</v>
      </c>
      <c r="U115" s="450">
        <f t="shared" si="29"/>
        <v>0.97390335426840557</v>
      </c>
      <c r="V115" s="450">
        <f t="shared" si="22"/>
        <v>0.39180019999303678</v>
      </c>
      <c r="W115" s="450">
        <v>0</v>
      </c>
      <c r="X115" s="451">
        <f t="shared" si="23"/>
        <v>1</v>
      </c>
      <c r="Y115" s="446">
        <f t="shared" si="24"/>
        <v>10708.563160612846</v>
      </c>
      <c r="Z115" s="446">
        <f t="shared" si="30"/>
        <v>6179.7514810870571</v>
      </c>
      <c r="AA115" s="446">
        <f>SUMPRODUCT($F$30:$F$32,$M$16:$M$18)*MIN(Q115/O115,1)*X115</f>
        <v>1462.7610770499225</v>
      </c>
      <c r="AB115" s="28">
        <f t="shared" si="34"/>
        <v>1190.4605772048644</v>
      </c>
      <c r="AC115" s="446">
        <v>0</v>
      </c>
      <c r="AD115" s="446">
        <v>0</v>
      </c>
      <c r="AE115" s="446">
        <v>0</v>
      </c>
      <c r="AF115" s="447">
        <f t="shared" si="20"/>
        <v>19541.536295954691</v>
      </c>
      <c r="AG115" s="452">
        <f t="shared" si="25"/>
        <v>546.88413063758821</v>
      </c>
      <c r="AH115" s="453">
        <f t="shared" si="31"/>
        <v>-0.93249835055932806</v>
      </c>
      <c r="AI115" s="104">
        <f t="shared" si="26"/>
        <v>-21.732498350559325</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28.307800622602628</v>
      </c>
      <c r="R116" s="1309">
        <f>(J$15+1-$J$15)*$O$2+25</f>
        <v>65.16326530612244</v>
      </c>
      <c r="S116" s="1309">
        <f>(J$15+N$15+1-$J$15)*$O$2+$E$13+D116*$O$3</f>
        <v>261.88163265306122</v>
      </c>
      <c r="T116" s="1309">
        <v>0</v>
      </c>
      <c r="U116" s="159">
        <f t="shared" si="29"/>
        <v>0.61467156109990428</v>
      </c>
      <c r="V116" s="159">
        <f t="shared" si="22"/>
        <v>0.5652152285976132</v>
      </c>
      <c r="W116" s="450">
        <v>0</v>
      </c>
      <c r="X116" s="461">
        <f t="shared" si="23"/>
        <v>1</v>
      </c>
      <c r="Y116" s="106">
        <f t="shared" si="24"/>
        <v>7840.1980283058338</v>
      </c>
      <c r="Z116" s="106">
        <f t="shared" si="30"/>
        <v>3089.8757405435285</v>
      </c>
      <c r="AA116" s="106">
        <f>SUMPRODUCT($F$31:$F$33,$N$16:$N$18)*MIN(Q116/O116,1)*X116</f>
        <v>1759.7269451999114</v>
      </c>
      <c r="AB116" s="28">
        <f t="shared" si="34"/>
        <v>1190.4605772048644</v>
      </c>
      <c r="AC116" s="446">
        <v>0</v>
      </c>
      <c r="AD116" s="446">
        <v>0</v>
      </c>
      <c r="AE116" s="446">
        <v>0</v>
      </c>
      <c r="AF116" s="458">
        <f t="shared" si="20"/>
        <v>13880.261291254137</v>
      </c>
      <c r="AG116" s="452">
        <f t="shared" si="25"/>
        <v>490.33344117067554</v>
      </c>
      <c r="AH116" s="462">
        <f t="shared" si="31"/>
        <v>-10.907800622602629</v>
      </c>
      <c r="AI116" s="105">
        <f t="shared" si="26"/>
        <v>-12.307800622602628</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30.873189833666249</v>
      </c>
      <c r="R117" s="1309">
        <f>(K$15+1-$J$15)*$O$2+25</f>
        <v>105.32653061224489</v>
      </c>
      <c r="S117" s="1309">
        <f>(K$15+N$15+1-$J$15)*$O$2+$E$14+D117*$O$3</f>
        <v>297.04489795918369</v>
      </c>
      <c r="T117" s="1309">
        <v>0</v>
      </c>
      <c r="U117" s="159">
        <f t="shared" si="29"/>
        <v>0.70449474502574094</v>
      </c>
      <c r="V117" s="159">
        <f t="shared" si="22"/>
        <v>0.51824900783502781</v>
      </c>
      <c r="W117" s="450">
        <v>0</v>
      </c>
      <c r="X117" s="461">
        <f t="shared" si="23"/>
        <v>1</v>
      </c>
      <c r="Y117" s="106">
        <f t="shared" si="24"/>
        <v>8796.3197390748373</v>
      </c>
      <c r="Z117" s="106">
        <f t="shared" si="30"/>
        <v>3862.3446756794115</v>
      </c>
      <c r="AA117" s="106">
        <f>SUMPRODUCT($F$31:$F$33,$N$16:$N$18)*MIN(Q117/O117,1)*X117</f>
        <v>1759.7269451999114</v>
      </c>
      <c r="AB117" s="28">
        <f t="shared" si="34"/>
        <v>1190.4605772048644</v>
      </c>
      <c r="AC117" s="446">
        <v>0</v>
      </c>
      <c r="AD117" s="446">
        <v>0</v>
      </c>
      <c r="AE117" s="446">
        <v>0</v>
      </c>
      <c r="AF117" s="458">
        <f t="shared" si="20"/>
        <v>15608.851937159023</v>
      </c>
      <c r="AG117" s="452">
        <f t="shared" si="25"/>
        <v>505.5795018672822</v>
      </c>
      <c r="AH117" s="462">
        <f t="shared" si="31"/>
        <v>-9.1231898336662489</v>
      </c>
      <c r="AI117" s="105">
        <f t="shared" si="26"/>
        <v>-14.873189833666249</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33.438579044729877</v>
      </c>
      <c r="R118" s="1309">
        <f>(L$15+1-$J$15)*$O$2+25</f>
        <v>145.48979591836735</v>
      </c>
      <c r="S118" s="1309">
        <f>(L$15+N$15+1-$J$15)*$O$2+$E$15+D118*$O$3</f>
        <v>332.2081632653061</v>
      </c>
      <c r="T118" s="1309">
        <v>0</v>
      </c>
      <c r="U118" s="159">
        <f t="shared" si="29"/>
        <v>0.7805355593934401</v>
      </c>
      <c r="V118" s="159">
        <f t="shared" si="22"/>
        <v>0.47848923181207059</v>
      </c>
      <c r="W118" s="450">
        <v>0</v>
      </c>
      <c r="X118" s="461">
        <f t="shared" si="23"/>
        <v>1</v>
      </c>
      <c r="Y118" s="106">
        <f t="shared" si="24"/>
        <v>9752.4414498438418</v>
      </c>
      <c r="Z118" s="106">
        <f t="shared" si="30"/>
        <v>4634.813610815293</v>
      </c>
      <c r="AA118" s="106">
        <f>SUMPRODUCT($F$31:$F$33,$N$16:$N$18)*MIN(Q118/O118,1)*X118</f>
        <v>1759.7269451999114</v>
      </c>
      <c r="AB118" s="28">
        <f t="shared" si="34"/>
        <v>1190.4605772048644</v>
      </c>
      <c r="AC118" s="446">
        <v>0</v>
      </c>
      <c r="AD118" s="446">
        <v>0</v>
      </c>
      <c r="AE118" s="446">
        <v>0</v>
      </c>
      <c r="AF118" s="458">
        <f t="shared" si="20"/>
        <v>17337.442583063912</v>
      </c>
      <c r="AG118" s="452">
        <f t="shared" si="25"/>
        <v>518.48622394725828</v>
      </c>
      <c r="AH118" s="462">
        <f t="shared" si="31"/>
        <v>-7.3385790447298795</v>
      </c>
      <c r="AI118" s="105">
        <f t="shared" si="26"/>
        <v>-17.438579044729877</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36.003968255793509</v>
      </c>
      <c r="R119" s="1309">
        <f>(M$15+1-$J$15)*$O$2+25</f>
        <v>185.65306122448979</v>
      </c>
      <c r="S119" s="1309">
        <f>(M$15+N$15+1-$J$15)*$O$2+$E$16+D119*$O$3</f>
        <v>367.37142857142857</v>
      </c>
      <c r="T119" s="1309">
        <v>0</v>
      </c>
      <c r="U119" s="159">
        <f t="shared" si="29"/>
        <v>0.84574010796990962</v>
      </c>
      <c r="V119" s="159">
        <f t="shared" si="22"/>
        <v>0.44439545903180799</v>
      </c>
      <c r="W119" s="450">
        <v>0</v>
      </c>
      <c r="X119" s="461">
        <f t="shared" si="23"/>
        <v>1</v>
      </c>
      <c r="Y119" s="106">
        <f t="shared" si="24"/>
        <v>10708.563160612846</v>
      </c>
      <c r="Z119" s="106">
        <f t="shared" si="30"/>
        <v>5407.2825459511769</v>
      </c>
      <c r="AA119" s="106">
        <f>SUMPRODUCT($F$31:$F$33,$N$16:$N$18)*MIN(Q119/O119,1)*X119</f>
        <v>1759.7269451999114</v>
      </c>
      <c r="AB119" s="28">
        <f t="shared" si="34"/>
        <v>1190.4605772048644</v>
      </c>
      <c r="AC119" s="446">
        <v>0</v>
      </c>
      <c r="AD119" s="446">
        <v>0</v>
      </c>
      <c r="AE119" s="446">
        <v>0</v>
      </c>
      <c r="AF119" s="458">
        <f t="shared" si="20"/>
        <v>19066.033228968798</v>
      </c>
      <c r="AG119" s="452">
        <f t="shared" si="25"/>
        <v>529.55366179395583</v>
      </c>
      <c r="AH119" s="462">
        <f t="shared" si="31"/>
        <v>-5.5539682557935102</v>
      </c>
      <c r="AI119" s="105">
        <f t="shared" si="26"/>
        <v>-20.003968255793509</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38.569357466857134</v>
      </c>
      <c r="R120" s="1309">
        <f>(N$15+1-$J$15)*$O$2+25</f>
        <v>225.81632653061223</v>
      </c>
      <c r="S120" s="1309">
        <f>(N$15+N$15+1-$J$15)*$O$2+$E$17+D120*$O$3</f>
        <v>402.53469387755104</v>
      </c>
      <c r="T120" s="1309">
        <v>0</v>
      </c>
      <c r="U120" s="159">
        <f t="shared" si="29"/>
        <v>0.9022706699198666</v>
      </c>
      <c r="V120" s="159">
        <f t="shared" ref="V120:V150" si="37">IF(O120&gt;0,MIN(1,O120/Q120),0)</f>
        <v>0.41483708961832955</v>
      </c>
      <c r="W120" s="450">
        <v>0</v>
      </c>
      <c r="X120" s="461">
        <f t="shared" ref="X120:X150" si="38">MIN(1,H120*10/Q120)*fw+(1-(MIN(1,H120*10/Q120)))*1</f>
        <v>1</v>
      </c>
      <c r="Y120" s="106">
        <f t="shared" ref="Y120:Y150" si="39">(I120*avginst)*X120*$K$4</f>
        <v>11664.684871381849</v>
      </c>
      <c r="Z120" s="106">
        <f t="shared" si="30"/>
        <v>6179.7514810870571</v>
      </c>
      <c r="AA120" s="106">
        <f>SUMPRODUCT($F$31:$F$33,$N$16:$N$18)*MIN(Q120/O120,1)*X120</f>
        <v>1759.7269451999114</v>
      </c>
      <c r="AB120" s="28">
        <f t="shared" si="34"/>
        <v>1190.4605772048644</v>
      </c>
      <c r="AC120" s="446">
        <v>0</v>
      </c>
      <c r="AD120" s="446">
        <v>0</v>
      </c>
      <c r="AE120" s="446">
        <v>0</v>
      </c>
      <c r="AF120" s="458">
        <f t="shared" si="20"/>
        <v>20794.623874873683</v>
      </c>
      <c r="AG120" s="452">
        <f t="shared" ref="AG120:AG150" si="40">IF(AND(forceea,W120=0),0,IF(time=0, AF120/Q120, IF(time&lt;Q120, 0, AF120/Q120))*AQ120)</f>
        <v>539.14882799752684</v>
      </c>
      <c r="AH120" s="462">
        <f t="shared" si="31"/>
        <v>-3.7693574668571372</v>
      </c>
      <c r="AI120" s="105">
        <f t="shared" ref="AI120:AI150" si="41">O120-$Q120</f>
        <v>-22.569357466857134</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25.470941506304804</v>
      </c>
      <c r="R121" s="1309">
        <f>(J$15+1-$J$15)*$O$2+25</f>
        <v>65.16326530612244</v>
      </c>
      <c r="S121" s="1309">
        <f>(J$15+L$15+1-$J$15)*$O$2+$E$13+D121*$O$3</f>
        <v>181.55510204081631</v>
      </c>
      <c r="T121" s="1309">
        <v>0</v>
      </c>
      <c r="U121" s="450">
        <f t="shared" si="29"/>
        <v>0.68313140272781003</v>
      </c>
      <c r="V121" s="450">
        <f t="shared" si="37"/>
        <v>0.47112510532952417</v>
      </c>
      <c r="W121" s="450">
        <v>0</v>
      </c>
      <c r="X121" s="451">
        <f t="shared" si="38"/>
        <v>1</v>
      </c>
      <c r="Y121" s="446">
        <f t="shared" si="39"/>
        <v>6884.0763175368284</v>
      </c>
      <c r="Z121" s="446">
        <f t="shared" si="30"/>
        <v>3089.8757405435285</v>
      </c>
      <c r="AA121" s="446">
        <f>SUMPRODUCT($F$29:$F$31,$L$16:$L$18)*MIN(Q121/O121,1)*X121</f>
        <v>1187.7952088999336</v>
      </c>
      <c r="AB121">
        <f t="shared" ref="AB121:AB135" si="43">SUMPRODUCT($F$24:$F$26,$N$16:$N$18)*X121</f>
        <v>1459.2710844590233</v>
      </c>
      <c r="AC121" s="446">
        <v>0</v>
      </c>
      <c r="AD121" s="446">
        <v>0</v>
      </c>
      <c r="AE121" s="446">
        <v>0</v>
      </c>
      <c r="AF121" s="447">
        <f t="shared" si="20"/>
        <v>12621.018351439314</v>
      </c>
      <c r="AG121" s="452">
        <f t="shared" si="40"/>
        <v>495.50655001564201</v>
      </c>
      <c r="AH121" s="453">
        <f t="shared" si="31"/>
        <v>-8.0709415063048056</v>
      </c>
      <c r="AI121" s="104">
        <f t="shared" si="41"/>
        <v>-13.470941506304804</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28.036330717368429</v>
      </c>
      <c r="R122" s="1309">
        <f>(K$15+1-$J$15)*$O$2+25</f>
        <v>105.32653061224489</v>
      </c>
      <c r="S122" s="1309">
        <f>(K$15+L$15+1-$J$15)*$O$2+$E$14+D122*$O$3</f>
        <v>216.71836734693878</v>
      </c>
      <c r="T122" s="1309">
        <v>0</v>
      </c>
      <c r="U122" s="450">
        <f t="shared" si="29"/>
        <v>0.77577912100052149</v>
      </c>
      <c r="V122" s="450">
        <f t="shared" si="37"/>
        <v>0.42801606675890841</v>
      </c>
      <c r="W122" s="450">
        <v>0</v>
      </c>
      <c r="X122" s="451">
        <f t="shared" si="38"/>
        <v>1</v>
      </c>
      <c r="Y122" s="446">
        <f t="shared" si="39"/>
        <v>7840.1980283058319</v>
      </c>
      <c r="Z122" s="446">
        <f t="shared" si="30"/>
        <v>3862.3446756794115</v>
      </c>
      <c r="AA122" s="446">
        <f>SUMPRODUCT($F$29:$F$31,$L$16:$L$18)*MIN(Q122/O122,1)*X122</f>
        <v>1187.7952088999336</v>
      </c>
      <c r="AB122">
        <f t="shared" si="43"/>
        <v>1459.2710844590233</v>
      </c>
      <c r="AC122" s="446">
        <v>0</v>
      </c>
      <c r="AD122" s="446">
        <v>0</v>
      </c>
      <c r="AE122" s="446">
        <v>0</v>
      </c>
      <c r="AF122" s="447">
        <f t="shared" si="20"/>
        <v>14349.608997344201</v>
      </c>
      <c r="AG122" s="452">
        <f t="shared" si="40"/>
        <v>511.82193354762569</v>
      </c>
      <c r="AH122" s="453">
        <f t="shared" si="31"/>
        <v>-6.2863307173684291</v>
      </c>
      <c r="AI122" s="104">
        <f t="shared" si="41"/>
        <v>-16.036330717368429</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30.601719928432061</v>
      </c>
      <c r="R123" s="1309">
        <f>(L$15+1-$J$15)*$O$2+25</f>
        <v>145.48979591836735</v>
      </c>
      <c r="S123" s="1309">
        <f>(L$15+L$15+1-$J$15)*$O$2+$E$15+D123*$O$3</f>
        <v>251.88163265306122</v>
      </c>
      <c r="T123" s="1309">
        <v>0</v>
      </c>
      <c r="U123" s="450">
        <f t="shared" si="29"/>
        <v>0.85289323806112238</v>
      </c>
      <c r="V123" s="450">
        <f t="shared" si="37"/>
        <v>0.39213482209706779</v>
      </c>
      <c r="W123" s="450">
        <v>0</v>
      </c>
      <c r="X123" s="451">
        <f t="shared" si="38"/>
        <v>1</v>
      </c>
      <c r="Y123" s="446">
        <f t="shared" si="39"/>
        <v>8796.3197390748355</v>
      </c>
      <c r="Z123" s="446">
        <f t="shared" si="30"/>
        <v>4634.813610815293</v>
      </c>
      <c r="AA123" s="446">
        <f>SUMPRODUCT($F$29:$F$31,$L$16:$L$18)*MIN(Q123/O123,1)*X123</f>
        <v>1187.7952088999336</v>
      </c>
      <c r="AB123">
        <f t="shared" si="43"/>
        <v>1459.2710844590233</v>
      </c>
      <c r="AC123" s="446">
        <v>0</v>
      </c>
      <c r="AD123" s="446">
        <v>0</v>
      </c>
      <c r="AE123" s="446">
        <v>0</v>
      </c>
      <c r="AF123" s="447">
        <f t="shared" si="20"/>
        <v>16078.199643249087</v>
      </c>
      <c r="AG123" s="452">
        <f t="shared" si="40"/>
        <v>525.40182972888499</v>
      </c>
      <c r="AH123" s="453">
        <f t="shared" si="31"/>
        <v>-4.5017199284320633</v>
      </c>
      <c r="AI123" s="104">
        <f t="shared" si="41"/>
        <v>-18.601719928432061</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33.167109139495686</v>
      </c>
      <c r="R124" s="1309">
        <f>(M$15+1-$J$15)*$O$2+25</f>
        <v>185.65306122448979</v>
      </c>
      <c r="S124" s="1309">
        <f>(M$15+L$15+1-$J$15)*$O$2+$E$16+D124*$O$3</f>
        <v>287.04489795918369</v>
      </c>
      <c r="T124" s="1309">
        <v>0</v>
      </c>
      <c r="U124" s="450">
        <f t="shared" si="29"/>
        <v>0.9180782042815987</v>
      </c>
      <c r="V124" s="450">
        <f t="shared" si="37"/>
        <v>0.361804218436098</v>
      </c>
      <c r="W124" s="450">
        <v>0</v>
      </c>
      <c r="X124" s="451">
        <f t="shared" si="38"/>
        <v>1</v>
      </c>
      <c r="Y124" s="446">
        <f t="shared" si="39"/>
        <v>9752.44144984384</v>
      </c>
      <c r="Z124" s="446">
        <f t="shared" si="30"/>
        <v>5407.2825459511769</v>
      </c>
      <c r="AA124" s="446">
        <f>SUMPRODUCT($F$29:$F$31,$L$16:$L$18)*MIN(Q124/O124,1)*X124</f>
        <v>1187.7952088999336</v>
      </c>
      <c r="AB124">
        <f t="shared" si="43"/>
        <v>1459.2710844590233</v>
      </c>
      <c r="AC124" s="446">
        <v>0</v>
      </c>
      <c r="AD124" s="446">
        <v>0</v>
      </c>
      <c r="AE124" s="446">
        <v>0</v>
      </c>
      <c r="AF124" s="447">
        <f t="shared" si="20"/>
        <v>17806.790289153974</v>
      </c>
      <c r="AG124" s="452">
        <f t="shared" si="40"/>
        <v>536.88098695190445</v>
      </c>
      <c r="AH124" s="453">
        <f t="shared" si="31"/>
        <v>-2.7171091394956868</v>
      </c>
      <c r="AI124" s="104">
        <f t="shared" si="41"/>
        <v>-21.167109139495686</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35.732498350559325</v>
      </c>
      <c r="R125" s="1309">
        <f>(N$15+1-$J$15)*$O$2+25</f>
        <v>225.81632653061223</v>
      </c>
      <c r="S125" s="1309">
        <f>(N$15+L$15+1-$J$15)*$O$2+$E$17+D125*$O$3</f>
        <v>322.2081632653061</v>
      </c>
      <c r="T125" s="1309">
        <v>0</v>
      </c>
      <c r="U125" s="450">
        <f t="shared" ref="U125:U150" si="45">IF(N125&gt;0,MIN(1,N125/Q125),0)</f>
        <v>0.97390335426840557</v>
      </c>
      <c r="V125" s="450">
        <f t="shared" si="37"/>
        <v>0.33582874285117437</v>
      </c>
      <c r="W125" s="450">
        <v>0</v>
      </c>
      <c r="X125" s="451">
        <f t="shared" si="38"/>
        <v>1</v>
      </c>
      <c r="Y125" s="446">
        <f t="shared" si="39"/>
        <v>10708.563160612846</v>
      </c>
      <c r="Z125" s="446">
        <f t="shared" ref="Z125:Z150" si="46">Q125*U125*$O$6*(sndfact-1)*$K$4</f>
        <v>6179.7514810870571</v>
      </c>
      <c r="AA125" s="446">
        <f>SUMPRODUCT($F$29:$F$31,$L$16:$L$18)*MIN(Q125/O125,1)*X125</f>
        <v>1187.7952088999336</v>
      </c>
      <c r="AB125">
        <f t="shared" si="43"/>
        <v>1459.2710844590233</v>
      </c>
      <c r="AC125" s="446">
        <v>0</v>
      </c>
      <c r="AD125" s="446">
        <v>0</v>
      </c>
      <c r="AE125" s="446">
        <v>0</v>
      </c>
      <c r="AF125" s="447">
        <f t="shared" si="20"/>
        <v>19535.38093505886</v>
      </c>
      <c r="AG125" s="452">
        <f t="shared" si="40"/>
        <v>546.71186837830135</v>
      </c>
      <c r="AH125" s="453">
        <f t="shared" ref="AH125:AH150" si="47">N125-$Q125</f>
        <v>-0.93249835055932806</v>
      </c>
      <c r="AI125" s="104">
        <f t="shared" si="41"/>
        <v>-23.732498350559325</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28.307800622602613</v>
      </c>
      <c r="R126" s="1309">
        <f>(J$15+1-$J$15)*$O$2+25</f>
        <v>65.16326530612244</v>
      </c>
      <c r="S126" s="1309">
        <f>(J$15+M$15+1-$J$15)*$O$2+$E$13+D126*$O$3</f>
        <v>221.71836734693878</v>
      </c>
      <c r="T126" s="1309">
        <v>0</v>
      </c>
      <c r="U126" s="450">
        <f t="shared" si="45"/>
        <v>0.61467156109990451</v>
      </c>
      <c r="V126" s="450">
        <f t="shared" si="37"/>
        <v>0.49456332502291178</v>
      </c>
      <c r="W126" s="450">
        <v>0</v>
      </c>
      <c r="X126" s="451">
        <f t="shared" si="38"/>
        <v>1</v>
      </c>
      <c r="Y126" s="446">
        <f t="shared" si="39"/>
        <v>7840.1980283058319</v>
      </c>
      <c r="Z126" s="446">
        <f t="shared" si="46"/>
        <v>3089.8757405435285</v>
      </c>
      <c r="AA126" s="446">
        <f>SUMPRODUCT($F$30:$F$32,$M$16:$M$18)*MIN(Q126/O126,1)*X126</f>
        <v>1462.7610770499225</v>
      </c>
      <c r="AB126">
        <f t="shared" si="43"/>
        <v>1459.2710844590233</v>
      </c>
      <c r="AC126" s="446">
        <v>0</v>
      </c>
      <c r="AD126" s="446">
        <v>0</v>
      </c>
      <c r="AE126" s="446">
        <v>0</v>
      </c>
      <c r="AF126" s="447">
        <f t="shared" si="20"/>
        <v>13852.105930358308</v>
      </c>
      <c r="AG126" s="452">
        <f t="shared" si="40"/>
        <v>489.33882624911422</v>
      </c>
      <c r="AH126" s="453">
        <f t="shared" si="47"/>
        <v>-10.907800622602615</v>
      </c>
      <c r="AI126" s="104">
        <f t="shared" si="41"/>
        <v>-14.307800622602613</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30.873189833666245</v>
      </c>
      <c r="R127" s="1309">
        <f>(K$15+1-$J$15)*$O$2+25</f>
        <v>105.32653061224489</v>
      </c>
      <c r="S127" s="1309">
        <f>(K$15+M$15+1-$J$15)*$O$2+$E$14+D127*$O$3</f>
        <v>256.88163265306122</v>
      </c>
      <c r="T127" s="1309">
        <v>0</v>
      </c>
      <c r="U127" s="450">
        <f t="shared" si="45"/>
        <v>0.70449474502574094</v>
      </c>
      <c r="V127" s="450">
        <f t="shared" si="37"/>
        <v>0.45346788185564935</v>
      </c>
      <c r="W127" s="450">
        <v>0</v>
      </c>
      <c r="X127" s="451">
        <f t="shared" si="38"/>
        <v>1</v>
      </c>
      <c r="Y127" s="446">
        <f t="shared" si="39"/>
        <v>8796.3197390748355</v>
      </c>
      <c r="Z127" s="446">
        <f t="shared" si="46"/>
        <v>3862.3446756794115</v>
      </c>
      <c r="AA127" s="446">
        <f>SUMPRODUCT($F$30:$F$32,$M$16:$M$18)*MIN(Q127/O127,1)*X127</f>
        <v>1462.7610770499225</v>
      </c>
      <c r="AB127">
        <f t="shared" si="43"/>
        <v>1459.2710844590233</v>
      </c>
      <c r="AC127" s="446">
        <v>0</v>
      </c>
      <c r="AD127" s="446">
        <v>0</v>
      </c>
      <c r="AE127" s="446">
        <v>0</v>
      </c>
      <c r="AF127" s="447">
        <f t="shared" si="20"/>
        <v>15580.696576263193</v>
      </c>
      <c r="AG127" s="452">
        <f t="shared" si="40"/>
        <v>504.66753387668848</v>
      </c>
      <c r="AH127" s="453">
        <f t="shared" si="47"/>
        <v>-9.1231898336662454</v>
      </c>
      <c r="AI127" s="104">
        <f t="shared" si="41"/>
        <v>-16.873189833666245</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33.43857904472987</v>
      </c>
      <c r="R128" s="1309">
        <f>(L$15+1-$J$15)*$O$2+25</f>
        <v>145.48979591836735</v>
      </c>
      <c r="S128" s="1309">
        <f>(L$15+M$15+1-$J$15)*$O$2+$E$15+D128*$O$3</f>
        <v>292.04489795918369</v>
      </c>
      <c r="T128" s="1309">
        <v>0</v>
      </c>
      <c r="U128" s="450">
        <f t="shared" si="45"/>
        <v>0.78053555939344021</v>
      </c>
      <c r="V128" s="450">
        <f t="shared" si="37"/>
        <v>0.41867807783556182</v>
      </c>
      <c r="W128" s="450">
        <v>0</v>
      </c>
      <c r="X128" s="451">
        <f t="shared" si="38"/>
        <v>1</v>
      </c>
      <c r="Y128" s="446">
        <f t="shared" si="39"/>
        <v>9752.44144984384</v>
      </c>
      <c r="Z128" s="446">
        <f t="shared" si="46"/>
        <v>4634.813610815293</v>
      </c>
      <c r="AA128" s="446">
        <f>SUMPRODUCT($F$30:$F$32,$M$16:$M$18)*MIN(Q128/O128,1)*X128</f>
        <v>1462.7610770499225</v>
      </c>
      <c r="AB128">
        <f t="shared" si="43"/>
        <v>1459.2710844590233</v>
      </c>
      <c r="AC128" s="446">
        <v>0</v>
      </c>
      <c r="AD128" s="446">
        <v>0</v>
      </c>
      <c r="AE128" s="446">
        <v>0</v>
      </c>
      <c r="AF128" s="447">
        <f t="shared" si="20"/>
        <v>17309.287222168077</v>
      </c>
      <c r="AG128" s="452">
        <f t="shared" si="40"/>
        <v>517.64422163435586</v>
      </c>
      <c r="AH128" s="453">
        <f t="shared" si="47"/>
        <v>-7.3385790447298724</v>
      </c>
      <c r="AI128" s="104">
        <f t="shared" si="41"/>
        <v>-19.43857904472987</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36.003968255793495</v>
      </c>
      <c r="R129" s="1309">
        <f>(M$15+1-$J$15)*$O$2+25</f>
        <v>185.65306122448979</v>
      </c>
      <c r="S129" s="1309">
        <f>(M$15+M$15+1-$J$15)*$O$2+$E$16+D129*$O$3</f>
        <v>327.2081632653061</v>
      </c>
      <c r="T129" s="1309">
        <v>0</v>
      </c>
      <c r="U129" s="450">
        <f t="shared" si="45"/>
        <v>0.84574010796990995</v>
      </c>
      <c r="V129" s="450">
        <f t="shared" si="37"/>
        <v>0.38884602665283213</v>
      </c>
      <c r="W129" s="450">
        <v>0</v>
      </c>
      <c r="X129" s="451">
        <f t="shared" si="38"/>
        <v>1</v>
      </c>
      <c r="Y129" s="446">
        <f t="shared" si="39"/>
        <v>10708.563160612845</v>
      </c>
      <c r="Z129" s="446">
        <f t="shared" si="46"/>
        <v>5407.2825459511769</v>
      </c>
      <c r="AA129" s="446">
        <f>SUMPRODUCT($F$30:$F$32,$M$16:$M$18)*MIN(Q129/O129,1)*X129</f>
        <v>1462.7610770499225</v>
      </c>
      <c r="AB129">
        <f t="shared" si="43"/>
        <v>1459.2710844590233</v>
      </c>
      <c r="AC129" s="446">
        <v>0</v>
      </c>
      <c r="AD129" s="446">
        <v>0</v>
      </c>
      <c r="AE129" s="446">
        <v>0</v>
      </c>
      <c r="AF129" s="447">
        <f t="shared" si="20"/>
        <v>19037.877868072967</v>
      </c>
      <c r="AG129" s="452">
        <f t="shared" si="40"/>
        <v>528.77165463586175</v>
      </c>
      <c r="AH129" s="453">
        <f t="shared" si="47"/>
        <v>-5.553968255793496</v>
      </c>
      <c r="AI129" s="104">
        <f t="shared" si="41"/>
        <v>-22.003968255793495</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38.569357466857134</v>
      </c>
      <c r="R130" s="1309">
        <f>(N$15+1-$J$15)*$O$2+25</f>
        <v>225.81632653061223</v>
      </c>
      <c r="S130" s="1309">
        <f>(N$15+M$15+1-$J$15)*$O$2+$E$17+D130*$O$3</f>
        <v>362.37142857142857</v>
      </c>
      <c r="T130" s="1309">
        <v>0</v>
      </c>
      <c r="U130" s="450">
        <f t="shared" si="45"/>
        <v>0.9022706699198666</v>
      </c>
      <c r="V130" s="450">
        <f t="shared" si="37"/>
        <v>0.36298245341603835</v>
      </c>
      <c r="W130" s="450">
        <v>0</v>
      </c>
      <c r="X130" s="451">
        <f t="shared" si="38"/>
        <v>1</v>
      </c>
      <c r="Y130" s="446">
        <f t="shared" si="39"/>
        <v>11664.684871381849</v>
      </c>
      <c r="Z130" s="446">
        <f t="shared" si="46"/>
        <v>6179.7514810870571</v>
      </c>
      <c r="AA130" s="446">
        <f>SUMPRODUCT($F$30:$F$32,$M$16:$M$18)*MIN(Q130/O130,1)*X130</f>
        <v>1462.7610770499225</v>
      </c>
      <c r="AB130">
        <f t="shared" si="43"/>
        <v>1459.2710844590233</v>
      </c>
      <c r="AC130" s="446">
        <v>0</v>
      </c>
      <c r="AD130" s="446">
        <v>0</v>
      </c>
      <c r="AE130" s="446">
        <v>0</v>
      </c>
      <c r="AF130" s="447">
        <f t="shared" si="20"/>
        <v>20766.468513977852</v>
      </c>
      <c r="AG130" s="452">
        <f t="shared" si="40"/>
        <v>538.41883499932806</v>
      </c>
      <c r="AH130" s="453">
        <f t="shared" si="47"/>
        <v>-3.7693574668571372</v>
      </c>
      <c r="AI130" s="104">
        <f t="shared" si="41"/>
        <v>-24.569357466857134</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31.144659738900433</v>
      </c>
      <c r="R131" s="1309">
        <f>(J$15+1-$J$15)*$O$2+25</f>
        <v>65.16326530612244</v>
      </c>
      <c r="S131" s="1309">
        <f>(J$15+N$15+1-$J$15)*$O$2+$E$13+D131*$O$3</f>
        <v>261.88163265306122</v>
      </c>
      <c r="T131" s="1309">
        <v>0</v>
      </c>
      <c r="U131" s="450">
        <f t="shared" si="45"/>
        <v>0.55868325889163517</v>
      </c>
      <c r="V131" s="450">
        <f t="shared" si="37"/>
        <v>0.51373173231414737</v>
      </c>
      <c r="W131" s="450">
        <v>0</v>
      </c>
      <c r="X131" s="451">
        <f t="shared" si="38"/>
        <v>1</v>
      </c>
      <c r="Y131" s="446">
        <f t="shared" si="39"/>
        <v>8796.3197390748373</v>
      </c>
      <c r="Z131" s="446">
        <f t="shared" si="46"/>
        <v>3089.8757405435285</v>
      </c>
      <c r="AA131" s="446">
        <f>SUMPRODUCT($F$31:$F$33,$N$16:$N$18)*MIN(Q131/O131,1)*X131</f>
        <v>1759.7269451999114</v>
      </c>
      <c r="AB131">
        <f t="shared" si="43"/>
        <v>1459.2710844590233</v>
      </c>
      <c r="AC131" s="446">
        <v>0</v>
      </c>
      <c r="AD131" s="446">
        <v>0</v>
      </c>
      <c r="AE131" s="446">
        <v>0</v>
      </c>
      <c r="AF131" s="447">
        <f t="shared" si="20"/>
        <v>15105.1935092773</v>
      </c>
      <c r="AG131" s="452">
        <f t="shared" si="40"/>
        <v>485.00107677884012</v>
      </c>
      <c r="AH131" s="453">
        <f t="shared" si="47"/>
        <v>-13.744659738900435</v>
      </c>
      <c r="AI131" s="104">
        <f t="shared" si="41"/>
        <v>-15.144659738900433</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33.710048949964062</v>
      </c>
      <c r="R132" s="1309">
        <f>(K$15+1-$J$15)*$O$2+25</f>
        <v>105.32653061224489</v>
      </c>
      <c r="S132" s="1309">
        <f>(K$15+N$15+1-$J$15)*$O$2+$E$14+D132*$O$3</f>
        <v>297.04489795918369</v>
      </c>
      <c r="T132" s="1309">
        <v>0</v>
      </c>
      <c r="U132" s="450">
        <f t="shared" si="45"/>
        <v>0.64520819985410283</v>
      </c>
      <c r="V132" s="450">
        <f t="shared" si="37"/>
        <v>0.47463591713405262</v>
      </c>
      <c r="W132" s="450">
        <v>0</v>
      </c>
      <c r="X132" s="451">
        <f t="shared" si="38"/>
        <v>1</v>
      </c>
      <c r="Y132" s="446">
        <f t="shared" si="39"/>
        <v>9752.4414498438418</v>
      </c>
      <c r="Z132" s="446">
        <f t="shared" si="46"/>
        <v>3862.3446756794115</v>
      </c>
      <c r="AA132" s="446">
        <f>SUMPRODUCT($F$31:$F$33,$N$16:$N$18)*MIN(Q132/O132,1)*X132</f>
        <v>1759.7269451999114</v>
      </c>
      <c r="AB132">
        <f t="shared" si="43"/>
        <v>1459.2710844590233</v>
      </c>
      <c r="AC132" s="446">
        <v>0</v>
      </c>
      <c r="AD132" s="446">
        <v>0</v>
      </c>
      <c r="AE132" s="446">
        <v>0</v>
      </c>
      <c r="AF132" s="447">
        <f t="shared" si="20"/>
        <v>16833.784155182188</v>
      </c>
      <c r="AG132" s="452">
        <f t="shared" si="40"/>
        <v>499.3699113332238</v>
      </c>
      <c r="AH132" s="453">
        <f t="shared" si="47"/>
        <v>-11.960048949964062</v>
      </c>
      <c r="AI132" s="104">
        <f t="shared" si="41"/>
        <v>-17.710048949964062</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36.275438161027694</v>
      </c>
      <c r="R133" s="1309">
        <f>(L$15+1-$J$15)*$O$2+25</f>
        <v>145.48979591836735</v>
      </c>
      <c r="S133" s="1309">
        <f>(L$15+N$15+1-$J$15)*$O$2+$E$15+D133*$O$3</f>
        <v>332.2081632653061</v>
      </c>
      <c r="T133" s="1309">
        <v>0</v>
      </c>
      <c r="U133" s="450">
        <f t="shared" si="45"/>
        <v>0.71949509980117565</v>
      </c>
      <c r="V133" s="450">
        <f t="shared" si="37"/>
        <v>0.44106979298156368</v>
      </c>
      <c r="W133" s="450">
        <v>0</v>
      </c>
      <c r="X133" s="451">
        <f t="shared" si="38"/>
        <v>1</v>
      </c>
      <c r="Y133" s="446">
        <f t="shared" si="39"/>
        <v>10708.563160612846</v>
      </c>
      <c r="Z133" s="446">
        <f t="shared" si="46"/>
        <v>4634.813610815293</v>
      </c>
      <c r="AA133" s="446">
        <f>SUMPRODUCT($F$31:$F$33,$N$16:$N$18)*MIN(Q133/O133,1)*X133</f>
        <v>1759.7269451999114</v>
      </c>
      <c r="AB133">
        <f t="shared" si="43"/>
        <v>1459.2710844590233</v>
      </c>
      <c r="AC133" s="446">
        <v>0</v>
      </c>
      <c r="AD133" s="446">
        <v>0</v>
      </c>
      <c r="AE133" s="446">
        <v>0</v>
      </c>
      <c r="AF133" s="447">
        <f t="shared" si="20"/>
        <v>18562.374801087073</v>
      </c>
      <c r="AG133" s="452">
        <f t="shared" si="40"/>
        <v>511.70642567260438</v>
      </c>
      <c r="AH133" s="453">
        <f t="shared" si="47"/>
        <v>-10.175438161027696</v>
      </c>
      <c r="AI133" s="104">
        <f t="shared" si="41"/>
        <v>-20.275438161027694</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38.840827372091319</v>
      </c>
      <c r="R134" s="1309">
        <f>(M$15+1-$J$15)*$O$2+25</f>
        <v>185.65306122448979</v>
      </c>
      <c r="S134" s="1309">
        <f>(M$15+N$15+1-$J$15)*$O$2+$E$16+D134*$O$3</f>
        <v>367.37142857142857</v>
      </c>
      <c r="T134" s="1309">
        <v>0</v>
      </c>
      <c r="U134" s="450">
        <f t="shared" si="45"/>
        <v>0.78396888172056645</v>
      </c>
      <c r="V134" s="450">
        <f t="shared" si="37"/>
        <v>0.41193767184003494</v>
      </c>
      <c r="W134" s="450">
        <v>0</v>
      </c>
      <c r="X134" s="451">
        <f t="shared" si="38"/>
        <v>1</v>
      </c>
      <c r="Y134" s="446">
        <f t="shared" si="39"/>
        <v>11664.684871381849</v>
      </c>
      <c r="Z134" s="446">
        <f t="shared" si="46"/>
        <v>5407.2825459511769</v>
      </c>
      <c r="AA134" s="446">
        <f>SUMPRODUCT($F$31:$F$33,$N$16:$N$18)*MIN(Q134/O134,1)*X134</f>
        <v>1759.7269451999114</v>
      </c>
      <c r="AB134">
        <f t="shared" si="43"/>
        <v>1459.2710844590233</v>
      </c>
      <c r="AC134" s="446">
        <v>0</v>
      </c>
      <c r="AD134" s="446">
        <v>0</v>
      </c>
      <c r="AE134" s="446">
        <v>0</v>
      </c>
      <c r="AF134" s="447">
        <f t="shared" si="20"/>
        <v>20290.965446991962</v>
      </c>
      <c r="AG134" s="452">
        <f t="shared" si="40"/>
        <v>522.41331660127889</v>
      </c>
      <c r="AH134" s="453">
        <f t="shared" si="47"/>
        <v>-8.3908273720913193</v>
      </c>
      <c r="AI134" s="104">
        <f t="shared" si="41"/>
        <v>-22.840827372091319</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41.406216583154944</v>
      </c>
      <c r="R135" s="1309">
        <f>(N$15+1-$J$15)*$O$2+25</f>
        <v>225.81632653061223</v>
      </c>
      <c r="S135" s="1309">
        <f>(N$15+N$15+1-$J$15)*$O$2+$E$17+D135*$O$3</f>
        <v>402.53469387755104</v>
      </c>
      <c r="T135" s="1309">
        <v>0</v>
      </c>
      <c r="U135" s="450">
        <f t="shared" si="45"/>
        <v>0.84045350847528255</v>
      </c>
      <c r="V135" s="450">
        <f t="shared" si="37"/>
        <v>0.38641540619553222</v>
      </c>
      <c r="W135" s="450">
        <v>0</v>
      </c>
      <c r="X135" s="451">
        <f t="shared" si="38"/>
        <v>1</v>
      </c>
      <c r="Y135" s="446">
        <f t="shared" si="39"/>
        <v>12620.806582150854</v>
      </c>
      <c r="Z135" s="446">
        <f t="shared" si="46"/>
        <v>6179.7514810870571</v>
      </c>
      <c r="AA135" s="446">
        <f>SUMPRODUCT($F$31:$F$33,$N$16:$N$18)*MIN(Q135/O135,1)*X135</f>
        <v>1759.7269451999114</v>
      </c>
      <c r="AB135">
        <f t="shared" si="43"/>
        <v>1459.2710844590233</v>
      </c>
      <c r="AC135" s="446">
        <v>0</v>
      </c>
      <c r="AD135" s="446">
        <v>0</v>
      </c>
      <c r="AE135" s="446">
        <v>0</v>
      </c>
      <c r="AF135" s="447">
        <f t="shared" si="20"/>
        <v>22019.556092896844</v>
      </c>
      <c r="AG135" s="452">
        <f t="shared" si="40"/>
        <v>531.79348199262756</v>
      </c>
      <c r="AH135" s="453">
        <f t="shared" si="47"/>
        <v>-6.6062165831549464</v>
      </c>
      <c r="AI135" s="104">
        <f t="shared" si="41"/>
        <v>-25.406216583154944</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3164</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24.664173678686744</v>
      </c>
      <c r="R136" s="1309">
        <f>(J$15+N$15+1-$J$15)*$O$2+$E$45+25</f>
        <v>241.88163265306122</v>
      </c>
      <c r="S136" s="1309">
        <f>(L$15+J$15+N$15+1-$J$15)*$O$2+$E$45+$E$13+$O$3</f>
        <v>358.27346938775503</v>
      </c>
      <c r="T136" s="1309">
        <f>(N$15+1-$J$15)*$O$2+$O$3</f>
        <v>225.81632653061223</v>
      </c>
      <c r="U136" s="450">
        <f t="shared" si="45"/>
        <v>0.70547670587626476</v>
      </c>
      <c r="V136" s="450">
        <f t="shared" si="37"/>
        <v>0.48653565922501019</v>
      </c>
      <c r="W136" s="450">
        <f>IF(P136&gt;0,MIN(1,P136/Q136),0)</f>
        <v>1</v>
      </c>
      <c r="X136" s="451">
        <f t="shared" si="38"/>
        <v>1</v>
      </c>
      <c r="Y136" s="446">
        <f t="shared" si="39"/>
        <v>6884.0763175368302</v>
      </c>
      <c r="Z136" s="446">
        <f t="shared" si="46"/>
        <v>3089.8757405435285</v>
      </c>
      <c r="AA136" s="446">
        <f>SUMPRODUCT($F$29:$F$31,$L$16:$L$18)*MIN(Q136/O136,1)*X136</f>
        <v>1187.7952088999336</v>
      </c>
      <c r="AB136" s="446">
        <v>0</v>
      </c>
      <c r="AC136" s="446">
        <v>0</v>
      </c>
      <c r="AD136" s="446">
        <f t="shared" ref="AD136:AD150" si="49">IF(AND(forceea,physicaldps=0),4000,(physicaldps*armorpostEA-physicaldps*armorpreEA))*Q136*W136</f>
        <v>0</v>
      </c>
      <c r="AE136" s="446">
        <v>0</v>
      </c>
      <c r="AF136" s="447">
        <f t="shared" si="20"/>
        <v>11161.747266980292</v>
      </c>
      <c r="AG136" s="452">
        <f t="shared" si="40"/>
        <v>452.54900538693437</v>
      </c>
      <c r="AH136" s="453">
        <f t="shared" si="47"/>
        <v>-7.2641736786867455</v>
      </c>
      <c r="AI136" s="104">
        <f t="shared" si="41"/>
        <v>-12.664173678686744</v>
      </c>
      <c r="AJ136" s="454">
        <f>P136-$Q136</f>
        <v>5.335826321313256</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3165</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27.229562889750373</v>
      </c>
      <c r="R137" s="1309">
        <f>(K$15+N$15+1-$J$15)*$O$2+$E$45+25</f>
        <v>282.04489795918369</v>
      </c>
      <c r="S137" s="1309">
        <f>(L$15+K$15+N$15+1-$J$15)*$O$2+$E$45+$E$14+$O$3</f>
        <v>393.4367346938775</v>
      </c>
      <c r="T137" s="1309">
        <f t="shared" ref="T137:T150" si="51">(N$15+1-$J$15)*$O$2+$O$3</f>
        <v>225.81632653061223</v>
      </c>
      <c r="U137" s="450">
        <f t="shared" si="45"/>
        <v>0.79876419933964626</v>
      </c>
      <c r="V137" s="450">
        <f t="shared" si="37"/>
        <v>0.44069748929083929</v>
      </c>
      <c r="W137" s="450">
        <f t="shared" ref="W137:W150" si="52">IF(P137&gt;0,MIN(1,P137/Q137),0)</f>
        <v>1</v>
      </c>
      <c r="X137" s="451">
        <f t="shared" si="38"/>
        <v>1</v>
      </c>
      <c r="Y137" s="446">
        <f t="shared" si="39"/>
        <v>7840.1980283058338</v>
      </c>
      <c r="Z137" s="446">
        <f t="shared" si="46"/>
        <v>3862.3446756794115</v>
      </c>
      <c r="AA137" s="446">
        <f>SUMPRODUCT($F$29:$F$31,$L$16:$L$18)*MIN(Q137/O137,1)*X137</f>
        <v>1187.7952088999336</v>
      </c>
      <c r="AB137" s="446">
        <v>0</v>
      </c>
      <c r="AC137" s="446">
        <v>0</v>
      </c>
      <c r="AD137" s="446">
        <f t="shared" si="49"/>
        <v>0</v>
      </c>
      <c r="AE137" s="446">
        <v>0</v>
      </c>
      <c r="AF137" s="447">
        <f t="shared" si="20"/>
        <v>12890.337912885179</v>
      </c>
      <c r="AG137" s="452">
        <f t="shared" si="40"/>
        <v>473.394962859918</v>
      </c>
      <c r="AH137" s="453">
        <f t="shared" si="47"/>
        <v>-5.4795628897503725</v>
      </c>
      <c r="AI137" s="104">
        <f t="shared" si="41"/>
        <v>-15.229562889750373</v>
      </c>
      <c r="AJ137" s="454">
        <f t="shared" ref="AJ137:AJ150" si="53">P137-$Q137</f>
        <v>2.7704371102496275</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3166</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29.794952100813997</v>
      </c>
      <c r="R138" s="1309">
        <f>(L$15+N$15+1-$J$15)*$O$2+$E$45+25</f>
        <v>322.2081632653061</v>
      </c>
      <c r="S138" s="1309">
        <f>(L$15+L$15+N$15+1-$J$15)*$O$2+$E$45+$E$15+$O$3</f>
        <v>428.59999999999997</v>
      </c>
      <c r="T138" s="1309">
        <f t="shared" si="51"/>
        <v>225.81632653061223</v>
      </c>
      <c r="U138" s="450">
        <f t="shared" si="45"/>
        <v>0.87598731193418988</v>
      </c>
      <c r="V138" s="450">
        <f t="shared" si="37"/>
        <v>0.40275278709617929</v>
      </c>
      <c r="W138" s="450">
        <f t="shared" si="52"/>
        <v>1</v>
      </c>
      <c r="X138" s="451">
        <f t="shared" si="38"/>
        <v>1</v>
      </c>
      <c r="Y138" s="446">
        <f t="shared" si="39"/>
        <v>8796.3197390748373</v>
      </c>
      <c r="Z138" s="446">
        <f t="shared" si="46"/>
        <v>4634.813610815293</v>
      </c>
      <c r="AA138" s="446">
        <f>SUMPRODUCT($F$29:$F$31,$L$16:$L$18)*MIN(Q138/O138,1)*X138</f>
        <v>1187.7952088999336</v>
      </c>
      <c r="AB138" s="446">
        <v>0</v>
      </c>
      <c r="AC138" s="446">
        <v>0</v>
      </c>
      <c r="AD138" s="446">
        <f t="shared" si="49"/>
        <v>0</v>
      </c>
      <c r="AE138" s="446">
        <v>0</v>
      </c>
      <c r="AF138" s="447">
        <f t="shared" si="20"/>
        <v>14618.928558790063</v>
      </c>
      <c r="AG138" s="452">
        <f t="shared" si="40"/>
        <v>490.65118511771914</v>
      </c>
      <c r="AH138" s="453">
        <f t="shared" si="47"/>
        <v>-3.6949521008139996</v>
      </c>
      <c r="AI138" s="104">
        <f t="shared" si="41"/>
        <v>-17.794952100813997</v>
      </c>
      <c r="AJ138" s="454">
        <f t="shared" si="53"/>
        <v>0.20504789918600252</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3167</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32.360341311877626</v>
      </c>
      <c r="R139" s="1309">
        <f>(M$15+N$15+1-$J$15)*$O$2+$E$45+25</f>
        <v>362.37142857142857</v>
      </c>
      <c r="S139" s="1309">
        <f>(L$15+M$15+N$15+1-$J$15)*$O$2+$E$45+$E$16+$O$3</f>
        <v>463.76326530612238</v>
      </c>
      <c r="T139" s="1309">
        <f t="shared" si="51"/>
        <v>225.81632653061223</v>
      </c>
      <c r="U139" s="450">
        <f t="shared" si="45"/>
        <v>0.94096658952183398</v>
      </c>
      <c r="V139" s="450">
        <f t="shared" si="37"/>
        <v>0.37082427173274246</v>
      </c>
      <c r="W139" s="450">
        <f t="shared" si="52"/>
        <v>0.9270606793318561</v>
      </c>
      <c r="X139" s="451">
        <f t="shared" si="38"/>
        <v>1</v>
      </c>
      <c r="Y139" s="446">
        <f t="shared" si="39"/>
        <v>9752.4414498438418</v>
      </c>
      <c r="Z139" s="446">
        <f t="shared" si="46"/>
        <v>5407.2825459511769</v>
      </c>
      <c r="AA139" s="446">
        <f>SUMPRODUCT($F$29:$F$31,$L$16:$L$18)*MIN(Q139/O139,1)*X139</f>
        <v>1187.7952088999336</v>
      </c>
      <c r="AB139" s="446">
        <v>0</v>
      </c>
      <c r="AC139" s="446">
        <v>0</v>
      </c>
      <c r="AD139" s="446">
        <f t="shared" si="49"/>
        <v>0</v>
      </c>
      <c r="AE139" s="446">
        <v>0</v>
      </c>
      <c r="AF139" s="447">
        <f>SUM(Y139:AE139)</f>
        <v>16347.519204694952</v>
      </c>
      <c r="AG139" s="452">
        <f t="shared" si="40"/>
        <v>505.17140864316889</v>
      </c>
      <c r="AH139" s="453">
        <f t="shared" si="47"/>
        <v>-1.9103413118776267</v>
      </c>
      <c r="AI139" s="104">
        <f t="shared" si="41"/>
        <v>-20.360341311877626</v>
      </c>
      <c r="AJ139" s="454">
        <f t="shared" si="53"/>
        <v>-2.360341311877626</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3168</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34.925730522941258</v>
      </c>
      <c r="R140" s="1309">
        <f>(N$15+N$15+1-$J$15)*$O$2+$E$45+25</f>
        <v>402.53469387755104</v>
      </c>
      <c r="S140" s="1309">
        <f>(L$15+N$15+N$15+1-$J$15)*$O$2+$E$45+$E$17+$O$3</f>
        <v>498.9265306122449</v>
      </c>
      <c r="T140" s="1309">
        <f t="shared" si="51"/>
        <v>225.81632653061223</v>
      </c>
      <c r="U140" s="450">
        <f t="shared" si="45"/>
        <v>0.99640006032633521</v>
      </c>
      <c r="V140" s="450">
        <f t="shared" si="37"/>
        <v>0.34358622769873631</v>
      </c>
      <c r="W140" s="450">
        <f t="shared" si="52"/>
        <v>0.85896556924684075</v>
      </c>
      <c r="X140" s="451">
        <f t="shared" si="38"/>
        <v>1</v>
      </c>
      <c r="Y140" s="446">
        <f t="shared" si="39"/>
        <v>10708.563160612846</v>
      </c>
      <c r="Z140" s="446">
        <f t="shared" si="46"/>
        <v>6179.7514810870571</v>
      </c>
      <c r="AA140" s="446">
        <f>SUMPRODUCT($F$29:$F$31,$L$16:$L$18)*MIN(Q140/O140,1)*X140</f>
        <v>1187.7952088999336</v>
      </c>
      <c r="AB140" s="446">
        <v>0</v>
      </c>
      <c r="AC140" s="446">
        <v>0</v>
      </c>
      <c r="AD140" s="446">
        <f t="shared" si="49"/>
        <v>0</v>
      </c>
      <c r="AE140" s="446">
        <v>0</v>
      </c>
      <c r="AF140" s="447">
        <f t="shared" si="20"/>
        <v>18076.109850599838</v>
      </c>
      <c r="AG140" s="452">
        <f t="shared" si="40"/>
        <v>517.55853291963058</v>
      </c>
      <c r="AH140" s="453">
        <f t="shared" si="47"/>
        <v>-0.12573052294126086</v>
      </c>
      <c r="AI140" s="104">
        <f t="shared" si="41"/>
        <v>-22.925730522941258</v>
      </c>
      <c r="AJ140" s="454">
        <f t="shared" si="53"/>
        <v>-4.925730522941258</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3169</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27.501032794984557</v>
      </c>
      <c r="R141" s="1309">
        <f>(J$15+N$15+1-$J$15)*$O$2+$E$45+25</f>
        <v>241.88163265306122</v>
      </c>
      <c r="S141" s="1309">
        <f>(M$15+J$15+N$15+1-$J$15)*$O$2+$E$45+$E$13+$O$3</f>
        <v>398.4367346938775</v>
      </c>
      <c r="T141" s="1309">
        <f t="shared" si="51"/>
        <v>225.81632653061223</v>
      </c>
      <c r="U141" s="450">
        <f t="shared" si="45"/>
        <v>0.63270351079953935</v>
      </c>
      <c r="V141" s="450">
        <f t="shared" si="37"/>
        <v>0.50907179029848004</v>
      </c>
      <c r="W141" s="450">
        <f t="shared" si="52"/>
        <v>1</v>
      </c>
      <c r="X141" s="451">
        <f t="shared" si="38"/>
        <v>1</v>
      </c>
      <c r="Y141" s="446">
        <f t="shared" si="39"/>
        <v>7840.1980283058338</v>
      </c>
      <c r="Z141" s="446">
        <f t="shared" si="46"/>
        <v>3089.8757405435285</v>
      </c>
      <c r="AA141" s="446">
        <f>SUMPRODUCT($F$30:$F$32,$M$16:$M$18)*MIN(Q141/O141,1)*X141</f>
        <v>1462.7610770499225</v>
      </c>
      <c r="AB141" s="446">
        <v>0</v>
      </c>
      <c r="AC141" s="446">
        <v>0</v>
      </c>
      <c r="AD141" s="446">
        <f t="shared" si="49"/>
        <v>0</v>
      </c>
      <c r="AE141" s="446">
        <v>0</v>
      </c>
      <c r="AF141" s="447">
        <f t="shared" si="20"/>
        <v>12392.834845899286</v>
      </c>
      <c r="AG141" s="452">
        <f t="shared" si="40"/>
        <v>450.63161584823837</v>
      </c>
      <c r="AH141" s="453">
        <f t="shared" si="47"/>
        <v>-10.101032794984558</v>
      </c>
      <c r="AI141" s="104">
        <f t="shared" si="41"/>
        <v>-13.501032794984557</v>
      </c>
      <c r="AJ141" s="454">
        <f t="shared" si="53"/>
        <v>2.4989672050154432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3170</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30.066422006048185</v>
      </c>
      <c r="R142" s="1309">
        <f>(K$15+N$15+1-$J$15)*$O$2+$E$45+25</f>
        <v>282.04489795918369</v>
      </c>
      <c r="S142" s="1309">
        <f>(M$15+K$15+N$15+1-$J$15)*$O$2+$E$45+$E$14+$O$3</f>
        <v>433.59999999999997</v>
      </c>
      <c r="T142" s="1309">
        <f t="shared" si="51"/>
        <v>225.81632653061223</v>
      </c>
      <c r="U142" s="450">
        <f t="shared" si="45"/>
        <v>0.72339834768582545</v>
      </c>
      <c r="V142" s="450">
        <f t="shared" si="37"/>
        <v>0.4656357180506463</v>
      </c>
      <c r="W142" s="450">
        <f t="shared" si="52"/>
        <v>0.99779082439424205</v>
      </c>
      <c r="X142" s="451">
        <f t="shared" si="38"/>
        <v>1</v>
      </c>
      <c r="Y142" s="446">
        <f t="shared" si="39"/>
        <v>8796.3197390748373</v>
      </c>
      <c r="Z142" s="446">
        <f t="shared" si="46"/>
        <v>3862.3446756794115</v>
      </c>
      <c r="AA142" s="446">
        <f>SUMPRODUCT($F$30:$F$32,$M$16:$M$18)*MIN(Q142/O142,1)*X142</f>
        <v>1462.7610770499225</v>
      </c>
      <c r="AB142" s="446">
        <v>0</v>
      </c>
      <c r="AC142" s="446">
        <v>0</v>
      </c>
      <c r="AD142" s="446">
        <f t="shared" si="49"/>
        <v>0</v>
      </c>
      <c r="AE142" s="446">
        <v>0</v>
      </c>
      <c r="AF142" s="447">
        <f t="shared" si="20"/>
        <v>14121.425491804172</v>
      </c>
      <c r="AG142" s="452">
        <f t="shared" si="40"/>
        <v>469.67429276963833</v>
      </c>
      <c r="AH142" s="453">
        <f t="shared" si="47"/>
        <v>-8.3164220060481853</v>
      </c>
      <c r="AI142" s="104">
        <f t="shared" si="41"/>
        <v>-16.066422006048185</v>
      </c>
      <c r="AJ142" s="454">
        <f t="shared" si="53"/>
        <v>-6.6422006048185267E-2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3171</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32.63181121711181</v>
      </c>
      <c r="R143" s="1309">
        <f>(L$15+N$15+1-$J$15)*$O$2+$E$45+25</f>
        <v>322.2081632653061</v>
      </c>
      <c r="S143" s="1309">
        <f>(M$15+L$15+N$15+1-$J$15)*$O$2+$E$45+$E$15+$O$3</f>
        <v>468.76326530612238</v>
      </c>
      <c r="T143" s="1309">
        <f t="shared" si="51"/>
        <v>225.81632653061223</v>
      </c>
      <c r="U143" s="450">
        <f t="shared" si="45"/>
        <v>0.79983301651099914</v>
      </c>
      <c r="V143" s="450">
        <f t="shared" si="37"/>
        <v>0.4290292042587735</v>
      </c>
      <c r="W143" s="450">
        <f t="shared" si="52"/>
        <v>0.91934829484022895</v>
      </c>
      <c r="X143" s="451">
        <f t="shared" si="38"/>
        <v>1</v>
      </c>
      <c r="Y143" s="446">
        <f t="shared" si="39"/>
        <v>9752.4414498438418</v>
      </c>
      <c r="Z143" s="446">
        <f t="shared" si="46"/>
        <v>4634.813610815293</v>
      </c>
      <c r="AA143" s="446">
        <f>SUMPRODUCT($F$30:$F$32,$M$16:$M$18)*MIN(Q143/O143,1)*X143</f>
        <v>1462.7610770499225</v>
      </c>
      <c r="AB143" s="446">
        <v>0</v>
      </c>
      <c r="AC143" s="446">
        <v>0</v>
      </c>
      <c r="AD143" s="446">
        <f t="shared" si="49"/>
        <v>0</v>
      </c>
      <c r="AE143" s="446">
        <v>0</v>
      </c>
      <c r="AF143" s="447">
        <f t="shared" si="20"/>
        <v>15850.016137709059</v>
      </c>
      <c r="AG143" s="452">
        <f t="shared" si="40"/>
        <v>485.72284364643116</v>
      </c>
      <c r="AH143" s="453">
        <f t="shared" si="47"/>
        <v>-6.5318112171118123</v>
      </c>
      <c r="AI143" s="104">
        <f t="shared" si="41"/>
        <v>-18.63181121711181</v>
      </c>
      <c r="AJ143" s="454">
        <f t="shared" si="53"/>
        <v>-2.6318112171118102</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3172</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35.197200428175442</v>
      </c>
      <c r="R144" s="1309">
        <f>(M$15+N$15+1-$J$15)*$O$2+$E$45+25</f>
        <v>362.37142857142857</v>
      </c>
      <c r="S144" s="1309">
        <f>(M$15+M$15+N$15+1-$J$15)*$O$2+$E$45+$E$16+$O$3</f>
        <v>503.92653061224485</v>
      </c>
      <c r="T144" s="1309">
        <f t="shared" si="51"/>
        <v>225.81632653061223</v>
      </c>
      <c r="U144" s="450">
        <f t="shared" si="45"/>
        <v>0.86512562446940244</v>
      </c>
      <c r="V144" s="450">
        <f t="shared" si="37"/>
        <v>0.39775890780202411</v>
      </c>
      <c r="W144" s="450">
        <f t="shared" si="52"/>
        <v>0.8523405167186231</v>
      </c>
      <c r="X144" s="451">
        <f t="shared" si="38"/>
        <v>1</v>
      </c>
      <c r="Y144" s="446">
        <f t="shared" si="39"/>
        <v>10708.563160612846</v>
      </c>
      <c r="Z144" s="446">
        <f t="shared" si="46"/>
        <v>5407.2825459511769</v>
      </c>
      <c r="AA144" s="446">
        <f>SUMPRODUCT($F$30:$F$32,$M$16:$M$18)*MIN(Q144/O144,1)*X144</f>
        <v>1462.7610770499225</v>
      </c>
      <c r="AB144" s="446">
        <v>0</v>
      </c>
      <c r="AC144" s="446">
        <v>0</v>
      </c>
      <c r="AD144" s="446">
        <f t="shared" si="49"/>
        <v>0</v>
      </c>
      <c r="AE144" s="446">
        <v>0</v>
      </c>
      <c r="AF144" s="447">
        <f t="shared" si="20"/>
        <v>17578.606783613945</v>
      </c>
      <c r="AG144" s="452">
        <f t="shared" si="40"/>
        <v>499.43195963796677</v>
      </c>
      <c r="AH144" s="453">
        <f t="shared" si="47"/>
        <v>-4.747200428175443</v>
      </c>
      <c r="AI144" s="104">
        <f t="shared" si="41"/>
        <v>-21.197200428175442</v>
      </c>
      <c r="AJ144" s="454">
        <f t="shared" si="53"/>
        <v>-5.1972004281754423</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3173</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37.76258963923906</v>
      </c>
      <c r="R145" s="1309">
        <f>(N$15+N$15+1-$J$15)*$O$2+$E$45+25</f>
        <v>402.53469387755104</v>
      </c>
      <c r="S145" s="1309">
        <f>(M$15+N$15+N$15+1-$J$15)*$O$2+$E$45+$E$17+$O$3</f>
        <v>539.08979591836737</v>
      </c>
      <c r="T145" s="1309">
        <f t="shared" si="51"/>
        <v>225.81632653061223</v>
      </c>
      <c r="U145" s="450">
        <f t="shared" si="45"/>
        <v>0.92154696837420702</v>
      </c>
      <c r="V145" s="450">
        <f t="shared" si="37"/>
        <v>0.37073728612755458</v>
      </c>
      <c r="W145" s="450">
        <f t="shared" si="52"/>
        <v>0.79443704170190266</v>
      </c>
      <c r="X145" s="451">
        <f t="shared" si="38"/>
        <v>1</v>
      </c>
      <c r="Y145" s="446">
        <f t="shared" si="39"/>
        <v>11664.684871381849</v>
      </c>
      <c r="Z145" s="446">
        <f t="shared" si="46"/>
        <v>6179.7514810870571</v>
      </c>
      <c r="AA145" s="446">
        <f>SUMPRODUCT($F$30:$F$32,$M$16:$M$18)*MIN(Q145/O145,1)*X145</f>
        <v>1462.7610770499225</v>
      </c>
      <c r="AB145" s="446">
        <v>0</v>
      </c>
      <c r="AC145" s="446">
        <v>0</v>
      </c>
      <c r="AD145" s="446">
        <f t="shared" si="49"/>
        <v>0</v>
      </c>
      <c r="AE145" s="446">
        <v>0</v>
      </c>
      <c r="AF145" s="447">
        <f t="shared" si="20"/>
        <v>19307.19742951883</v>
      </c>
      <c r="AG145" s="452">
        <f t="shared" si="40"/>
        <v>511.27842698205063</v>
      </c>
      <c r="AH145" s="453">
        <f t="shared" si="47"/>
        <v>-2.9625896392390629</v>
      </c>
      <c r="AI145" s="104">
        <f t="shared" si="41"/>
        <v>-23.76258963923906</v>
      </c>
      <c r="AJ145" s="454">
        <f t="shared" si="53"/>
        <v>-7.7625896392390601</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3174</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30.33789191128237</v>
      </c>
      <c r="R146" s="1309">
        <f>(J$15+N$15+1-$J$15)*$O$2+$E$45+25</f>
        <v>241.88163265306122</v>
      </c>
      <c r="S146" s="1309">
        <f>(N$15+J$15+N$15+1-$J$15)*$O$2+$E$45+$E$13+$O$3</f>
        <v>438.6</v>
      </c>
      <c r="T146" s="1309">
        <f t="shared" si="51"/>
        <v>225.81632653061223</v>
      </c>
      <c r="U146" s="450">
        <f t="shared" si="45"/>
        <v>0.57354018040815502</v>
      </c>
      <c r="V146" s="450">
        <f t="shared" si="37"/>
        <v>0.5273932693408323</v>
      </c>
      <c r="W146" s="450">
        <f t="shared" si="52"/>
        <v>0.98886238001406057</v>
      </c>
      <c r="X146" s="451">
        <f t="shared" si="38"/>
        <v>1</v>
      </c>
      <c r="Y146" s="446">
        <f t="shared" si="39"/>
        <v>8796.3197390748373</v>
      </c>
      <c r="Z146" s="446">
        <f t="shared" si="46"/>
        <v>3089.8757405435285</v>
      </c>
      <c r="AA146" s="446">
        <f>SUMPRODUCT($F$31:$F$33,$N$16:$N$18)*MIN(Q146/O146,1)*X146</f>
        <v>1759.7269451999114</v>
      </c>
      <c r="AB146" s="446">
        <v>0</v>
      </c>
      <c r="AC146" s="446">
        <v>0</v>
      </c>
      <c r="AD146" s="446">
        <f t="shared" si="49"/>
        <v>0</v>
      </c>
      <c r="AE146" s="446">
        <v>0</v>
      </c>
      <c r="AF146" s="447">
        <f t="shared" si="20"/>
        <v>13645.922424818276</v>
      </c>
      <c r="AG146" s="452">
        <f t="shared" si="40"/>
        <v>449.79797754976801</v>
      </c>
      <c r="AH146" s="453">
        <f t="shared" si="47"/>
        <v>-12.937891911282371</v>
      </c>
      <c r="AI146" s="104">
        <f t="shared" si="41"/>
        <v>-14.33789191128237</v>
      </c>
      <c r="AJ146" s="454">
        <f t="shared" si="53"/>
        <v>-0.33789191128236951</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3175</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32.903281122345994</v>
      </c>
      <c r="R147" s="1309">
        <f>(K$15+N$15+1-$J$15)*$O$2+$E$45+25</f>
        <v>282.04489795918369</v>
      </c>
      <c r="S147" s="1309">
        <f>(N$15+K$15+N$15+1-$J$15)*$O$2+$E$45+$E$14+$O$3</f>
        <v>473.76326530612243</v>
      </c>
      <c r="T147" s="1309">
        <f t="shared" si="51"/>
        <v>225.81632653061223</v>
      </c>
      <c r="U147" s="450">
        <f t="shared" si="45"/>
        <v>0.66102830046419492</v>
      </c>
      <c r="V147" s="450">
        <f t="shared" si="37"/>
        <v>0.48627369229549972</v>
      </c>
      <c r="W147" s="450">
        <f t="shared" si="52"/>
        <v>0.91176317305406196</v>
      </c>
      <c r="X147" s="451">
        <f t="shared" si="38"/>
        <v>1</v>
      </c>
      <c r="Y147" s="446">
        <f t="shared" si="39"/>
        <v>9752.4414498438418</v>
      </c>
      <c r="Z147" s="446">
        <f t="shared" si="46"/>
        <v>3862.3446756794115</v>
      </c>
      <c r="AA147" s="446">
        <f>SUMPRODUCT($F$31:$F$33,$N$16:$N$18)*MIN(Q147/O147,1)*X147</f>
        <v>1759.7269451999114</v>
      </c>
      <c r="AB147" s="446">
        <v>0</v>
      </c>
      <c r="AC147" s="446">
        <v>0</v>
      </c>
      <c r="AD147" s="446">
        <f t="shared" si="49"/>
        <v>0</v>
      </c>
      <c r="AE147" s="446">
        <v>0</v>
      </c>
      <c r="AF147" s="447">
        <f t="shared" si="20"/>
        <v>15374.513070723164</v>
      </c>
      <c r="AG147" s="452">
        <f t="shared" si="40"/>
        <v>467.26382738412337</v>
      </c>
      <c r="AH147" s="453">
        <f t="shared" si="47"/>
        <v>-11.153281122345994</v>
      </c>
      <c r="AI147" s="104">
        <f t="shared" si="41"/>
        <v>-16.903281122345994</v>
      </c>
      <c r="AJ147" s="454">
        <f t="shared" si="53"/>
        <v>-2.9032811223459944</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3176</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35.468670333409626</v>
      </c>
      <c r="R148" s="1309">
        <f>(L$15+N$15+1-$J$15)*$O$2+$E$45+25</f>
        <v>322.2081632653061</v>
      </c>
      <c r="S148" s="1309">
        <f>(N$15+L$15+N$15+1-$J$15)*$O$2+$E$45+$E$15+$O$3</f>
        <v>508.9265306122449</v>
      </c>
      <c r="T148" s="1309">
        <f t="shared" si="51"/>
        <v>225.81632653061223</v>
      </c>
      <c r="U148" s="450">
        <f t="shared" si="45"/>
        <v>0.73586068365847834</v>
      </c>
      <c r="V148" s="450">
        <f t="shared" si="37"/>
        <v>0.45110233480979522</v>
      </c>
      <c r="W148" s="450">
        <f t="shared" si="52"/>
        <v>0.845816877768366</v>
      </c>
      <c r="X148" s="451">
        <f t="shared" si="38"/>
        <v>1</v>
      </c>
      <c r="Y148" s="446">
        <f t="shared" si="39"/>
        <v>10708.563160612846</v>
      </c>
      <c r="Z148" s="446">
        <f t="shared" si="46"/>
        <v>4634.813610815293</v>
      </c>
      <c r="AA148" s="446">
        <f>SUMPRODUCT($F$31:$F$33,$N$16:$N$18)*MIN(Q148/O148,1)*X148</f>
        <v>1759.7269451999114</v>
      </c>
      <c r="AB148" s="446">
        <v>0</v>
      </c>
      <c r="AC148" s="446">
        <v>0</v>
      </c>
      <c r="AD148" s="446">
        <f t="shared" si="49"/>
        <v>0</v>
      </c>
      <c r="AE148" s="446">
        <v>0</v>
      </c>
      <c r="AF148" s="447">
        <f t="shared" si="20"/>
        <v>17103.103716628051</v>
      </c>
      <c r="AG148" s="452">
        <f t="shared" si="40"/>
        <v>482.20312619156249</v>
      </c>
      <c r="AH148" s="453">
        <f t="shared" si="47"/>
        <v>-9.3686703334096286</v>
      </c>
      <c r="AI148" s="104">
        <f t="shared" si="41"/>
        <v>-19.468670333409626</v>
      </c>
      <c r="AJ148" s="454">
        <f t="shared" si="53"/>
        <v>-5.4686703334096265</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3177</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38.034059544473251</v>
      </c>
      <c r="R149" s="1309">
        <f>(M$15+N$15+1-$J$15)*$O$2+$E$45+25</f>
        <v>362.37142857142857</v>
      </c>
      <c r="S149" s="1309">
        <f>(N$15+M$15+N$15+1-$J$15)*$O$2+$E$45+$E$16+$O$3</f>
        <v>544.08979591836737</v>
      </c>
      <c r="T149" s="1309">
        <f t="shared" si="51"/>
        <v>225.81632653061223</v>
      </c>
      <c r="U149" s="450">
        <f t="shared" si="45"/>
        <v>0.80059821025401701</v>
      </c>
      <c r="V149" s="450">
        <f t="shared" si="37"/>
        <v>0.42067557845859682</v>
      </c>
      <c r="W149" s="450">
        <f t="shared" si="52"/>
        <v>0.78876670960986905</v>
      </c>
      <c r="X149" s="451">
        <f t="shared" si="38"/>
        <v>1</v>
      </c>
      <c r="Y149" s="446">
        <f t="shared" si="39"/>
        <v>11664.684871381849</v>
      </c>
      <c r="Z149" s="446">
        <f t="shared" si="46"/>
        <v>5407.2825459511769</v>
      </c>
      <c r="AA149" s="446">
        <f>SUMPRODUCT($F$31:$F$33,$N$16:$N$18)*MIN(Q149/O149,1)*X149</f>
        <v>1759.7269451999114</v>
      </c>
      <c r="AB149" s="446">
        <v>0</v>
      </c>
      <c r="AC149" s="446">
        <v>0</v>
      </c>
      <c r="AD149" s="446">
        <f t="shared" si="49"/>
        <v>0</v>
      </c>
      <c r="AE149" s="446">
        <v>0</v>
      </c>
      <c r="AF149" s="447">
        <f t="shared" ref="AF149:AF150" si="57">SUM(Y149:AE149)</f>
        <v>18831.69436253294</v>
      </c>
      <c r="AG149" s="452">
        <f t="shared" si="40"/>
        <v>495.12711995712755</v>
      </c>
      <c r="AH149" s="453">
        <f t="shared" si="47"/>
        <v>-7.5840595444732521</v>
      </c>
      <c r="AI149" s="104">
        <f t="shared" si="41"/>
        <v>-22.034059544473251</v>
      </c>
      <c r="AJ149" s="454">
        <f t="shared" si="53"/>
        <v>-8.0340595444732514</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3178</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40.599448755536876</v>
      </c>
      <c r="R150" s="1309">
        <f>(N$15+N$15+1-$J$15)*$O$2+$E$45+25</f>
        <v>402.53469387755104</v>
      </c>
      <c r="S150" s="1309">
        <f>(N$15+N$15+N$15+1-$J$15)*$O$2+$E$45+$E$17+$O$3</f>
        <v>579.25306122448978</v>
      </c>
      <c r="T150" s="1309">
        <f t="shared" si="51"/>
        <v>225.81632653061223</v>
      </c>
      <c r="U150" s="450">
        <f t="shared" si="45"/>
        <v>0.85715449511501163</v>
      </c>
      <c r="V150" s="450">
        <f t="shared" si="37"/>
        <v>0.39409402074253408</v>
      </c>
      <c r="W150" s="450">
        <f t="shared" si="52"/>
        <v>0.73892628889225143</v>
      </c>
      <c r="X150" s="451">
        <f t="shared" si="38"/>
        <v>1</v>
      </c>
      <c r="Y150" s="446">
        <f t="shared" si="39"/>
        <v>12620.806582150854</v>
      </c>
      <c r="Z150" s="446">
        <f t="shared" si="46"/>
        <v>6179.7514810870571</v>
      </c>
      <c r="AA150" s="446">
        <f>SUMPRODUCT($F$31:$F$33,$N$16:$N$18)*MIN(Q150/O150,1)*X150</f>
        <v>1759.7269451999114</v>
      </c>
      <c r="AB150" s="446">
        <v>0</v>
      </c>
      <c r="AC150" s="446">
        <v>0</v>
      </c>
      <c r="AD150" s="446">
        <f t="shared" si="49"/>
        <v>0</v>
      </c>
      <c r="AE150" s="446">
        <v>0</v>
      </c>
      <c r="AF150" s="447">
        <f t="shared" si="57"/>
        <v>20560.285008437822</v>
      </c>
      <c r="AG150" s="452">
        <f t="shared" si="40"/>
        <v>506.41783666173177</v>
      </c>
      <c r="AH150" s="453">
        <f t="shared" si="47"/>
        <v>-5.7994487555368792</v>
      </c>
      <c r="AI150" s="104">
        <f t="shared" si="41"/>
        <v>-24.599448755536876</v>
      </c>
      <c r="AJ150" s="454">
        <f t="shared" si="53"/>
        <v>-10.599448755536876</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1771</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1772</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1773</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1774</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1775</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1776</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1777</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1778</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1779</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1780</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1781</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1782</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1783</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1784</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1785</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1786</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1787</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1788</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1789</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1790</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1791</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1792</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1793</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1794</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1795</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1796</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1797</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1798</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1799</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1800</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1801</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1802</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1803</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1804</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1805</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1806</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1807</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1808</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1809</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1810</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1811</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1812</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1813</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1814</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1815</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1816</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1817</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1818</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1819</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1820</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1821</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1822</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1823</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1824</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1825</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1826</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1827</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1828</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1829</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1830</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1831</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1832</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2184</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2185</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2186</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2187</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2188</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2189</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2190</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2191</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2192</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2193</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2194</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2195</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2196</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2197</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2198</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2199</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2200</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2201</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1834</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1835</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1836</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1837</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2.7387180339156001</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382.44868430760147</v>
      </c>
      <c r="Z234" s="446">
        <f>Q234*U234*$O$6*(sndfact-1)*$K$4</f>
        <v>486.338989263499</v>
      </c>
      <c r="AA234" s="446">
        <v>0</v>
      </c>
      <c r="AB234" s="446">
        <v>0</v>
      </c>
      <c r="AC234" s="446">
        <v>0</v>
      </c>
      <c r="AD234" s="446">
        <v>0</v>
      </c>
      <c r="AE234" s="446">
        <v>0</v>
      </c>
      <c r="AF234" s="447">
        <f t="shared" ref="AF234:AF243" si="64">SUM(Y234:AE234)</f>
        <v>868.78767357110041</v>
      </c>
      <c r="AG234" s="452">
        <f t="shared" ref="AG234:AG265" si="65">IF(AND(forceea,W234=0),0,IF(time=0, AF234/Q234, IF(time&lt;Q234, 0, AF234/Q234))*AQ234)</f>
        <v>317.22421323124576</v>
      </c>
      <c r="AH234" s="453">
        <f>N234-$Q234</f>
        <v>14.661281966084399</v>
      </c>
      <c r="AI234" s="104">
        <v>0</v>
      </c>
      <c r="AJ234" s="454">
        <v>0</v>
      </c>
      <c r="AK234" s="455" t="str">
        <f>IF(instatk="Mut","1-3s",IF(Sealfate&gt;0,"1-2s","1s"))</f>
        <v>1s</v>
      </c>
      <c r="AL234" t="str">
        <f>IF(AND(OR(allowrupt,NOT(D234)),OR(AND(poison,allowenv),NOT(F234)),$X$2-AG234&lt;50),MAX($AL$55:$AL233)+1,"")</f>
        <v/>
      </c>
      <c r="AQ234" t="b">
        <v>1</v>
      </c>
    </row>
    <row r="235" spans="2:43" ht="12.75" customHeight="1">
      <c r="B235" t="s">
        <v>1838</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5.4089371219851907</v>
      </c>
      <c r="R235" s="1309">
        <f>(K$15+1-$J$15)*$O$2+25</f>
        <v>105.32653061224489</v>
      </c>
      <c r="S235" s="1309">
        <v>0</v>
      </c>
      <c r="T235" s="1309">
        <v>0</v>
      </c>
      <c r="U235" s="450">
        <f>IF(N235&gt;0,MIN(1,N235/Q235),0)</f>
        <v>1</v>
      </c>
      <c r="V235" s="450">
        <v>0</v>
      </c>
      <c r="W235" s="450">
        <v>0</v>
      </c>
      <c r="X235" s="451">
        <f t="shared" si="62"/>
        <v>1</v>
      </c>
      <c r="Y235" s="446">
        <f t="shared" si="63"/>
        <v>1338.5703950766056</v>
      </c>
      <c r="Z235" s="446">
        <f>Q235*U235*$O$6*(sndfact-1)*$K$4</f>
        <v>960.51399973260789</v>
      </c>
      <c r="AA235" s="446">
        <v>0</v>
      </c>
      <c r="AB235" s="446">
        <v>0</v>
      </c>
      <c r="AC235" s="446">
        <v>0</v>
      </c>
      <c r="AD235" s="446">
        <v>0</v>
      </c>
      <c r="AE235" s="446">
        <v>0</v>
      </c>
      <c r="AF235" s="447">
        <f t="shared" si="64"/>
        <v>2299.0843948092133</v>
      </c>
      <c r="AG235" s="452">
        <f t="shared" si="65"/>
        <v>425.05289726226329</v>
      </c>
      <c r="AH235" s="453">
        <f>N235-$Q235</f>
        <v>16.34106287801481</v>
      </c>
      <c r="AI235" s="104">
        <v>0</v>
      </c>
      <c r="AJ235" s="454">
        <v>0</v>
      </c>
      <c r="AK235" s="455" t="str">
        <f>IF(instatk="Mut","2-4s",IF(Sealfate&gt;0,"2-3s","2s"))</f>
        <v>2s</v>
      </c>
      <c r="AL235" t="str">
        <f>IF(AND(OR(allowrupt,NOT(D235)),OR(AND(poison,allowenv),NOT(F235)),$X$2-AG235&lt;50),MAX($AL$55:$AL234)+1,"")</f>
        <v/>
      </c>
      <c r="AQ235" t="b">
        <v>1</v>
      </c>
    </row>
    <row r="236" spans="2:43" ht="12.75" customHeight="1">
      <c r="B236" t="s">
        <v>1839</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8.07915621005478</v>
      </c>
      <c r="R236" s="1309">
        <f>(L$15+1-$J$15)*$O$2+25</f>
        <v>145.48979591836735</v>
      </c>
      <c r="S236" s="1309">
        <v>0</v>
      </c>
      <c r="T236" s="1309">
        <v>0</v>
      </c>
      <c r="U236" s="450">
        <f>IF(N236&gt;0,MIN(1,N236/Q236),0)</f>
        <v>1</v>
      </c>
      <c r="V236" s="450">
        <v>0</v>
      </c>
      <c r="W236" s="450">
        <v>0</v>
      </c>
      <c r="X236" s="451">
        <f t="shared" si="62"/>
        <v>1</v>
      </c>
      <c r="Y236" s="446">
        <f t="shared" si="63"/>
        <v>2294.6921058456096</v>
      </c>
      <c r="Z236" s="446">
        <f>Q236*U236*$O$6*(sndfact-1)*$K$4</f>
        <v>1434.6890102017164</v>
      </c>
      <c r="AA236" s="446">
        <v>0</v>
      </c>
      <c r="AB236" s="446">
        <v>0</v>
      </c>
      <c r="AC236" s="446">
        <v>0</v>
      </c>
      <c r="AD236" s="446">
        <v>0</v>
      </c>
      <c r="AE236" s="446">
        <v>0</v>
      </c>
      <c r="AF236" s="447">
        <f t="shared" si="64"/>
        <v>3729.381116047326</v>
      </c>
      <c r="AG236" s="452">
        <f t="shared" si="65"/>
        <v>461.60527400200363</v>
      </c>
      <c r="AH236" s="453">
        <f>N236-$Q236</f>
        <v>18.020843789945218</v>
      </c>
      <c r="AI236" s="104">
        <v>0</v>
      </c>
      <c r="AJ236" s="454">
        <v>0</v>
      </c>
      <c r="AK236" s="455" t="str">
        <f>IF(instatk="Mut","3-5s",IF(Sealfate&gt;0,"3-4s","3s"))</f>
        <v>3s</v>
      </c>
      <c r="AL236" t="str">
        <f>IF(AND(OR(allowrupt,NOT(D236)),OR(AND(poison,allowenv),NOT(F236)),$X$2-AG236&lt;50),MAX($AL$55:$AL235)+1,"")</f>
        <v/>
      </c>
      <c r="AQ236" t="b">
        <v>1</v>
      </c>
    </row>
    <row r="237" spans="2:43" ht="12.75" customHeight="1">
      <c r="B237" t="s">
        <v>508</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10.74937529812437</v>
      </c>
      <c r="R237" s="1309">
        <f>(M$15+1-$J$15)*$O$2+25</f>
        <v>185.65306122448979</v>
      </c>
      <c r="S237" s="1309">
        <v>0</v>
      </c>
      <c r="T237" s="1309">
        <v>0</v>
      </c>
      <c r="U237" s="450">
        <f>IF(N237&gt;0,MIN(1,N237/Q237),0)</f>
        <v>1</v>
      </c>
      <c r="V237" s="450">
        <v>0</v>
      </c>
      <c r="W237" s="450">
        <v>0</v>
      </c>
      <c r="X237" s="451">
        <f t="shared" si="62"/>
        <v>1</v>
      </c>
      <c r="Y237" s="446">
        <f t="shared" si="63"/>
        <v>3250.8138166146132</v>
      </c>
      <c r="Z237" s="446">
        <f>Q237*U237*$O$6*(sndfact-1)*$K$4</f>
        <v>1908.8640206708253</v>
      </c>
      <c r="AA237" s="446">
        <v>0</v>
      </c>
      <c r="AB237" s="446">
        <v>0</v>
      </c>
      <c r="AC237" s="446">
        <v>0</v>
      </c>
      <c r="AD237" s="446">
        <v>0</v>
      </c>
      <c r="AE237" s="446">
        <v>0</v>
      </c>
      <c r="AF237" s="447">
        <f t="shared" si="64"/>
        <v>5159.6778372854387</v>
      </c>
      <c r="AG237" s="452">
        <f t="shared" si="65"/>
        <v>479.99792491994742</v>
      </c>
      <c r="AH237" s="453">
        <f>N237-$Q237</f>
        <v>19.700624701875629</v>
      </c>
      <c r="AI237" s="104">
        <v>0</v>
      </c>
      <c r="AJ237" s="454">
        <v>0</v>
      </c>
      <c r="AK237" s="455" t="str">
        <f>IF(instatk="Mut","4-5s",IF(Sealfate&gt;0,"4-5s","4s"))</f>
        <v>4s</v>
      </c>
      <c r="AL237" t="str">
        <f>IF(AND(OR(allowrupt,NOT(D237)),OR(AND(poison,allowenv),NOT(F237)),$X$2-AG237&lt;50),MAX($AL$55:$AL236)+1,"")</f>
        <v/>
      </c>
      <c r="AQ237" t="b">
        <v>1</v>
      </c>
    </row>
    <row r="238" spans="2:43" ht="12.75" customHeight="1">
      <c r="B238" t="s">
        <v>1903</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13.419594386193962</v>
      </c>
      <c r="R238" s="1309">
        <f>(N$15+1-$J$15)*$O$2+25</f>
        <v>225.81632653061223</v>
      </c>
      <c r="S238" s="1309">
        <v>0</v>
      </c>
      <c r="T238" s="1309">
        <v>0</v>
      </c>
      <c r="U238" s="450">
        <f>IF(N238&gt;0,MIN(1,N238/Q238),0)</f>
        <v>1</v>
      </c>
      <c r="V238" s="450">
        <v>0</v>
      </c>
      <c r="W238" s="450">
        <v>0</v>
      </c>
      <c r="X238" s="451">
        <f t="shared" si="62"/>
        <v>1</v>
      </c>
      <c r="Y238" s="446">
        <f t="shared" si="63"/>
        <v>4206.9355273836181</v>
      </c>
      <c r="Z238" s="446">
        <f>Q238*U238*$O$6*(sndfact-1)*$K$4</f>
        <v>2383.0390311399347</v>
      </c>
      <c r="AA238" s="446">
        <v>0</v>
      </c>
      <c r="AB238" s="446">
        <v>0</v>
      </c>
      <c r="AC238" s="446">
        <v>0</v>
      </c>
      <c r="AD238" s="446">
        <v>0</v>
      </c>
      <c r="AE238" s="446">
        <v>0</v>
      </c>
      <c r="AF238" s="447">
        <f t="shared" si="64"/>
        <v>6589.9745585235523</v>
      </c>
      <c r="AG238" s="452">
        <f t="shared" si="65"/>
        <v>491.07106883225163</v>
      </c>
      <c r="AH238" s="453">
        <f>N238-$Q238</f>
        <v>21.380405613806033</v>
      </c>
      <c r="AI238" s="104">
        <v>0</v>
      </c>
      <c r="AJ238" s="454">
        <v>0</v>
      </c>
      <c r="AK238" s="455" t="str">
        <f>IF(instatk="Mut","5-5s",IF(Sealfate&gt;0,"5-5s","5s"))</f>
        <v>5s</v>
      </c>
      <c r="AL238" t="str">
        <f>IF(AND(OR(allowrupt,NOT(D238)),OR(AND(poison,allowenv),NOT(F238)),$X$2-AG238&lt;50),MAX($AL$55:$AL237)+1,"")</f>
        <v/>
      </c>
      <c r="AQ238" t="b">
        <v>1</v>
      </c>
    </row>
    <row r="239" spans="2:43">
      <c r="B239" t="s">
        <v>1840</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3.7164006948969361</v>
      </c>
      <c r="R239" s="1309">
        <v>0</v>
      </c>
      <c r="S239" s="1309">
        <v>0</v>
      </c>
      <c r="T239" s="1309">
        <v>0</v>
      </c>
      <c r="U239" s="450">
        <v>0</v>
      </c>
      <c r="V239" s="450">
        <v>0</v>
      </c>
      <c r="W239" s="450">
        <v>0</v>
      </c>
      <c r="X239" s="451">
        <f t="shared" si="62"/>
        <v>1</v>
      </c>
      <c r="Y239" s="446">
        <f t="shared" si="63"/>
        <v>382.44868430760147</v>
      </c>
      <c r="Z239" s="159">
        <v>0</v>
      </c>
      <c r="AA239" s="446">
        <v>0</v>
      </c>
      <c r="AB239">
        <f>SUMPRODUCT($F$20:$F$22,$J$16:$J$18)*X239</f>
        <v>384.02905544238831</v>
      </c>
      <c r="AC239" s="446">
        <v>0</v>
      </c>
      <c r="AD239" s="446">
        <v>0</v>
      </c>
      <c r="AE239" s="446">
        <v>0</v>
      </c>
      <c r="AF239" s="447">
        <f t="shared" si="64"/>
        <v>766.47773974998972</v>
      </c>
      <c r="AG239" s="452">
        <f t="shared" si="65"/>
        <v>206.24195361992466</v>
      </c>
      <c r="AH239" s="453">
        <v>0</v>
      </c>
      <c r="AI239" s="104">
        <v>0</v>
      </c>
      <c r="AJ239" s="454">
        <v>0</v>
      </c>
      <c r="AK239" s="455" t="str">
        <f>IF(instatk="Mut","1-3e",IF(Sealfate&gt;0,"1-2e","1e"))</f>
        <v>1e</v>
      </c>
      <c r="AL239" t="str">
        <f>IF(AND(OR(allowrupt,NOT(D239)),OR(AND(poison,allowenv),NOT(F239)),$X$2-AG239&lt;50),MAX($AL$55:$AL238)+1,"")</f>
        <v/>
      </c>
      <c r="AQ239" t="b">
        <v>1</v>
      </c>
    </row>
    <row r="240" spans="2:43">
      <c r="B240" t="s">
        <v>1841</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6.5532598111947493</v>
      </c>
      <c r="R240" s="1309">
        <v>0</v>
      </c>
      <c r="S240" s="1309">
        <v>0</v>
      </c>
      <c r="T240" s="1309">
        <v>0</v>
      </c>
      <c r="U240" s="450">
        <v>0</v>
      </c>
      <c r="V240" s="450">
        <v>0</v>
      </c>
      <c r="W240" s="450">
        <v>0</v>
      </c>
      <c r="X240" s="451">
        <f t="shared" si="62"/>
        <v>1</v>
      </c>
      <c r="Y240" s="446">
        <f t="shared" si="63"/>
        <v>1338.5703950766056</v>
      </c>
      <c r="Z240" s="159">
        <v>0</v>
      </c>
      <c r="AA240" s="446">
        <v>0</v>
      </c>
      <c r="AB240">
        <f>SUMPRODUCT($F$21:$F$23,$K$16:$K$18)*X240</f>
        <v>652.8395626965472</v>
      </c>
      <c r="AC240" s="446">
        <v>0</v>
      </c>
      <c r="AD240" s="446">
        <v>0</v>
      </c>
      <c r="AE240" s="446">
        <v>0</v>
      </c>
      <c r="AF240" s="447">
        <f t="shared" si="64"/>
        <v>1991.4099577731527</v>
      </c>
      <c r="AG240" s="452">
        <f t="shared" si="65"/>
        <v>303.88081888212076</v>
      </c>
      <c r="AH240" s="453">
        <v>0</v>
      </c>
      <c r="AI240" s="104">
        <v>0</v>
      </c>
      <c r="AJ240" s="454">
        <v>0</v>
      </c>
      <c r="AK240" s="455" t="str">
        <f>IF(instatk="Mut","2-4e",IF(Sealfate&gt;0,"2-3e","2e"))</f>
        <v>2e</v>
      </c>
      <c r="AL240" t="str">
        <f>IF(AND(OR(allowrupt,NOT(D240)),OR(AND(poison,allowenv),NOT(F240)),$X$2-AG240&lt;50),MAX($AL$55:$AL239)+1,"")</f>
        <v/>
      </c>
      <c r="AQ240" t="b">
        <v>1</v>
      </c>
    </row>
    <row r="241" spans="2:43">
      <c r="B241" t="s">
        <v>1842</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9.3901189274925603</v>
      </c>
      <c r="R241" s="1309">
        <v>0</v>
      </c>
      <c r="S241" s="1309">
        <v>0</v>
      </c>
      <c r="T241" s="1309">
        <v>0</v>
      </c>
      <c r="U241" s="450">
        <v>0</v>
      </c>
      <c r="V241" s="450">
        <v>0</v>
      </c>
      <c r="W241" s="450">
        <v>0</v>
      </c>
      <c r="X241" s="451">
        <f t="shared" si="62"/>
        <v>1</v>
      </c>
      <c r="Y241" s="446">
        <f t="shared" si="63"/>
        <v>2294.6921058456096</v>
      </c>
      <c r="Z241" s="159">
        <v>0</v>
      </c>
      <c r="AA241" s="446">
        <v>0</v>
      </c>
      <c r="AB241">
        <f>SUMPRODUCT($F$22:$F$24,$L$16:$L$18)*X241</f>
        <v>921.65006995070587</v>
      </c>
      <c r="AC241" s="446">
        <v>0</v>
      </c>
      <c r="AD241" s="446">
        <v>0</v>
      </c>
      <c r="AE241" s="446">
        <v>0</v>
      </c>
      <c r="AF241" s="447">
        <f t="shared" si="64"/>
        <v>3216.3421757963156</v>
      </c>
      <c r="AG241" s="452">
        <f t="shared" si="65"/>
        <v>342.52411504389477</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12.226978043790373</v>
      </c>
      <c r="R242" s="1309">
        <v>0</v>
      </c>
      <c r="S242" s="1309">
        <v>0</v>
      </c>
      <c r="T242" s="1309">
        <v>0</v>
      </c>
      <c r="U242" s="450">
        <v>0</v>
      </c>
      <c r="V242" s="450">
        <v>0</v>
      </c>
      <c r="W242" s="450">
        <v>0</v>
      </c>
      <c r="X242" s="451">
        <f t="shared" si="62"/>
        <v>1</v>
      </c>
      <c r="Y242" s="446">
        <f t="shared" si="63"/>
        <v>3250.8138166146132</v>
      </c>
      <c r="Z242" s="159">
        <v>0</v>
      </c>
      <c r="AA242" s="446">
        <v>0</v>
      </c>
      <c r="AB242">
        <f>SUMPRODUCT($F$23:$F$25,$M$16:$M$18)*X242</f>
        <v>1190.4605772048644</v>
      </c>
      <c r="AC242" s="446">
        <v>0</v>
      </c>
      <c r="AD242" s="446">
        <v>0</v>
      </c>
      <c r="AE242" s="446">
        <v>0</v>
      </c>
      <c r="AF242" s="447">
        <f t="shared" si="64"/>
        <v>4441.2743938194781</v>
      </c>
      <c r="AG242" s="452">
        <f t="shared" si="65"/>
        <v>363.23565626054557</v>
      </c>
      <c r="AH242" s="453">
        <v>0</v>
      </c>
      <c r="AI242" s="104">
        <v>0</v>
      </c>
      <c r="AJ242" s="454">
        <v>0</v>
      </c>
      <c r="AK242" s="455" t="str">
        <f>IF(instatk="Mut","4-5e",IF(Sealfate&gt;0,"4-5e","4e"))</f>
        <v>4e</v>
      </c>
      <c r="AL242" t="str">
        <f>IF(AND(OR(allowrupt,NOT(D242)),OR(AND(poison,allowenv),NOT(F242)),$X$2-AG242&lt;50),MAX($AL$55:$AL241)+1,"")</f>
        <v/>
      </c>
      <c r="AQ242" t="b">
        <v>1</v>
      </c>
    </row>
    <row r="243" spans="2:43">
      <c r="B243" t="s">
        <v>1904</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15.063837160088186</v>
      </c>
      <c r="R243" s="1309">
        <v>0</v>
      </c>
      <c r="S243" s="1309">
        <v>0</v>
      </c>
      <c r="T243" s="1309">
        <v>0</v>
      </c>
      <c r="U243" s="450">
        <v>0</v>
      </c>
      <c r="V243" s="450">
        <v>0</v>
      </c>
      <c r="W243" s="450">
        <v>0</v>
      </c>
      <c r="X243" s="451">
        <f t="shared" si="62"/>
        <v>1</v>
      </c>
      <c r="Y243" s="446">
        <f t="shared" si="63"/>
        <v>4206.9355273836181</v>
      </c>
      <c r="Z243" s="159">
        <v>0</v>
      </c>
      <c r="AA243" s="446">
        <v>0</v>
      </c>
      <c r="AB243">
        <f>SUMPRODUCT($F$24:$F$26,$N$16:$N$18)*X243</f>
        <v>1459.2710844590233</v>
      </c>
      <c r="AC243" s="446">
        <v>0</v>
      </c>
      <c r="AD243" s="446">
        <v>0</v>
      </c>
      <c r="AE243" s="446">
        <v>0</v>
      </c>
      <c r="AF243" s="447">
        <f t="shared" si="64"/>
        <v>5666.206611842641</v>
      </c>
      <c r="AG243" s="452">
        <f t="shared" si="65"/>
        <v>376.14630001812037</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11.577251697919365</v>
      </c>
      <c r="R244" s="1309">
        <f>(J$15+1-$J$15)*$O$2+25</f>
        <v>65.16326530612244</v>
      </c>
      <c r="S244" s="1309">
        <v>0</v>
      </c>
      <c r="T244" s="1309">
        <v>0</v>
      </c>
      <c r="U244" s="450">
        <f t="shared" ref="U244:U284" si="67">IF(N244&gt;0,MIN(1,N244/Q244),0)</f>
        <v>1</v>
      </c>
      <c r="V244" s="450">
        <v>0</v>
      </c>
      <c r="W244" s="450">
        <v>0</v>
      </c>
      <c r="X244" s="451">
        <f t="shared" si="62"/>
        <v>1</v>
      </c>
      <c r="Y244" s="446">
        <f t="shared" si="63"/>
        <v>2677.1407901532111</v>
      </c>
      <c r="Z244" s="446">
        <f t="shared" ref="Z244:Z284" si="68">Q244*U244*$O$6*(sndfact-1)*$K$4</f>
        <v>2055.8775381360592</v>
      </c>
      <c r="AA244" s="446">
        <v>0</v>
      </c>
      <c r="AB244">
        <f>SUMPRODUCT($F$22:$F$24,$L$16:$L$18)*X244</f>
        <v>921.65006995070587</v>
      </c>
      <c r="AC244" s="446">
        <v>0</v>
      </c>
      <c r="AD244" s="446">
        <v>0</v>
      </c>
      <c r="AE244" s="446">
        <v>0</v>
      </c>
      <c r="AF244" s="447">
        <f t="shared" ref="AF244:AF258" si="69">SUM(Y244:AE244)</f>
        <v>5654.6683982399763</v>
      </c>
      <c r="AG244" s="452">
        <f t="shared" si="65"/>
        <v>488.42925296823415</v>
      </c>
      <c r="AH244" s="453">
        <f t="shared" ref="AH244:AH284" si="70">N244-$Q244</f>
        <v>5.8227483020806332</v>
      </c>
      <c r="AI244" s="104">
        <v>0</v>
      </c>
      <c r="AJ244" s="454">
        <v>0</v>
      </c>
      <c r="AK244" s="455" t="str">
        <f>IF(instatk="Mut","1-3s/3-5e",IF(Sealfate&gt;0,"1-2s/3-4e","1s/3e"))</f>
        <v>1s/3e</v>
      </c>
      <c r="AL244" t="str">
        <f>IF(AND(OR(allowrupt,NOT(D244)),OR(AND(poison,allowenv),NOT(F244)),$X$2-AG244&lt;50),MAX($AL$55:$AL243)+1,"")</f>
        <v/>
      </c>
      <c r="AQ244" t="b">
        <v>1</v>
      </c>
    </row>
    <row r="245" spans="2:43">
      <c r="B245" t="s">
        <v>1843</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14.247470785988956</v>
      </c>
      <c r="R245" s="1309">
        <f>(K$15+1-$J$15)*$O$2+25</f>
        <v>105.32653061224489</v>
      </c>
      <c r="S245" s="1309">
        <v>0</v>
      </c>
      <c r="T245" s="1309">
        <v>0</v>
      </c>
      <c r="U245" s="450">
        <f t="shared" si="67"/>
        <v>1</v>
      </c>
      <c r="V245" s="450">
        <v>0</v>
      </c>
      <c r="W245" s="450">
        <v>0</v>
      </c>
      <c r="X245" s="451">
        <f t="shared" si="62"/>
        <v>1</v>
      </c>
      <c r="Y245" s="446">
        <f t="shared" si="63"/>
        <v>3633.2625009222152</v>
      </c>
      <c r="Z245" s="446">
        <f t="shared" si="68"/>
        <v>2530.0525486051679</v>
      </c>
      <c r="AA245" s="446">
        <v>0</v>
      </c>
      <c r="AB245">
        <f>SUMPRODUCT($F$22:$F$24,$L$16:$L$18)*X245</f>
        <v>921.65006995070587</v>
      </c>
      <c r="AC245" s="446">
        <v>0</v>
      </c>
      <c r="AD245" s="446">
        <v>0</v>
      </c>
      <c r="AE245" s="446">
        <v>0</v>
      </c>
      <c r="AF245" s="447">
        <f t="shared" si="69"/>
        <v>7084.965119478089</v>
      </c>
      <c r="AG245" s="452">
        <f t="shared" si="65"/>
        <v>497.27879606852639</v>
      </c>
      <c r="AH245" s="453">
        <f t="shared" si="70"/>
        <v>7.5025292140110444</v>
      </c>
      <c r="AI245" s="104">
        <v>0</v>
      </c>
      <c r="AJ245" s="454">
        <v>0</v>
      </c>
      <c r="AK245" s="455" t="str">
        <f>IF(instatk="Mut","2-4s/3-5e",IF(Sealfate&gt;0,"2-3s/3-4e","2s/3e"))</f>
        <v>2s/3e</v>
      </c>
      <c r="AL245" t="str">
        <f>IF(AND(OR(allowrupt,NOT(D245)),OR(AND(poison,allowenv),NOT(F245)),$X$2-AG245&lt;50),MAX($AL$55:$AL244)+1,"")</f>
        <v/>
      </c>
      <c r="AQ245" t="b">
        <v>1</v>
      </c>
    </row>
    <row r="246" spans="2:43">
      <c r="B246" t="s">
        <v>1844</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16.917689874058546</v>
      </c>
      <c r="R246" s="1309">
        <f>(L$15+1-$J$15)*$O$2+25</f>
        <v>145.48979591836735</v>
      </c>
      <c r="S246" s="1309">
        <v>0</v>
      </c>
      <c r="T246" s="1309">
        <v>0</v>
      </c>
      <c r="U246" s="450">
        <f t="shared" si="67"/>
        <v>1</v>
      </c>
      <c r="V246" s="450">
        <v>0</v>
      </c>
      <c r="W246" s="450">
        <v>0</v>
      </c>
      <c r="X246" s="451">
        <f t="shared" si="62"/>
        <v>1</v>
      </c>
      <c r="Y246" s="446">
        <f t="shared" si="63"/>
        <v>4589.3842116912192</v>
      </c>
      <c r="Z246" s="446">
        <f t="shared" si="68"/>
        <v>3004.227559074277</v>
      </c>
      <c r="AA246" s="446">
        <v>0</v>
      </c>
      <c r="AB246">
        <f>SUMPRODUCT($F$22:$F$24,$L$16:$L$18)*X246</f>
        <v>921.65006995070587</v>
      </c>
      <c r="AC246" s="446">
        <v>0</v>
      </c>
      <c r="AD246" s="446">
        <v>0</v>
      </c>
      <c r="AE246" s="446">
        <v>0</v>
      </c>
      <c r="AF246" s="447">
        <f t="shared" si="69"/>
        <v>8515.2618407162008</v>
      </c>
      <c r="AG246" s="452">
        <f t="shared" si="65"/>
        <v>503.33478767532188</v>
      </c>
      <c r="AH246" s="453">
        <f t="shared" si="70"/>
        <v>9.1823101259414521</v>
      </c>
      <c r="AI246" s="104">
        <v>0</v>
      </c>
      <c r="AJ246" s="454">
        <v>0</v>
      </c>
      <c r="AK246" s="455" t="str">
        <f>IF(instatk="Mut","3-5s/3-5e",IF(Sealfate&gt;0,"3-4s/3-4e","3s/3e"))</f>
        <v>3s/3e</v>
      </c>
      <c r="AL246" t="str">
        <f>IF(AND(OR(allowrupt,NOT(D246)),OR(AND(poison,allowenv),NOT(F246)),$X$2-AG246&lt;50),MAX($AL$55:$AL245)+1,"")</f>
        <v/>
      </c>
      <c r="AQ246" t="b">
        <v>1</v>
      </c>
    </row>
    <row r="247" spans="2:43">
      <c r="B247" t="s">
        <v>1845</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19.587908962128132</v>
      </c>
      <c r="R247" s="1309">
        <f>(M$15+1-$J$15)*$O$2+25</f>
        <v>185.65306122448979</v>
      </c>
      <c r="S247" s="1309">
        <v>0</v>
      </c>
      <c r="T247" s="1309">
        <v>0</v>
      </c>
      <c r="U247" s="450">
        <f t="shared" si="67"/>
        <v>1</v>
      </c>
      <c r="V247" s="450">
        <v>0</v>
      </c>
      <c r="W247" s="450">
        <v>0</v>
      </c>
      <c r="X247" s="451">
        <f t="shared" si="62"/>
        <v>1</v>
      </c>
      <c r="Y247" s="446">
        <f t="shared" si="63"/>
        <v>5545.5059224602228</v>
      </c>
      <c r="Z247" s="446">
        <f t="shared" si="68"/>
        <v>3478.4025695433847</v>
      </c>
      <c r="AA247" s="446">
        <v>0</v>
      </c>
      <c r="AB247">
        <f>SUMPRODUCT($F$22:$F$24,$L$16:$L$18)*X247</f>
        <v>921.65006995070587</v>
      </c>
      <c r="AC247" s="446">
        <v>0</v>
      </c>
      <c r="AD247" s="446">
        <v>0</v>
      </c>
      <c r="AE247" s="446">
        <v>0</v>
      </c>
      <c r="AF247" s="447">
        <f t="shared" si="69"/>
        <v>9945.5585619543126</v>
      </c>
      <c r="AG247" s="452">
        <f t="shared" si="65"/>
        <v>507.73967661292295</v>
      </c>
      <c r="AH247" s="453">
        <f t="shared" si="70"/>
        <v>10.862091037871867</v>
      </c>
      <c r="AI247" s="104">
        <v>0</v>
      </c>
      <c r="AJ247" s="454">
        <v>0</v>
      </c>
      <c r="AK247" s="455" t="str">
        <f>IF(instatk="Mut","4-5s/3-5e",IF(Sealfate&gt;0,"4-5s/3-4e","4s/3e"))</f>
        <v>4s/3e</v>
      </c>
      <c r="AL247" t="str">
        <f>IF(AND(OR(allowrupt,NOT(D247)),OR(AND(poison,allowenv),NOT(F247)),$X$2-AG247&lt;50),MAX($AL$55:$AL246)+1,"")</f>
        <v/>
      </c>
      <c r="AQ247" t="b">
        <v>1</v>
      </c>
    </row>
    <row r="248" spans="2:43">
      <c r="B248" t="s">
        <v>1846</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22.25812805019773</v>
      </c>
      <c r="R248" s="1309">
        <f>(N$15+1-$J$15)*$O$2+25</f>
        <v>225.81632653061223</v>
      </c>
      <c r="S248" s="1309">
        <v>0</v>
      </c>
      <c r="T248" s="1309">
        <v>0</v>
      </c>
      <c r="U248" s="450">
        <f t="shared" si="67"/>
        <v>1</v>
      </c>
      <c r="V248" s="450">
        <v>0</v>
      </c>
      <c r="W248" s="450">
        <v>0</v>
      </c>
      <c r="X248" s="451">
        <f t="shared" si="62"/>
        <v>1</v>
      </c>
      <c r="Y248" s="446">
        <f t="shared" si="63"/>
        <v>6501.6276332292282</v>
      </c>
      <c r="Z248" s="446">
        <f t="shared" si="68"/>
        <v>3952.5775800124952</v>
      </c>
      <c r="AA248" s="446">
        <v>0</v>
      </c>
      <c r="AB248">
        <f>SUMPRODUCT($F$22:$F$24,$L$16:$L$18)*X248</f>
        <v>921.65006995070587</v>
      </c>
      <c r="AC248" s="446">
        <v>0</v>
      </c>
      <c r="AD248" s="446">
        <v>0</v>
      </c>
      <c r="AE248" s="446">
        <v>0</v>
      </c>
      <c r="AF248" s="447">
        <f t="shared" si="69"/>
        <v>11375.855283192428</v>
      </c>
      <c r="AG248" s="452">
        <f t="shared" si="65"/>
        <v>511.08769154068062</v>
      </c>
      <c r="AH248" s="453">
        <f t="shared" si="70"/>
        <v>12.541871949802267</v>
      </c>
      <c r="AI248" s="104">
        <v>0</v>
      </c>
      <c r="AJ248" s="454">
        <v>0</v>
      </c>
      <c r="AK248" s="455" t="str">
        <f>IF(instatk="Mut","5-5s/3-5e",IF(Sealfate&gt;0,"5-5s/3-4e","5s/3e"))</f>
        <v>5s/3e</v>
      </c>
      <c r="AL248" t="str">
        <f>IF(AND(OR(allowrupt,NOT(D248)),OR(AND(poison,allowenv),NOT(F248)),$X$2-AG248&lt;50),MAX($AL$55:$AL247)+1,"")</f>
        <v/>
      </c>
      <c r="AQ248" t="b">
        <v>1</v>
      </c>
    </row>
    <row r="249" spans="2:43">
      <c r="B249" t="s">
        <v>513</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14.247470785988956</v>
      </c>
      <c r="R249" s="1309">
        <f>(J$15+1-$J$15)*$O$2+25</f>
        <v>65.16326530612244</v>
      </c>
      <c r="S249" s="1309">
        <v>0</v>
      </c>
      <c r="T249" s="1309">
        <v>0</v>
      </c>
      <c r="U249" s="450">
        <f t="shared" si="67"/>
        <v>1</v>
      </c>
      <c r="V249" s="450">
        <v>0</v>
      </c>
      <c r="W249" s="450">
        <v>0</v>
      </c>
      <c r="X249" s="451">
        <f t="shared" si="62"/>
        <v>1</v>
      </c>
      <c r="Y249" s="446">
        <f t="shared" si="63"/>
        <v>3633.2625009222152</v>
      </c>
      <c r="Z249" s="446">
        <f t="shared" si="68"/>
        <v>2530.0525486051679</v>
      </c>
      <c r="AA249" s="446">
        <v>0</v>
      </c>
      <c r="AB249">
        <f>SUMPRODUCT($F$23:$F$25,$M$16:$M$18)*X249</f>
        <v>1190.4605772048644</v>
      </c>
      <c r="AC249" s="446">
        <v>0</v>
      </c>
      <c r="AD249" s="446">
        <v>0</v>
      </c>
      <c r="AE249" s="446">
        <v>0</v>
      </c>
      <c r="AF249" s="447">
        <f t="shared" si="69"/>
        <v>7353.7756267322475</v>
      </c>
      <c r="AG249" s="452">
        <f t="shared" si="65"/>
        <v>516.1460400370845</v>
      </c>
      <c r="AH249" s="453">
        <f t="shared" si="70"/>
        <v>3.152529214011043</v>
      </c>
      <c r="AI249" s="104">
        <v>0</v>
      </c>
      <c r="AJ249" s="454">
        <v>0</v>
      </c>
      <c r="AK249" s="455" t="str">
        <f>IF(instatk="Mut","1-3s/4-5e",IF(Sealfate&gt;0,"1-2s/4-5e","1s/4e"))</f>
        <v>1s/4e</v>
      </c>
      <c r="AL249" t="str">
        <f>IF(AND(OR(allowrupt,NOT(D249)),OR(AND(poison,allowenv),NOT(F249)),$X$2-AG249&lt;50),MAX($AL$55:$AL248)+1,"")</f>
        <v/>
      </c>
      <c r="AQ249" t="b">
        <v>1</v>
      </c>
    </row>
    <row r="250" spans="2:43">
      <c r="B250" t="s">
        <v>514</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16.917689874058546</v>
      </c>
      <c r="R250" s="1309">
        <f>(K$15+1-$J$15)*$O$2+25</f>
        <v>105.32653061224489</v>
      </c>
      <c r="S250" s="1309">
        <v>0</v>
      </c>
      <c r="T250" s="1309">
        <v>0</v>
      </c>
      <c r="U250" s="450">
        <f t="shared" si="67"/>
        <v>1</v>
      </c>
      <c r="V250" s="450">
        <v>0</v>
      </c>
      <c r="W250" s="450">
        <v>0</v>
      </c>
      <c r="X250" s="451">
        <f t="shared" si="62"/>
        <v>1</v>
      </c>
      <c r="Y250" s="446">
        <f t="shared" si="63"/>
        <v>4589.3842116912192</v>
      </c>
      <c r="Z250" s="446">
        <f t="shared" si="68"/>
        <v>3004.227559074277</v>
      </c>
      <c r="AA250" s="446">
        <v>0</v>
      </c>
      <c r="AB250">
        <f>SUMPRODUCT($F$23:$F$25,$M$16:$M$18)*X250</f>
        <v>1190.4605772048644</v>
      </c>
      <c r="AC250" s="446">
        <v>0</v>
      </c>
      <c r="AD250" s="446">
        <v>0</v>
      </c>
      <c r="AE250" s="446">
        <v>0</v>
      </c>
      <c r="AF250" s="447">
        <f t="shared" si="69"/>
        <v>8784.0723479703593</v>
      </c>
      <c r="AG250" s="452">
        <f t="shared" si="65"/>
        <v>519.22410289833886</v>
      </c>
      <c r="AH250" s="453">
        <f t="shared" si="70"/>
        <v>4.8323101259414543</v>
      </c>
      <c r="AI250" s="104">
        <v>0</v>
      </c>
      <c r="AJ250" s="454">
        <v>0</v>
      </c>
      <c r="AK250" s="455" t="str">
        <f>IF(instatk="Mut","2-4s/4-5e",IF(Sealfate&gt;0,"2-3s/4-5e","2s/4e"))</f>
        <v>2s/4e</v>
      </c>
      <c r="AL250" t="str">
        <f>IF(AND(OR(allowrupt,NOT(D250)),OR(AND(poison,allowenv),NOT(F250)),$X$2-AG250&lt;50),MAX($AL$55:$AL249)+1,"")</f>
        <v/>
      </c>
      <c r="AQ250" t="b">
        <v>1</v>
      </c>
    </row>
    <row r="251" spans="2:43">
      <c r="B251" t="s">
        <v>515</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19.587908962128132</v>
      </c>
      <c r="R251" s="1309">
        <f>(L$15+1-$J$15)*$O$2+25</f>
        <v>145.48979591836735</v>
      </c>
      <c r="S251" s="1309">
        <v>0</v>
      </c>
      <c r="T251" s="1309">
        <v>0</v>
      </c>
      <c r="U251" s="450">
        <f t="shared" si="67"/>
        <v>1</v>
      </c>
      <c r="V251" s="450">
        <v>0</v>
      </c>
      <c r="W251" s="450">
        <v>0</v>
      </c>
      <c r="X251" s="451">
        <f t="shared" si="62"/>
        <v>1</v>
      </c>
      <c r="Y251" s="446">
        <f t="shared" si="63"/>
        <v>5545.5059224602228</v>
      </c>
      <c r="Z251" s="446">
        <f t="shared" si="68"/>
        <v>3478.4025695433847</v>
      </c>
      <c r="AA251" s="446">
        <v>0</v>
      </c>
      <c r="AB251">
        <f>SUMPRODUCT($F$23:$F$25,$M$16:$M$18)*X251</f>
        <v>1190.4605772048644</v>
      </c>
      <c r="AC251" s="446">
        <v>0</v>
      </c>
      <c r="AD251" s="446">
        <v>0</v>
      </c>
      <c r="AE251" s="446">
        <v>0</v>
      </c>
      <c r="AF251" s="447">
        <f t="shared" si="69"/>
        <v>10214.369069208471</v>
      </c>
      <c r="AG251" s="452">
        <f t="shared" si="65"/>
        <v>521.46296416617247</v>
      </c>
      <c r="AH251" s="453">
        <f t="shared" si="70"/>
        <v>6.5120910378718655</v>
      </c>
      <c r="AI251" s="104">
        <v>0</v>
      </c>
      <c r="AJ251" s="454">
        <v>0</v>
      </c>
      <c r="AK251" s="455" t="str">
        <f>IF(instatk="Mut","3-5s/4-5e",IF(Sealfate&gt;0,"3-4s/4-5e","3s/4e"))</f>
        <v>3s/4e</v>
      </c>
      <c r="AL251">
        <f>IF(AND(OR(allowrupt,NOT(D251)),OR(AND(poison,allowenv),NOT(F251)),$X$2-AG251&lt;50),MAX($AL$55:$AL250)+1,"")</f>
        <v>53</v>
      </c>
      <c r="AQ251" t="b">
        <v>1</v>
      </c>
    </row>
    <row r="252" spans="2:43">
      <c r="B252" t="s">
        <v>516</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22.258128050197726</v>
      </c>
      <c r="R252" s="1309">
        <f>(M$15+1-$J$15)*$O$2+25</f>
        <v>185.65306122448979</v>
      </c>
      <c r="S252" s="1309">
        <v>0</v>
      </c>
      <c r="T252" s="1309">
        <v>0</v>
      </c>
      <c r="U252" s="450">
        <f t="shared" si="67"/>
        <v>1</v>
      </c>
      <c r="V252" s="450">
        <v>0</v>
      </c>
      <c r="W252" s="450">
        <v>0</v>
      </c>
      <c r="X252" s="451">
        <f t="shared" si="62"/>
        <v>1</v>
      </c>
      <c r="Y252" s="446">
        <f t="shared" si="63"/>
        <v>6501.6276332292264</v>
      </c>
      <c r="Z252" s="446">
        <f t="shared" si="68"/>
        <v>3952.5775800124939</v>
      </c>
      <c r="AA252" s="446">
        <v>0</v>
      </c>
      <c r="AB252">
        <f>SUMPRODUCT($F$23:$F$25,$M$16:$M$18)*X252</f>
        <v>1190.4605772048644</v>
      </c>
      <c r="AC252" s="446">
        <v>0</v>
      </c>
      <c r="AD252" s="446">
        <v>0</v>
      </c>
      <c r="AE252" s="446">
        <v>0</v>
      </c>
      <c r="AF252" s="447">
        <f t="shared" si="69"/>
        <v>11644.665790446583</v>
      </c>
      <c r="AG252" s="452">
        <f t="shared" si="65"/>
        <v>523.16465087202778</v>
      </c>
      <c r="AH252" s="453">
        <f t="shared" si="70"/>
        <v>8.1918719498022732</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24.92834713826732</v>
      </c>
      <c r="R253" s="1309">
        <f>(N$15+1-$J$15)*$O$2+25</f>
        <v>225.81632653061223</v>
      </c>
      <c r="S253" s="1309">
        <v>0</v>
      </c>
      <c r="T253" s="1309">
        <v>0</v>
      </c>
      <c r="U253" s="450">
        <f t="shared" si="67"/>
        <v>1</v>
      </c>
      <c r="V253" s="450">
        <v>0</v>
      </c>
      <c r="W253" s="450">
        <v>0</v>
      </c>
      <c r="X253" s="451">
        <f t="shared" si="62"/>
        <v>1</v>
      </c>
      <c r="Y253" s="446">
        <f t="shared" si="63"/>
        <v>7457.7493439982318</v>
      </c>
      <c r="Z253" s="446">
        <f t="shared" si="68"/>
        <v>4426.7525904816039</v>
      </c>
      <c r="AA253" s="446">
        <v>0</v>
      </c>
      <c r="AB253">
        <f>SUMPRODUCT($F$23:$F$25,$M$16:$M$18)*X253</f>
        <v>1190.4605772048644</v>
      </c>
      <c r="AC253" s="446">
        <v>0</v>
      </c>
      <c r="AD253" s="446">
        <v>0</v>
      </c>
      <c r="AE253" s="446">
        <v>0</v>
      </c>
      <c r="AF253" s="447">
        <f t="shared" si="69"/>
        <v>13074.962511684698</v>
      </c>
      <c r="AG253" s="452">
        <f t="shared" si="65"/>
        <v>524.50178261572023</v>
      </c>
      <c r="AH253" s="453">
        <f t="shared" si="70"/>
        <v>9.8716528617326773</v>
      </c>
      <c r="AI253" s="104">
        <v>0</v>
      </c>
      <c r="AJ253" s="454">
        <v>0</v>
      </c>
      <c r="AK253" s="455" t="str">
        <f>IF(instatk="Mut","5-5s/4-5e",IF(Sealfate&gt;0,"5-5s/4-5e","5s/4e"))</f>
        <v>5s/4e</v>
      </c>
      <c r="AL253">
        <f>IF(AND(OR(allowrupt,NOT(D253)),OR(AND(poison,allowenv),NOT(F253)),$X$2-AG253&lt;50),MAX($AL$55:$AL252)+1,"")</f>
        <v>55</v>
      </c>
      <c r="AQ253" t="b">
        <v>1</v>
      </c>
    </row>
    <row r="254" spans="2:43">
      <c r="B254" t="s">
        <v>509</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16.917689874058549</v>
      </c>
      <c r="R254" s="1309">
        <f>(J$15+1-$J$15)*$O$2+25</f>
        <v>65.16326530612244</v>
      </c>
      <c r="S254" s="1309">
        <v>0</v>
      </c>
      <c r="T254" s="1309">
        <v>0</v>
      </c>
      <c r="U254" s="450">
        <f t="shared" si="67"/>
        <v>1</v>
      </c>
      <c r="V254" s="450">
        <v>0</v>
      </c>
      <c r="W254" s="450">
        <v>0</v>
      </c>
      <c r="X254" s="451">
        <f t="shared" si="62"/>
        <v>1</v>
      </c>
      <c r="Y254" s="446">
        <f t="shared" si="63"/>
        <v>4589.3842116912201</v>
      </c>
      <c r="Z254" s="446">
        <f t="shared" si="68"/>
        <v>3004.2275590742775</v>
      </c>
      <c r="AA254" s="446">
        <v>0</v>
      </c>
      <c r="AB254">
        <f>SUMPRODUCT($F$24:$F$26,$N$16:$N$18)*X254</f>
        <v>1459.2710844590233</v>
      </c>
      <c r="AC254" s="446">
        <v>0</v>
      </c>
      <c r="AD254" s="446">
        <v>0</v>
      </c>
      <c r="AE254" s="446">
        <v>0</v>
      </c>
      <c r="AF254" s="447">
        <f t="shared" si="69"/>
        <v>9052.8828552245213</v>
      </c>
      <c r="AG254" s="452">
        <f t="shared" si="65"/>
        <v>535.11341812135595</v>
      </c>
      <c r="AH254" s="453">
        <f t="shared" si="70"/>
        <v>0.48231012594144929</v>
      </c>
      <c r="AI254" s="104">
        <v>0</v>
      </c>
      <c r="AJ254" s="454">
        <v>0</v>
      </c>
      <c r="AK254" s="455" t="str">
        <f>IF(instatk="Mut","1-3s/5-5e",IF(Sealfate&gt;0,"1-2s/5-5e","1s/5e"))</f>
        <v>1s/5e</v>
      </c>
      <c r="AL254">
        <f>IF(AND(OR(allowrupt,NOT(D254)),OR(AND(poison,allowenv),NOT(F254)),$X$2-AG254&lt;50),MAX($AL$55:$AL253)+1,"")</f>
        <v>56</v>
      </c>
      <c r="AQ254" t="b">
        <v>1</v>
      </c>
    </row>
    <row r="255" spans="2:43">
      <c r="B255" t="s">
        <v>510</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19.587908962128143</v>
      </c>
      <c r="R255" s="1309">
        <f>(K$15+1-$J$15)*$O$2+25</f>
        <v>105.32653061224489</v>
      </c>
      <c r="S255" s="1309">
        <v>0</v>
      </c>
      <c r="T255" s="1309">
        <v>0</v>
      </c>
      <c r="U255" s="450">
        <f t="shared" si="67"/>
        <v>1</v>
      </c>
      <c r="V255" s="450">
        <v>0</v>
      </c>
      <c r="W255" s="450">
        <v>0</v>
      </c>
      <c r="X255" s="451">
        <f t="shared" si="62"/>
        <v>1</v>
      </c>
      <c r="Y255" s="446">
        <f t="shared" si="63"/>
        <v>5545.5059224602237</v>
      </c>
      <c r="Z255" s="446">
        <f t="shared" si="68"/>
        <v>3478.402569543387</v>
      </c>
      <c r="AA255" s="446">
        <v>0</v>
      </c>
      <c r="AB255">
        <f>SUMPRODUCT($F$24:$F$26,$N$16:$N$18)*X255</f>
        <v>1459.2710844590233</v>
      </c>
      <c r="AC255" s="446">
        <v>0</v>
      </c>
      <c r="AD255" s="446">
        <v>0</v>
      </c>
      <c r="AE255" s="446">
        <v>0</v>
      </c>
      <c r="AF255" s="447">
        <f t="shared" si="69"/>
        <v>10483.179576462635</v>
      </c>
      <c r="AG255" s="452">
        <f t="shared" si="65"/>
        <v>535.18625171942199</v>
      </c>
      <c r="AH255" s="453">
        <f t="shared" si="70"/>
        <v>2.162091037871857</v>
      </c>
      <c r="AI255" s="104">
        <v>0</v>
      </c>
      <c r="AJ255" s="454">
        <v>0</v>
      </c>
      <c r="AK255" s="455" t="str">
        <f>IF(instatk="Mut","2-4s/5-5e",IF(Sealfate&gt;0,"2-3s/5-5e","2s/5e"))</f>
        <v>2s/5e</v>
      </c>
      <c r="AL255">
        <f>IF(AND(OR(allowrupt,NOT(D255)),OR(AND(poison,allowenv),NOT(F255)),$X$2-AG255&lt;50),MAX($AL$55:$AL254)+1,"")</f>
        <v>57</v>
      </c>
      <c r="AQ255" t="b">
        <v>1</v>
      </c>
    </row>
    <row r="256" spans="2:43">
      <c r="B256" t="s">
        <v>511</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22.25812805019773</v>
      </c>
      <c r="R256" s="1309">
        <f>(L$15+1-$J$15)*$O$2+25</f>
        <v>145.48979591836735</v>
      </c>
      <c r="S256" s="1309">
        <v>0</v>
      </c>
      <c r="T256" s="1309">
        <v>0</v>
      </c>
      <c r="U256" s="450">
        <f t="shared" si="67"/>
        <v>1</v>
      </c>
      <c r="V256" s="450">
        <v>0</v>
      </c>
      <c r="W256" s="450">
        <v>0</v>
      </c>
      <c r="X256" s="451">
        <f t="shared" si="62"/>
        <v>1</v>
      </c>
      <c r="Y256" s="446">
        <f t="shared" si="63"/>
        <v>6501.6276332292282</v>
      </c>
      <c r="Z256" s="446">
        <f t="shared" si="68"/>
        <v>3952.5775800124952</v>
      </c>
      <c r="AA256" s="446">
        <v>0</v>
      </c>
      <c r="AB256">
        <f>SUMPRODUCT($F$24:$F$26,$N$16:$N$18)*X256</f>
        <v>1459.2710844590233</v>
      </c>
      <c r="AC256" s="446">
        <v>0</v>
      </c>
      <c r="AD256" s="446">
        <v>0</v>
      </c>
      <c r="AE256" s="446">
        <v>0</v>
      </c>
      <c r="AF256" s="447">
        <f t="shared" si="69"/>
        <v>11913.476297700747</v>
      </c>
      <c r="AG256" s="452">
        <f t="shared" si="65"/>
        <v>535.24161020337533</v>
      </c>
      <c r="AH256" s="453">
        <f t="shared" si="70"/>
        <v>3.8418719498022682</v>
      </c>
      <c r="AI256" s="104">
        <v>0</v>
      </c>
      <c r="AJ256" s="454">
        <v>0</v>
      </c>
      <c r="AK256" s="455" t="str">
        <f>IF(instatk="Mut","3-5s/5-5e",IF(Sealfate&gt;0,"3-4s/5-5e","3s/5e"))</f>
        <v>3s/5e</v>
      </c>
      <c r="AL256">
        <f>IF(AND(OR(allowrupt,NOT(D256)),OR(AND(poison,allowenv),NOT(F256)),$X$2-AG256&lt;50),MAX($AL$55:$AL255)+1,"")</f>
        <v>58</v>
      </c>
      <c r="AQ256" t="b">
        <v>1</v>
      </c>
    </row>
    <row r="257" spans="2:43">
      <c r="B257" t="s">
        <v>512</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24.92834713826732</v>
      </c>
      <c r="R257" s="1309">
        <f>(M$15+1-$J$15)*$O$2+25</f>
        <v>185.65306122448979</v>
      </c>
      <c r="S257" s="1309">
        <v>0</v>
      </c>
      <c r="T257" s="1309">
        <v>0</v>
      </c>
      <c r="U257" s="450">
        <f t="shared" si="67"/>
        <v>1</v>
      </c>
      <c r="V257" s="450">
        <v>0</v>
      </c>
      <c r="W257" s="450">
        <v>0</v>
      </c>
      <c r="X257" s="451">
        <f t="shared" si="62"/>
        <v>1</v>
      </c>
      <c r="Y257" s="446">
        <f t="shared" si="63"/>
        <v>7457.7493439982318</v>
      </c>
      <c r="Z257" s="446">
        <f t="shared" si="68"/>
        <v>4426.7525904816039</v>
      </c>
      <c r="AA257" s="446">
        <v>0</v>
      </c>
      <c r="AB257">
        <f>SUMPRODUCT($F$24:$F$26,$N$16:$N$18)*X257</f>
        <v>1459.2710844590233</v>
      </c>
      <c r="AC257" s="446">
        <v>0</v>
      </c>
      <c r="AD257" s="446">
        <v>0</v>
      </c>
      <c r="AE257" s="446">
        <v>0</v>
      </c>
      <c r="AF257" s="447">
        <f t="shared" si="69"/>
        <v>13343.773018938859</v>
      </c>
      <c r="AG257" s="452">
        <f t="shared" si="65"/>
        <v>535.28510915410561</v>
      </c>
      <c r="AH257" s="453">
        <f t="shared" si="70"/>
        <v>5.5216528617326794</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2255</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27.59856622633691</v>
      </c>
      <c r="R258" s="1309">
        <f>(N$15+1-$J$15)*$O$2+25</f>
        <v>225.81632653061223</v>
      </c>
      <c r="S258" s="1309">
        <v>0</v>
      </c>
      <c r="T258" s="1309">
        <v>0</v>
      </c>
      <c r="U258" s="450">
        <f t="shared" si="67"/>
        <v>1</v>
      </c>
      <c r="V258" s="450">
        <v>0</v>
      </c>
      <c r="W258" s="450">
        <v>0</v>
      </c>
      <c r="X258" s="451">
        <f t="shared" si="62"/>
        <v>1</v>
      </c>
      <c r="Y258" s="446">
        <f t="shared" si="63"/>
        <v>8413.8710547672363</v>
      </c>
      <c r="Z258" s="446">
        <f t="shared" si="68"/>
        <v>4900.927600950713</v>
      </c>
      <c r="AA258" s="446">
        <v>0</v>
      </c>
      <c r="AB258">
        <f>SUMPRODUCT($F$24:$F$26,$N$16:$N$18)*X258</f>
        <v>1459.2710844590233</v>
      </c>
      <c r="AC258" s="446">
        <v>0</v>
      </c>
      <c r="AD258" s="446">
        <v>0</v>
      </c>
      <c r="AE258" s="446">
        <v>0</v>
      </c>
      <c r="AF258" s="447">
        <f t="shared" si="69"/>
        <v>14774.069740176974</v>
      </c>
      <c r="AG258" s="452">
        <f t="shared" si="65"/>
        <v>535.32019087565118</v>
      </c>
      <c r="AH258" s="453">
        <f t="shared" si="70"/>
        <v>7.2014337736630871</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1847</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22.326626996043736</v>
      </c>
      <c r="R259" s="1309">
        <f>(J$15+1-$J$15)*$O$2+25</f>
        <v>65.16326530612244</v>
      </c>
      <c r="S259" s="1309">
        <v>0</v>
      </c>
      <c r="T259" s="1309">
        <v>0</v>
      </c>
      <c r="U259" s="450">
        <f t="shared" si="67"/>
        <v>1</v>
      </c>
      <c r="V259" s="450">
        <v>0</v>
      </c>
      <c r="W259" s="450">
        <v>0</v>
      </c>
      <c r="X259" s="451">
        <f t="shared" si="62"/>
        <v>1</v>
      </c>
      <c r="Y259" s="446">
        <f t="shared" si="63"/>
        <v>5927.9546067678239</v>
      </c>
      <c r="Z259" s="446">
        <f t="shared" si="68"/>
        <v>3964.7415588068843</v>
      </c>
      <c r="AA259" s="446">
        <v>0</v>
      </c>
      <c r="AB259">
        <f>SUMPRODUCT($F$22:$F$24,$L$16:$L$18)*X259</f>
        <v>921.65006995070587</v>
      </c>
      <c r="AC259" s="446">
        <v>0</v>
      </c>
      <c r="AD259" s="446">
        <v>0</v>
      </c>
      <c r="AE259" s="446">
        <v>0</v>
      </c>
      <c r="AF259" s="447">
        <f t="shared" ref="AF259:AF284" si="71">SUM(Y259:AE259)</f>
        <v>10814.346235525412</v>
      </c>
      <c r="AG259" s="452">
        <f t="shared" si="65"/>
        <v>484.36990672355961</v>
      </c>
      <c r="AH259" s="453">
        <f t="shared" si="70"/>
        <v>25.523373003956259</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1848</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24.996846084113326</v>
      </c>
      <c r="R260" s="1309">
        <f>(K$15+1-$J$15)*$O$2+25</f>
        <v>105.32653061224489</v>
      </c>
      <c r="S260" s="1309">
        <v>0</v>
      </c>
      <c r="T260" s="1309">
        <v>0</v>
      </c>
      <c r="U260" s="450">
        <f t="shared" si="67"/>
        <v>1</v>
      </c>
      <c r="V260" s="450">
        <v>0</v>
      </c>
      <c r="W260" s="450">
        <v>0</v>
      </c>
      <c r="X260" s="451">
        <f t="shared" si="62"/>
        <v>1</v>
      </c>
      <c r="Y260" s="446">
        <f t="shared" si="63"/>
        <v>6884.0763175368284</v>
      </c>
      <c r="Z260" s="446">
        <f t="shared" si="68"/>
        <v>4438.9165692759934</v>
      </c>
      <c r="AA260" s="446">
        <v>0</v>
      </c>
      <c r="AB260">
        <f>SUMPRODUCT($F$22:$F$24,$L$16:$L$18)*X260</f>
        <v>921.65006995070587</v>
      </c>
      <c r="AC260" s="446">
        <v>0</v>
      </c>
      <c r="AD260" s="446">
        <v>0</v>
      </c>
      <c r="AE260" s="446">
        <v>0</v>
      </c>
      <c r="AF260" s="447">
        <f t="shared" si="71"/>
        <v>12244.642956763528</v>
      </c>
      <c r="AG260" s="452">
        <f t="shared" si="65"/>
        <v>489.84751578502443</v>
      </c>
      <c r="AH260" s="453">
        <f t="shared" si="70"/>
        <v>27.203153915886677</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1849</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24.996846084113326</v>
      </c>
      <c r="R261" s="1309">
        <f>(J$15+1-$J$15)*$O$2+25</f>
        <v>65.16326530612244</v>
      </c>
      <c r="S261" s="1309">
        <v>0</v>
      </c>
      <c r="T261" s="1309">
        <v>0</v>
      </c>
      <c r="U261" s="450">
        <f t="shared" si="67"/>
        <v>1</v>
      </c>
      <c r="V261" s="450">
        <v>0</v>
      </c>
      <c r="W261" s="450">
        <v>0</v>
      </c>
      <c r="X261" s="451">
        <f t="shared" si="62"/>
        <v>1</v>
      </c>
      <c r="Y261" s="446">
        <f t="shared" si="63"/>
        <v>6884.0763175368284</v>
      </c>
      <c r="Z261" s="446">
        <f t="shared" si="68"/>
        <v>4438.9165692759934</v>
      </c>
      <c r="AA261" s="446">
        <v>0</v>
      </c>
      <c r="AB261">
        <f>SUMPRODUCT($F$23:$F$25,$M$16:$M$18)*X261</f>
        <v>1190.4605772048644</v>
      </c>
      <c r="AC261" s="446">
        <v>0</v>
      </c>
      <c r="AD261" s="446">
        <v>0</v>
      </c>
      <c r="AE261" s="446">
        <v>0</v>
      </c>
      <c r="AF261" s="447">
        <f t="shared" si="71"/>
        <v>12513.453464017686</v>
      </c>
      <c r="AG261" s="452">
        <f t="shared" si="65"/>
        <v>500.60129273550939</v>
      </c>
      <c r="AH261" s="453">
        <f t="shared" si="70"/>
        <v>22.853153915886669</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507</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27.667065172182912</v>
      </c>
      <c r="R262" s="1309">
        <f>(K$15+1-$J$15)*$O$2+25</f>
        <v>105.32653061224489</v>
      </c>
      <c r="S262" s="1309">
        <v>0</v>
      </c>
      <c r="T262" s="1309">
        <v>0</v>
      </c>
      <c r="U262" s="450">
        <f t="shared" si="67"/>
        <v>1</v>
      </c>
      <c r="V262" s="450">
        <v>0</v>
      </c>
      <c r="W262" s="450">
        <v>0</v>
      </c>
      <c r="X262" s="451">
        <f t="shared" si="62"/>
        <v>1</v>
      </c>
      <c r="Y262" s="446">
        <f t="shared" si="63"/>
        <v>7840.1980283058319</v>
      </c>
      <c r="Z262" s="446">
        <f t="shared" si="68"/>
        <v>4913.0915797451016</v>
      </c>
      <c r="AA262" s="446">
        <v>0</v>
      </c>
      <c r="AB262">
        <f>SUMPRODUCT($F$23:$F$25,$M$16:$M$18)*X262</f>
        <v>1190.4605772048644</v>
      </c>
      <c r="AC262" s="446">
        <v>0</v>
      </c>
      <c r="AD262" s="446">
        <v>0</v>
      </c>
      <c r="AE262" s="446">
        <v>0</v>
      </c>
      <c r="AF262" s="447">
        <f t="shared" si="71"/>
        <v>13943.750185255798</v>
      </c>
      <c r="AG262" s="452">
        <f t="shared" si="65"/>
        <v>503.98371126385882</v>
      </c>
      <c r="AH262" s="453">
        <f t="shared" si="70"/>
        <v>24.53293482781709</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27.667065172182912</v>
      </c>
      <c r="R263" s="1309">
        <f>(J$15+1-$J$15)*$O$2+25</f>
        <v>65.16326530612244</v>
      </c>
      <c r="S263" s="1309">
        <v>0</v>
      </c>
      <c r="T263" s="1309">
        <v>0</v>
      </c>
      <c r="U263" s="450">
        <f t="shared" si="67"/>
        <v>1</v>
      </c>
      <c r="V263" s="450">
        <v>0</v>
      </c>
      <c r="W263" s="450">
        <v>0</v>
      </c>
      <c r="X263" s="451">
        <f t="shared" si="62"/>
        <v>1</v>
      </c>
      <c r="Y263" s="446">
        <f t="shared" si="63"/>
        <v>7840.1980283058319</v>
      </c>
      <c r="Z263" s="446">
        <f t="shared" si="68"/>
        <v>4913.0915797451016</v>
      </c>
      <c r="AA263" s="446">
        <v>0</v>
      </c>
      <c r="AB263">
        <f>SUMPRODUCT($F$24:$F$26,$N$16:$N$18)*X263</f>
        <v>1459.2710844590233</v>
      </c>
      <c r="AC263" s="446">
        <v>0</v>
      </c>
      <c r="AD263" s="446">
        <v>0</v>
      </c>
      <c r="AE263" s="446">
        <v>0</v>
      </c>
      <c r="AF263" s="447">
        <f t="shared" si="71"/>
        <v>14212.560692509958</v>
      </c>
      <c r="AG263" s="452">
        <f t="shared" si="65"/>
        <v>513.69961374868137</v>
      </c>
      <c r="AH263" s="453">
        <f t="shared" si="70"/>
        <v>20.182934827817082</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729</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30.337284260252506</v>
      </c>
      <c r="R264" s="1309">
        <f>(K$15+1-$J$15)*$O$2+25</f>
        <v>105.32653061224489</v>
      </c>
      <c r="S264" s="1309">
        <v>0</v>
      </c>
      <c r="T264" s="1309">
        <v>0</v>
      </c>
      <c r="U264" s="450">
        <f t="shared" si="67"/>
        <v>1</v>
      </c>
      <c r="V264" s="450">
        <v>0</v>
      </c>
      <c r="W264" s="450">
        <v>0</v>
      </c>
      <c r="X264" s="451">
        <f t="shared" si="62"/>
        <v>1</v>
      </c>
      <c r="Y264" s="446">
        <f t="shared" si="63"/>
        <v>8796.3197390748355</v>
      </c>
      <c r="Z264" s="446">
        <f t="shared" si="68"/>
        <v>5387.2665902142107</v>
      </c>
      <c r="AA264" s="446">
        <v>0</v>
      </c>
      <c r="AB264">
        <f>SUMPRODUCT($F$24:$F$26,$N$16:$N$18)*X264</f>
        <v>1459.2710844590233</v>
      </c>
      <c r="AC264" s="446">
        <v>0</v>
      </c>
      <c r="AD264" s="446">
        <v>0</v>
      </c>
      <c r="AE264" s="446">
        <v>0</v>
      </c>
      <c r="AF264" s="447">
        <f t="shared" si="71"/>
        <v>15642.85741374807</v>
      </c>
      <c r="AG264" s="452">
        <f t="shared" si="65"/>
        <v>515.63143488895366</v>
      </c>
      <c r="AH264" s="453">
        <f t="shared" si="70"/>
        <v>21.862715739747497</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24.996846084113329</v>
      </c>
      <c r="R265" s="1309">
        <f>(J$15+1-$J$15)*$O$2+25</f>
        <v>65.16326530612244</v>
      </c>
      <c r="S265" s="1309">
        <v>0</v>
      </c>
      <c r="T265" s="1309">
        <v>0</v>
      </c>
      <c r="U265" s="450">
        <f t="shared" si="67"/>
        <v>1</v>
      </c>
      <c r="V265" s="450">
        <v>0</v>
      </c>
      <c r="W265" s="450">
        <v>0</v>
      </c>
      <c r="X265" s="451">
        <f t="shared" si="62"/>
        <v>1</v>
      </c>
      <c r="Y265" s="446">
        <f t="shared" si="63"/>
        <v>6884.0763175368302</v>
      </c>
      <c r="Z265" s="446">
        <f t="shared" si="68"/>
        <v>4438.9165692759934</v>
      </c>
      <c r="AA265" s="446">
        <v>0</v>
      </c>
      <c r="AB265">
        <f>SUMPRODUCT($F$22:$F$24,$L$16:$L$18)*X265</f>
        <v>921.65006995070587</v>
      </c>
      <c r="AC265" s="446">
        <v>0</v>
      </c>
      <c r="AD265" s="446">
        <v>0</v>
      </c>
      <c r="AE265" s="446">
        <v>0</v>
      </c>
      <c r="AF265" s="447">
        <f t="shared" si="71"/>
        <v>12244.642956763528</v>
      </c>
      <c r="AG265" s="452">
        <f t="shared" si="65"/>
        <v>489.84751578502431</v>
      </c>
      <c r="AH265" s="453">
        <f t="shared" si="70"/>
        <v>27.203153915886666</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27.667065172182923</v>
      </c>
      <c r="R266" s="1309">
        <f>(K$15+1-$J$15)*$O$2+25</f>
        <v>105.32653061224489</v>
      </c>
      <c r="S266" s="1309">
        <v>0</v>
      </c>
      <c r="T266" s="1309">
        <v>0</v>
      </c>
      <c r="U266" s="450">
        <f t="shared" si="67"/>
        <v>1</v>
      </c>
      <c r="V266" s="450">
        <v>0</v>
      </c>
      <c r="W266" s="450">
        <v>0</v>
      </c>
      <c r="X266" s="451">
        <f t="shared" si="62"/>
        <v>1</v>
      </c>
      <c r="Y266" s="446">
        <f t="shared" si="63"/>
        <v>7840.1980283058338</v>
      </c>
      <c r="Z266" s="446">
        <f t="shared" si="68"/>
        <v>4913.0915797451034</v>
      </c>
      <c r="AA266" s="446">
        <v>0</v>
      </c>
      <c r="AB266">
        <f>SUMPRODUCT($F$22:$F$24,$L$16:$L$18)*X266</f>
        <v>921.65006995070587</v>
      </c>
      <c r="AC266" s="446">
        <v>0</v>
      </c>
      <c r="AD266" s="446">
        <v>0</v>
      </c>
      <c r="AE266" s="446">
        <v>0</v>
      </c>
      <c r="AF266" s="447">
        <f t="shared" si="71"/>
        <v>13674.939678001643</v>
      </c>
      <c r="AG266" s="452">
        <f t="shared" ref="AG266:AG284" si="73">IF(AND(forceea,W266=0),0,IF(time=0, AF266/Q266, IF(time&lt;Q266, 0, AF266/Q266))*AQ266)</f>
        <v>494.26780877903627</v>
      </c>
      <c r="AH266" s="453">
        <f t="shared" si="70"/>
        <v>28.882934827817074</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30.33728426025251</v>
      </c>
      <c r="R267" s="1309">
        <f>(L$15+1-$J$15)*$O$2+25</f>
        <v>145.48979591836735</v>
      </c>
      <c r="S267" s="1309">
        <v>0</v>
      </c>
      <c r="T267" s="1309">
        <v>0</v>
      </c>
      <c r="U267" s="450">
        <f t="shared" si="67"/>
        <v>1</v>
      </c>
      <c r="V267" s="450">
        <v>0</v>
      </c>
      <c r="W267" s="450">
        <v>0</v>
      </c>
      <c r="X267" s="451">
        <f t="shared" si="62"/>
        <v>1</v>
      </c>
      <c r="Y267" s="446">
        <f t="shared" si="63"/>
        <v>8796.3197390748373</v>
      </c>
      <c r="Z267" s="446">
        <f t="shared" si="68"/>
        <v>5387.2665902142116</v>
      </c>
      <c r="AA267" s="446">
        <v>0</v>
      </c>
      <c r="AB267">
        <f>SUMPRODUCT($F$22:$F$24,$L$16:$L$18)*X267</f>
        <v>921.65006995070587</v>
      </c>
      <c r="AC267" s="446">
        <v>0</v>
      </c>
      <c r="AD267" s="446">
        <v>0</v>
      </c>
      <c r="AE267" s="446">
        <v>0</v>
      </c>
      <c r="AF267" s="447">
        <f t="shared" si="71"/>
        <v>15105.236399239755</v>
      </c>
      <c r="AG267" s="452">
        <f t="shared" si="73"/>
        <v>497.90997340623619</v>
      </c>
      <c r="AH267" s="453">
        <f t="shared" si="70"/>
        <v>30.562715739747482</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27.667065172182923</v>
      </c>
      <c r="R268" s="1309">
        <f>(J$15+1-$J$15)*$O$2+25</f>
        <v>65.16326530612244</v>
      </c>
      <c r="S268" s="1309">
        <v>0</v>
      </c>
      <c r="T268" s="1309">
        <v>0</v>
      </c>
      <c r="U268" s="450">
        <f t="shared" si="67"/>
        <v>1</v>
      </c>
      <c r="V268" s="450">
        <v>0</v>
      </c>
      <c r="W268" s="450">
        <v>0</v>
      </c>
      <c r="X268" s="451">
        <f t="shared" si="62"/>
        <v>1</v>
      </c>
      <c r="Y268" s="446">
        <f t="shared" si="63"/>
        <v>7840.1980283058338</v>
      </c>
      <c r="Z268" s="446">
        <f t="shared" si="68"/>
        <v>4913.0915797451034</v>
      </c>
      <c r="AA268" s="446">
        <v>0</v>
      </c>
      <c r="AB268">
        <f>SUMPRODUCT($F$23:$F$25,$M$16:$M$18)*X268</f>
        <v>1190.4605772048644</v>
      </c>
      <c r="AC268" s="446">
        <v>0</v>
      </c>
      <c r="AD268" s="446">
        <v>0</v>
      </c>
      <c r="AE268" s="446">
        <v>0</v>
      </c>
      <c r="AF268" s="447">
        <f t="shared" si="71"/>
        <v>13943.750185255802</v>
      </c>
      <c r="AG268" s="452">
        <f t="shared" si="73"/>
        <v>503.98371126385877</v>
      </c>
      <c r="AH268" s="453">
        <f t="shared" si="70"/>
        <v>24.532934827817073</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506</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30.33728426025251</v>
      </c>
      <c r="R269" s="1309">
        <f>(K$15+1-$J$15)*$O$2+25</f>
        <v>105.32653061224489</v>
      </c>
      <c r="S269" s="1309">
        <v>0</v>
      </c>
      <c r="T269" s="1309">
        <v>0</v>
      </c>
      <c r="U269" s="450">
        <f t="shared" si="67"/>
        <v>1</v>
      </c>
      <c r="V269" s="450">
        <v>0</v>
      </c>
      <c r="W269" s="450">
        <v>0</v>
      </c>
      <c r="X269" s="451">
        <f t="shared" si="62"/>
        <v>1</v>
      </c>
      <c r="Y269" s="446">
        <f t="shared" si="63"/>
        <v>8796.3197390748373</v>
      </c>
      <c r="Z269" s="446">
        <f t="shared" si="68"/>
        <v>5387.2665902142116</v>
      </c>
      <c r="AA269" s="446">
        <v>0</v>
      </c>
      <c r="AB269">
        <f>SUMPRODUCT($F$23:$F$25,$M$16:$M$18)*X269</f>
        <v>1190.4605772048644</v>
      </c>
      <c r="AC269" s="446">
        <v>0</v>
      </c>
      <c r="AD269" s="446">
        <v>0</v>
      </c>
      <c r="AE269" s="446">
        <v>0</v>
      </c>
      <c r="AF269" s="447">
        <f t="shared" si="71"/>
        <v>15374.046906493913</v>
      </c>
      <c r="AG269" s="452">
        <f t="shared" si="73"/>
        <v>506.77070414759493</v>
      </c>
      <c r="AH269" s="453">
        <f t="shared" si="70"/>
        <v>26.212715739747487</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505</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33.007503348322103</v>
      </c>
      <c r="R270" s="1309">
        <f>(L$15+1-$J$15)*$O$2+25</f>
        <v>145.48979591836735</v>
      </c>
      <c r="S270" s="1309">
        <v>0</v>
      </c>
      <c r="T270" s="1309">
        <v>0</v>
      </c>
      <c r="U270" s="450">
        <f t="shared" si="67"/>
        <v>1</v>
      </c>
      <c r="V270" s="450">
        <v>0</v>
      </c>
      <c r="W270" s="450">
        <v>0</v>
      </c>
      <c r="X270" s="451">
        <f t="shared" si="62"/>
        <v>1</v>
      </c>
      <c r="Y270" s="446">
        <f t="shared" si="63"/>
        <v>9752.4414498438418</v>
      </c>
      <c r="Z270" s="446">
        <f t="shared" si="68"/>
        <v>5861.4416006833208</v>
      </c>
      <c r="AA270" s="446">
        <v>0</v>
      </c>
      <c r="AB270">
        <f>SUMPRODUCT($F$23:$F$25,$M$16:$M$18)*X270</f>
        <v>1190.4605772048644</v>
      </c>
      <c r="AC270" s="446">
        <v>0</v>
      </c>
      <c r="AD270" s="446">
        <v>0</v>
      </c>
      <c r="AE270" s="446">
        <v>0</v>
      </c>
      <c r="AF270" s="447">
        <f t="shared" si="71"/>
        <v>16804.343627732025</v>
      </c>
      <c r="AG270" s="452">
        <f t="shared" si="73"/>
        <v>509.1067764319792</v>
      </c>
      <c r="AH270" s="453">
        <f t="shared" si="70"/>
        <v>27.892496651677888</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30.33728426025251</v>
      </c>
      <c r="R271" s="1309">
        <f>(J$15+1-$J$15)*$O$2+25</f>
        <v>65.16326530612244</v>
      </c>
      <c r="S271" s="1309">
        <v>0</v>
      </c>
      <c r="T271" s="1309">
        <v>0</v>
      </c>
      <c r="U271" s="450">
        <f t="shared" si="67"/>
        <v>1</v>
      </c>
      <c r="V271" s="450">
        <v>0</v>
      </c>
      <c r="W271" s="450">
        <v>0</v>
      </c>
      <c r="X271" s="451">
        <f t="shared" si="62"/>
        <v>1</v>
      </c>
      <c r="Y271" s="446">
        <f t="shared" si="63"/>
        <v>8796.3197390748373</v>
      </c>
      <c r="Z271" s="446">
        <f t="shared" si="68"/>
        <v>5387.2665902142116</v>
      </c>
      <c r="AA271" s="446">
        <v>0</v>
      </c>
      <c r="AB271">
        <f>SUMPRODUCT($F$24:$F$26,$N$16:$N$18)*X271</f>
        <v>1459.2710844590233</v>
      </c>
      <c r="AC271" s="446">
        <v>0</v>
      </c>
      <c r="AD271" s="446">
        <v>0</v>
      </c>
      <c r="AE271" s="446">
        <v>0</v>
      </c>
      <c r="AF271" s="447">
        <f t="shared" si="71"/>
        <v>15642.857413748074</v>
      </c>
      <c r="AG271" s="452">
        <f t="shared" si="73"/>
        <v>515.63143488895378</v>
      </c>
      <c r="AH271" s="453">
        <f t="shared" si="70"/>
        <v>21.862715739747486</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728</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33.007503348322103</v>
      </c>
      <c r="R272" s="1309">
        <f>(K$15+1-$J$15)*$O$2+25</f>
        <v>105.32653061224489</v>
      </c>
      <c r="S272" s="1309">
        <v>0</v>
      </c>
      <c r="T272" s="1309">
        <v>0</v>
      </c>
      <c r="U272" s="450">
        <f t="shared" si="67"/>
        <v>1</v>
      </c>
      <c r="V272" s="450">
        <v>0</v>
      </c>
      <c r="W272" s="450">
        <v>0</v>
      </c>
      <c r="X272" s="451">
        <f t="shared" si="62"/>
        <v>1</v>
      </c>
      <c r="Y272" s="446">
        <f t="shared" si="63"/>
        <v>9752.4414498438418</v>
      </c>
      <c r="Z272" s="446">
        <f t="shared" si="68"/>
        <v>5861.4416006833208</v>
      </c>
      <c r="AA272" s="446">
        <v>0</v>
      </c>
      <c r="AB272">
        <f>SUMPRODUCT($F$24:$F$26,$N$16:$N$18)*X272</f>
        <v>1459.2710844590233</v>
      </c>
      <c r="AC272" s="446">
        <v>0</v>
      </c>
      <c r="AD272" s="446">
        <v>0</v>
      </c>
      <c r="AE272" s="446">
        <v>0</v>
      </c>
      <c r="AF272" s="447">
        <f t="shared" si="71"/>
        <v>17073.154134986184</v>
      </c>
      <c r="AG272" s="452">
        <f t="shared" si="73"/>
        <v>517.25069766156901</v>
      </c>
      <c r="AH272" s="453">
        <f t="shared" si="70"/>
        <v>23.542496651677894</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35.677722436391697</v>
      </c>
      <c r="R273" s="1309">
        <f>(L$15+1-$J$15)*$O$2+25</f>
        <v>145.48979591836735</v>
      </c>
      <c r="S273" s="1309">
        <v>0</v>
      </c>
      <c r="T273" s="1309">
        <v>0</v>
      </c>
      <c r="U273" s="450">
        <f t="shared" si="67"/>
        <v>1</v>
      </c>
      <c r="V273" s="450">
        <v>0</v>
      </c>
      <c r="W273" s="450">
        <v>0</v>
      </c>
      <c r="X273" s="451">
        <f t="shared" si="62"/>
        <v>1</v>
      </c>
      <c r="Y273" s="446">
        <f t="shared" si="63"/>
        <v>10708.563160612846</v>
      </c>
      <c r="Z273" s="446">
        <f t="shared" si="68"/>
        <v>6335.6166111524299</v>
      </c>
      <c r="AA273" s="446">
        <v>0</v>
      </c>
      <c r="AB273">
        <f>SUMPRODUCT($F$24:$F$26,$N$16:$N$18)*X273</f>
        <v>1459.2710844590233</v>
      </c>
      <c r="AC273" s="446">
        <v>0</v>
      </c>
      <c r="AD273" s="446">
        <v>0</v>
      </c>
      <c r="AE273" s="446">
        <v>0</v>
      </c>
      <c r="AF273" s="447">
        <f t="shared" si="71"/>
        <v>18503.450856224299</v>
      </c>
      <c r="AG273" s="452">
        <f t="shared" si="73"/>
        <v>518.62758025581138</v>
      </c>
      <c r="AH273" s="453">
        <f t="shared" si="70"/>
        <v>25.222277563608294</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14.25706933247012</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4206.9355273836181</v>
      </c>
      <c r="Z274" s="446">
        <f t="shared" si="68"/>
        <v>0</v>
      </c>
      <c r="AA274" s="446">
        <v>0</v>
      </c>
      <c r="AB274" s="446">
        <v>0</v>
      </c>
      <c r="AC274" s="446">
        <v>0</v>
      </c>
      <c r="AD274" s="446">
        <f t="shared" ref="AD274:AD284" si="75">IF(AND(forceea,physicaldps=0),4000,(physicaldps*armorpostEA-physicaldps*armorpreEA))*Q274*W274</f>
        <v>0</v>
      </c>
      <c r="AE274" s="446">
        <v>0</v>
      </c>
      <c r="AF274" s="447">
        <f t="shared" si="71"/>
        <v>4206.9355273836181</v>
      </c>
      <c r="AG274" s="452">
        <f t="shared" si="73"/>
        <v>295.07715991830293</v>
      </c>
      <c r="AH274" s="453">
        <f t="shared" si="70"/>
        <v>-14.25706933247012</v>
      </c>
      <c r="AI274" s="104">
        <v>0</v>
      </c>
      <c r="AJ274" s="454">
        <f t="shared" ref="AJ274:AJ284" si="76">P274-$Q274</f>
        <v>15.74293066752988</v>
      </c>
      <c r="AK274" s="455" t="str">
        <f>IF(instatk="Mut","5-5ea",IF(Sealfate&gt;0,"5-5ea","5ea"))</f>
        <v>5ea</v>
      </c>
      <c r="AL274" t="str">
        <f>IF(AND(OR(allowrupt,NOT(D274)),OR(AND(poison,allowenv),NOT(F274)),$X$2-AG274&lt;50),MAX($AL$55:$AL273)+1,"")</f>
        <v/>
      </c>
      <c r="AQ274" t="b">
        <v>1</v>
      </c>
    </row>
    <row r="275" spans="1:43">
      <c r="B275" s="15" t="s">
        <v>3179</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16.158312420109564</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4589.3842116912201</v>
      </c>
      <c r="Z275" s="446">
        <f t="shared" si="68"/>
        <v>2869.3780204034333</v>
      </c>
      <c r="AA275" s="446">
        <v>0</v>
      </c>
      <c r="AB275" s="446">
        <v>0</v>
      </c>
      <c r="AC275" s="446">
        <v>0</v>
      </c>
      <c r="AD275" s="446">
        <f t="shared" si="75"/>
        <v>0</v>
      </c>
      <c r="AE275" s="446">
        <v>0</v>
      </c>
      <c r="AF275" s="447">
        <f t="shared" si="71"/>
        <v>7458.7622320946539</v>
      </c>
      <c r="AG275" s="452">
        <f t="shared" si="73"/>
        <v>461.60527400200368</v>
      </c>
      <c r="AH275" s="453">
        <f t="shared" si="70"/>
        <v>1.241687579890435</v>
      </c>
      <c r="AI275" s="104">
        <v>0</v>
      </c>
      <c r="AJ275" s="454">
        <f t="shared" si="76"/>
        <v>13.841687579890436</v>
      </c>
      <c r="AK275" s="455" t="str">
        <f>IF(instatk="Mut","5-5ea/1-3s",IF(Sealfate&gt;0,"5-5ea/1-2s","5ea/1s"))</f>
        <v>5ea/1s</v>
      </c>
      <c r="AL275" t="str">
        <f>IF(AND(OR(allowrupt,NOT(D275)),OR(AND(poison,allowenv),NOT(F275)),$X$2-AG275&lt;50),MAX($AL$55:$AL274)+1,"")</f>
        <v/>
      </c>
      <c r="AQ275" t="b">
        <v>1</v>
      </c>
    </row>
    <row r="276" spans="1:43">
      <c r="B276" s="15" t="s">
        <v>3180</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18.828531508179157</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5545.5059224602237</v>
      </c>
      <c r="Z276" s="446">
        <f t="shared" si="68"/>
        <v>3343.5530308725429</v>
      </c>
      <c r="AA276" s="446">
        <v>0</v>
      </c>
      <c r="AB276" s="446">
        <v>0</v>
      </c>
      <c r="AC276" s="446">
        <v>0</v>
      </c>
      <c r="AD276" s="446">
        <f t="shared" si="75"/>
        <v>0</v>
      </c>
      <c r="AE276" s="446">
        <v>0</v>
      </c>
      <c r="AF276" s="447">
        <f t="shared" si="71"/>
        <v>8889.0589533327657</v>
      </c>
      <c r="AG276" s="452">
        <f t="shared" si="73"/>
        <v>472.10580121298034</v>
      </c>
      <c r="AH276" s="453">
        <f t="shared" si="70"/>
        <v>2.9214684918208427</v>
      </c>
      <c r="AI276" s="104">
        <v>0</v>
      </c>
      <c r="AJ276" s="454">
        <f t="shared" si="76"/>
        <v>11.171468491820843</v>
      </c>
      <c r="AK276" s="455" t="str">
        <f>IF(instatk="Mut","5-5ea/2-4s",IF(Sealfate&gt;0,"5-5ea/2-3s","5ea/2s"))</f>
        <v>5ea/2s</v>
      </c>
      <c r="AL276" t="str">
        <f>IF(AND(OR(allowrupt,NOT(D276)),OR(AND(poison,allowenv),NOT(F276)),$X$2-AG276&lt;50),MAX($AL$55:$AL275)+1,"")</f>
        <v/>
      </c>
      <c r="AQ276" t="b">
        <v>1</v>
      </c>
    </row>
    <row r="277" spans="1:43">
      <c r="B277" s="15" t="s">
        <v>3181</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21.498750596248744</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6501.6276332292282</v>
      </c>
      <c r="Z277" s="446">
        <f t="shared" si="68"/>
        <v>3817.7280413416511</v>
      </c>
      <c r="AA277" s="446">
        <v>0</v>
      </c>
      <c r="AB277" s="446">
        <v>0</v>
      </c>
      <c r="AC277" s="446">
        <v>0</v>
      </c>
      <c r="AD277" s="446">
        <f t="shared" si="75"/>
        <v>0</v>
      </c>
      <c r="AE277" s="446">
        <v>0</v>
      </c>
      <c r="AF277" s="447">
        <f t="shared" si="71"/>
        <v>10319.355674570879</v>
      </c>
      <c r="AG277" s="452">
        <f t="shared" si="73"/>
        <v>479.99792491994742</v>
      </c>
      <c r="AH277" s="453">
        <f t="shared" si="70"/>
        <v>4.6012494037512539</v>
      </c>
      <c r="AI277" s="104">
        <v>0</v>
      </c>
      <c r="AJ277" s="454">
        <f t="shared" si="76"/>
        <v>8.501249403751256</v>
      </c>
      <c r="AK277" s="455" t="str">
        <f>IF(instatk="Mut","5-5ea/3-5s",IF(Sealfate&gt;0,"5-5ea/3-4s","5ea/3s"))</f>
        <v>5ea/3s</v>
      </c>
      <c r="AL277" t="str">
        <f>IF(AND(OR(allowrupt,NOT(D277)),OR(AND(poison,allowenv),NOT(F277)),$X$2-AG277&lt;50),MAX($AL$55:$AL276)+1,"")</f>
        <v/>
      </c>
      <c r="AQ277" t="b">
        <v>1</v>
      </c>
    </row>
    <row r="278" spans="1:43">
      <c r="B278" s="15" t="s">
        <v>3182</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24.168969684318338</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7457.7493439982318</v>
      </c>
      <c r="Z278" s="446">
        <f t="shared" si="68"/>
        <v>4291.9030518107611</v>
      </c>
      <c r="AA278" s="446">
        <v>0</v>
      </c>
      <c r="AB278" s="446">
        <v>0</v>
      </c>
      <c r="AC278" s="446">
        <v>0</v>
      </c>
      <c r="AD278" s="446">
        <f t="shared" si="75"/>
        <v>0</v>
      </c>
      <c r="AE278" s="446">
        <v>0</v>
      </c>
      <c r="AF278" s="447">
        <f t="shared" si="71"/>
        <v>11749.652395808993</v>
      </c>
      <c r="AG278" s="452">
        <f t="shared" si="73"/>
        <v>486.14618451992072</v>
      </c>
      <c r="AH278" s="453">
        <f t="shared" si="70"/>
        <v>6.2810303156816616</v>
      </c>
      <c r="AI278" s="104">
        <v>0</v>
      </c>
      <c r="AJ278" s="454">
        <f t="shared" si="76"/>
        <v>5.8310303156816623</v>
      </c>
      <c r="AK278" s="455" t="str">
        <f>IF(instatk="Mut","5-5ea/4-5s",IF(Sealfate&gt;0,"5-5ea/4-5s","5ea/4s"))</f>
        <v>5ea/4s</v>
      </c>
      <c r="AL278" t="str">
        <f>IF(AND(OR(allowrupt,NOT(D278)),OR(AND(poison,allowenv),NOT(F278)),$X$2-AG278&lt;50),MAX($AL$55:$AL277)+1,"")</f>
        <v/>
      </c>
      <c r="AQ278" t="b">
        <v>1</v>
      </c>
    </row>
    <row r="279" spans="1:43" ht="12.75" customHeight="1">
      <c r="B279" s="15" t="s">
        <v>3183</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26.839188772387924</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8413.8710547672363</v>
      </c>
      <c r="Z279" s="446">
        <f t="shared" si="68"/>
        <v>4766.0780622798693</v>
      </c>
      <c r="AA279" s="446">
        <v>0</v>
      </c>
      <c r="AB279" s="446">
        <v>0</v>
      </c>
      <c r="AC279" s="446">
        <v>0</v>
      </c>
      <c r="AD279" s="446">
        <f t="shared" si="75"/>
        <v>0</v>
      </c>
      <c r="AE279" s="446">
        <v>0</v>
      </c>
      <c r="AF279" s="447">
        <f t="shared" si="71"/>
        <v>13179.949117047105</v>
      </c>
      <c r="AG279" s="452">
        <f t="shared" si="73"/>
        <v>491.07106883225163</v>
      </c>
      <c r="AH279" s="453">
        <f t="shared" si="70"/>
        <v>7.9608112276120728</v>
      </c>
      <c r="AI279" s="104">
        <v>0</v>
      </c>
      <c r="AJ279" s="454">
        <f t="shared" si="76"/>
        <v>3.1608112276120757</v>
      </c>
      <c r="AK279" s="455" t="str">
        <f>IF(instatk="Mut","5-5ea/5-5s",IF(Sealfate&gt;0,"5-5ea/5-5s","5ea/5s"))</f>
        <v>5ea/5s</v>
      </c>
      <c r="AL279" t="str">
        <f>IF(AND(OR(allowrupt,NOT(D279)),OR(AND(poison,allowenv),NOT(F279)),$X$2-AG279&lt;50),MAX($AL$55:$AL278)+1,"")</f>
        <v/>
      </c>
      <c r="AQ279" t="b">
        <v>1</v>
      </c>
    </row>
    <row r="280" spans="1:43" ht="12.75" customHeight="1">
      <c r="B280" s="15" t="s">
        <v>3184</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26.907687718233937</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7840.1980283058338</v>
      </c>
      <c r="Z280" s="446">
        <f t="shared" si="68"/>
        <v>4778.2420410742598</v>
      </c>
      <c r="AA280" s="446">
        <v>0</v>
      </c>
      <c r="AB280" s="446">
        <v>0</v>
      </c>
      <c r="AC280" s="446">
        <v>0</v>
      </c>
      <c r="AD280" s="446">
        <f t="shared" si="75"/>
        <v>0</v>
      </c>
      <c r="AE280" s="446">
        <v>0</v>
      </c>
      <c r="AF280" s="447">
        <f t="shared" si="71"/>
        <v>12618.440069380093</v>
      </c>
      <c r="AG280" s="452">
        <f t="shared" si="73"/>
        <v>468.9529699287105</v>
      </c>
      <c r="AH280" s="453">
        <f t="shared" si="70"/>
        <v>20.942312281766057</v>
      </c>
      <c r="AI280" s="104">
        <v>0</v>
      </c>
      <c r="AJ280" s="454">
        <f t="shared" si="76"/>
        <v>3.0923122817660627</v>
      </c>
      <c r="AK280" s="455" t="str">
        <f>IF(instatk="Mut","5-5ea/1-3s/4s-5s",IF(Sealfate&gt;0,"5-5ea/1-2s/4s-5s","5ea/1s/4s"))</f>
        <v>5ea/1s/4s</v>
      </c>
      <c r="AL280" t="str">
        <f>IF(AND(OR(allowrupt,NOT(D280)),OR(AND(poison,allowenv),NOT(F280)),$X$2-AG280&lt;50),MAX($AL$55:$AL279)+1,"")</f>
        <v/>
      </c>
      <c r="AQ280" t="b">
        <v>1</v>
      </c>
    </row>
    <row r="281" spans="1:43" ht="12.75" customHeight="1">
      <c r="B281" s="15" t="s">
        <v>3185</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29.577906806303528</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8796.3197390748373</v>
      </c>
      <c r="Z281" s="446">
        <f t="shared" si="68"/>
        <v>5252.417051543368</v>
      </c>
      <c r="AA281" s="446">
        <v>0</v>
      </c>
      <c r="AB281" s="446">
        <v>0</v>
      </c>
      <c r="AC281" s="446">
        <v>0</v>
      </c>
      <c r="AD281" s="446">
        <f t="shared" si="75"/>
        <v>0</v>
      </c>
      <c r="AE281" s="446">
        <v>0</v>
      </c>
      <c r="AF281" s="447">
        <f t="shared" si="71"/>
        <v>14048.736790618204</v>
      </c>
      <c r="AG281" s="452">
        <f t="shared" si="73"/>
        <v>474.97400281294392</v>
      </c>
      <c r="AH281" s="453">
        <f t="shared" si="70"/>
        <v>22.622093193696475</v>
      </c>
      <c r="AI281" s="104">
        <v>0</v>
      </c>
      <c r="AJ281" s="454">
        <f t="shared" si="76"/>
        <v>0.42209319369647247</v>
      </c>
      <c r="AK281" s="455" t="str">
        <f>IF(instatk="Mut","5-5ea/2-4s/4s-5s",IF(Sealfate&gt;0,"5-5ea/2-3s/4s-5s","5ea/2s/4s"))</f>
        <v>5ea/2s/4s</v>
      </c>
      <c r="AL281" t="str">
        <f>IF(AND(OR(allowrupt,NOT(D281)),OR(AND(poison,allowenv),NOT(F281)),$X$2-AG281&lt;50),MAX($AL$55:$AL280)+1,"")</f>
        <v/>
      </c>
      <c r="AQ281" t="b">
        <v>1</v>
      </c>
    </row>
    <row r="282" spans="1:43" ht="12.75" customHeight="1">
      <c r="B282" s="15" t="s">
        <v>3186</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29.577906806303528</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8796.3197390748373</v>
      </c>
      <c r="Z282" s="446">
        <f t="shared" si="68"/>
        <v>5252.417051543368</v>
      </c>
      <c r="AA282" s="446">
        <v>0</v>
      </c>
      <c r="AB282" s="446">
        <v>0</v>
      </c>
      <c r="AC282" s="446">
        <v>0</v>
      </c>
      <c r="AD282" s="446">
        <f t="shared" si="75"/>
        <v>0</v>
      </c>
      <c r="AE282" s="446">
        <v>0</v>
      </c>
      <c r="AF282" s="447">
        <f t="shared" si="71"/>
        <v>14048.736790618204</v>
      </c>
      <c r="AG282" s="452">
        <f t="shared" si="73"/>
        <v>474.97400281294392</v>
      </c>
      <c r="AH282" s="453">
        <f t="shared" si="70"/>
        <v>22.622093193696468</v>
      </c>
      <c r="AI282" s="104">
        <v>0</v>
      </c>
      <c r="AJ282" s="454">
        <f t="shared" si="76"/>
        <v>0.42209319369647247</v>
      </c>
      <c r="AK282" s="455" t="str">
        <f>IF(instatk="Mut","5-5ea/1-3s/5s-5s",IF(Sealfate&gt;0,"5-5ea/1-2s/5s-5s","5ea/1s/5s"))</f>
        <v>5ea/1s/5s</v>
      </c>
      <c r="AL282" t="str">
        <f>IF(AND(OR(allowrupt,NOT(D282)),OR(AND(poison,allowenv),NOT(F282)),$X$2-AG282&lt;50),MAX($AL$55:$AL281)+1,"")</f>
        <v/>
      </c>
      <c r="AQ282" t="b">
        <v>1</v>
      </c>
    </row>
    <row r="283" spans="1:43" ht="12.75" customHeight="1">
      <c r="B283" s="15" t="s">
        <v>3187</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32.248125894373118</v>
      </c>
      <c r="R283" s="1309">
        <f>(K$15+N$15+1-$J$15)*$O$2+$E$45+25</f>
        <v>282.04489795918369</v>
      </c>
      <c r="S283" s="1309">
        <v>0</v>
      </c>
      <c r="T283" s="1309">
        <f t="shared" si="78"/>
        <v>225.81632653061223</v>
      </c>
      <c r="U283" s="450">
        <f t="shared" si="67"/>
        <v>1</v>
      </c>
      <c r="V283" s="450">
        <v>0</v>
      </c>
      <c r="W283" s="450">
        <f t="shared" si="74"/>
        <v>0.93028661877168539</v>
      </c>
      <c r="X283" s="451">
        <f t="shared" si="62"/>
        <v>1</v>
      </c>
      <c r="Y283" s="446">
        <f t="shared" si="63"/>
        <v>9752.4414498438418</v>
      </c>
      <c r="Z283" s="446">
        <f t="shared" si="68"/>
        <v>5726.5920620124771</v>
      </c>
      <c r="AA283" s="446">
        <v>0</v>
      </c>
      <c r="AB283" s="446">
        <v>0</v>
      </c>
      <c r="AC283" s="446">
        <v>0</v>
      </c>
      <c r="AD283" s="446">
        <f t="shared" si="75"/>
        <v>0</v>
      </c>
      <c r="AE283" s="446">
        <v>0</v>
      </c>
      <c r="AF283" s="447">
        <f t="shared" si="71"/>
        <v>15479.03351185632</v>
      </c>
      <c r="AG283" s="452">
        <f t="shared" si="73"/>
        <v>479.99792491994742</v>
      </c>
      <c r="AH283" s="453">
        <f t="shared" si="70"/>
        <v>24.301874105626879</v>
      </c>
      <c r="AI283" s="104">
        <v>0</v>
      </c>
      <c r="AJ283" s="454">
        <f t="shared" si="76"/>
        <v>-2.2481258943731177</v>
      </c>
      <c r="AK283" s="455" t="str">
        <f>IF(instatk="Mut","5-5ea/2-4s/5s-5s",IF(Sealfate&gt;0,"5-5ea/2-3s/5s-5s","5ea/2s/5s"))</f>
        <v>5ea/2s/5s</v>
      </c>
      <c r="AL283" t="str">
        <f>IF(AND(OR(allowrupt,NOT(D283)),OR(AND(poison,allowenv),NOT(F283)),$X$2-AG283&lt;50),MAX($AL$55:$AL282)+1,"")</f>
        <v/>
      </c>
      <c r="AQ283" t="b">
        <v>1</v>
      </c>
    </row>
    <row r="284" spans="1:43" ht="12.75" customHeight="1">
      <c r="B284" s="15" t="s">
        <v>3188</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34.918344982442711</v>
      </c>
      <c r="R284" s="1309">
        <f>(L$15+N$15+1-$J$15)*$O$2+$E$45+25</f>
        <v>322.2081632653061</v>
      </c>
      <c r="S284" s="1309">
        <v>0</v>
      </c>
      <c r="T284" s="1309">
        <f t="shared" si="78"/>
        <v>225.81632653061223</v>
      </c>
      <c r="U284" s="450">
        <f t="shared" si="67"/>
        <v>1</v>
      </c>
      <c r="V284" s="450">
        <v>0</v>
      </c>
      <c r="W284" s="450">
        <f t="shared" si="74"/>
        <v>0.85914724810366283</v>
      </c>
      <c r="X284" s="451">
        <f t="shared" si="62"/>
        <v>1</v>
      </c>
      <c r="Y284" s="446">
        <f t="shared" si="63"/>
        <v>10708.563160612846</v>
      </c>
      <c r="Z284" s="446">
        <f t="shared" si="68"/>
        <v>6200.7670724815862</v>
      </c>
      <c r="AA284" s="446">
        <v>0</v>
      </c>
      <c r="AB284" s="446">
        <v>0</v>
      </c>
      <c r="AC284" s="446">
        <v>0</v>
      </c>
      <c r="AD284" s="446">
        <f t="shared" si="75"/>
        <v>0</v>
      </c>
      <c r="AE284" s="446">
        <v>0</v>
      </c>
      <c r="AF284" s="447">
        <f t="shared" si="71"/>
        <v>16909.330233094432</v>
      </c>
      <c r="AG284" s="452">
        <f t="shared" si="73"/>
        <v>484.25348456797167</v>
      </c>
      <c r="AH284" s="453">
        <f t="shared" si="70"/>
        <v>25.98165501755728</v>
      </c>
      <c r="AI284" s="104">
        <v>0</v>
      </c>
      <c r="AJ284" s="454">
        <f t="shared" si="76"/>
        <v>-4.9183449824427115</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2"/>
      <c r="R285" s="1373"/>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51" priority="1" stopIfTrue="1">
      <formula>($J$52-$L$52)&gt;0</formula>
    </cfRule>
    <cfRule type="expression" dxfId="50"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CommandButton">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1665</v>
      </c>
      <c r="B1" s="1152" t="s">
        <v>1659</v>
      </c>
      <c r="C1" s="1152" t="s">
        <v>3034</v>
      </c>
      <c r="D1" s="1152" t="s">
        <v>665</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1660</v>
      </c>
      <c r="B1" s="587" t="s">
        <v>877</v>
      </c>
      <c r="C1" s="587" t="s">
        <v>531</v>
      </c>
      <c r="D1" s="587" t="s">
        <v>532</v>
      </c>
      <c r="E1" s="587" t="s">
        <v>533</v>
      </c>
      <c r="F1" s="588" t="s">
        <v>2327</v>
      </c>
      <c r="G1" s="1370" t="s">
        <v>3147</v>
      </c>
    </row>
    <row r="2" spans="1:7">
      <c r="A2" s="6" t="s">
        <v>1937</v>
      </c>
      <c r="B2" s="371">
        <v>0.29170504818160159</v>
      </c>
      <c r="C2" s="371">
        <v>0.30745805848710167</v>
      </c>
      <c r="D2" s="371">
        <f>10/(20+1/('Damage Calc'!I80*'Damage Calc'!L80))</f>
        <v>0.30745805848710167</v>
      </c>
      <c r="E2" s="120">
        <f>IF(OR(trinket1="Dragonspine Trophy",trinket2="Dragonspine Trophy"),325*(D2-itDSTup)*dpsHaste,0)</f>
        <v>0</v>
      </c>
      <c r="F2" s="6" t="s">
        <v>2306</v>
      </c>
      <c r="G2" s="504" t="s">
        <v>3148</v>
      </c>
    </row>
    <row r="3" spans="1:7">
      <c r="A3" s="6" t="s">
        <v>133</v>
      </c>
      <c r="B3" s="371">
        <v>0.51822366498619798</v>
      </c>
      <c r="C3" s="371">
        <v>0.55805079604046193</v>
      </c>
      <c r="D3" s="371">
        <f>1-(1-'Damage Calc'!L47)^(10*'Damage Calc'!I47)-IF(time=0,0,(1-'Damage Calc'!L47)^(10*'Damage Calc'!I47)*0.5*10/time)</f>
        <v>0.55805079604046193</v>
      </c>
      <c r="E3" s="120">
        <f>IF(OR(trinket1="Madness of the Betrayer",trinket2="Madness of the Betrayer"),300*(D3-itMotBup)*dpsArmor,0)</f>
        <v>0</v>
      </c>
      <c r="F3" s="6" t="s">
        <v>2307</v>
      </c>
      <c r="G3" s="504" t="s">
        <v>3146</v>
      </c>
    </row>
    <row r="4" spans="1:7">
      <c r="A4" s="6" t="s">
        <v>990</v>
      </c>
      <c r="B4" s="371">
        <v>0.40234326580194024</v>
      </c>
      <c r="C4" s="371">
        <v>0.40461321853618898</v>
      </c>
      <c r="D4" s="371">
        <f>20/(45+1/('Damage Calc'!K47*10%))</f>
        <v>0.40461321853618898</v>
      </c>
      <c r="E4" s="120">
        <f>IF(OR(trinket1="Shard of Contempt",trinket2="Shard of Contempt"),230*(D4-itSoCup)*dpsAP,0)</f>
        <v>0</v>
      </c>
      <c r="F4" s="6" t="s">
        <v>2308</v>
      </c>
      <c r="G4" s="504"/>
    </row>
    <row r="5" spans="1:7">
      <c r="A5" s="6" t="s">
        <v>142</v>
      </c>
      <c r="B5" s="371">
        <v>0.16552127638323519</v>
      </c>
      <c r="C5" s="371">
        <v>0.15754232759811618</v>
      </c>
      <c r="D5" s="371">
        <f>10/(45+1/('Damage Calc'!K58*10%))</f>
        <v>0.15754232759811618</v>
      </c>
      <c r="E5" s="120">
        <f>IF(OR(trinket1="Tsunami Talisman",trinket2="Tsunami Talisman"),340*(D5-itTTup)*dpsAP,0)</f>
        <v>0</v>
      </c>
      <c r="F5" s="6" t="s">
        <v>2310</v>
      </c>
      <c r="G5" s="504" t="s">
        <v>76</v>
      </c>
    </row>
    <row r="6" spans="1:7">
      <c r="A6" s="6" t="s">
        <v>249</v>
      </c>
      <c r="B6" s="371">
        <v>0.36728593906401125</v>
      </c>
      <c r="C6" s="371">
        <v>0.36836514501652162</v>
      </c>
      <c r="D6" s="371">
        <f>15/(30+1/(('Damage Calc'!Q17+'Damage Calc'!Q18)*25%))</f>
        <v>0.36836514501652162</v>
      </c>
      <c r="E6" s="120">
        <f>IF(OR(trinket1="Warp-Spring Coil",trinket2="Warp-Spring Coil"),1000*(D6-itWSCup)*dpsArmor,0)</f>
        <v>0</v>
      </c>
      <c r="F6" s="6" t="s">
        <v>2311</v>
      </c>
      <c r="G6" s="504" t="s">
        <v>3151</v>
      </c>
    </row>
    <row r="7" spans="1:7">
      <c r="A7" s="6" t="s">
        <v>250</v>
      </c>
      <c r="B7" s="371">
        <v>0.52329256506102406</v>
      </c>
      <c r="C7" s="371">
        <v>0.56461622930697231</v>
      </c>
      <c r="D7" s="371">
        <f>1-(1-'Damage Calc'!L48)^(15*'Damage Calc'!I48)-IF(time=0,0,(1-'Damage Calc'!L48)^(15*'Damage Calc'!I48)*0.5*15/time)</f>
        <v>0.56461622930697231</v>
      </c>
      <c r="E7" s="120">
        <f>IF('Gear &amp; Buffs'!B11="Mongoose",120*(D7-enMnMHup)*dpsAgi+2*hasterate*(D7-enMnMHup)*dpsHaste,0)</f>
        <v>0</v>
      </c>
      <c r="F7" s="6" t="s">
        <v>2307</v>
      </c>
      <c r="G7" s="504" t="s">
        <v>3149</v>
      </c>
    </row>
    <row r="8" spans="1:7">
      <c r="A8" s="6" t="s">
        <v>251</v>
      </c>
      <c r="B8" s="371">
        <v>0.29969713673447618</v>
      </c>
      <c r="C8" s="371">
        <v>0.30968688863786553</v>
      </c>
      <c r="D8" s="371">
        <f>1-(1-'Damage Calc'!L49)^(15*'Damage Calc'!I49)-IF(time=0,0,(1-'Damage Calc'!L49)^(15*'Damage Calc'!I49)*0.5*15/time)</f>
        <v>0.30968688863786553</v>
      </c>
      <c r="E8" s="120">
        <f>IF('Gear &amp; Buffs'!B17="Mongoose",120*(D8-enMnOHup)*dpsAgi+2*hasterate*(D8-enMnOHup)*dpsHaste,0)</f>
        <v>0</v>
      </c>
      <c r="F8" s="6" t="s">
        <v>2307</v>
      </c>
      <c r="G8" s="504" t="s">
        <v>3150</v>
      </c>
    </row>
    <row r="9" spans="1:7">
      <c r="A9" s="6" t="s">
        <v>1927</v>
      </c>
      <c r="B9" s="371">
        <v>0.52329256506102406</v>
      </c>
      <c r="C9" s="371">
        <v>0.56461622930697231</v>
      </c>
      <c r="D9" s="371">
        <f>1-(1-'Damage Calc'!L48)^(15*'Damage Calc'!I48)-IF(time=0,0,(1-'Damage Calc'!L48)^(15*'Damage Calc'!I48)*0.5*15/time)</f>
        <v>0.56461622930697231</v>
      </c>
      <c r="E9" s="120">
        <f>IF(AND('Gear &amp; Buffs'!B11="Executioner",NOT('Gear &amp; Buffs'!B17="Executioner")),840*(D9-enExMHup)*dpsArmor,0)</f>
        <v>0</v>
      </c>
      <c r="F9" s="6" t="s">
        <v>2307</v>
      </c>
      <c r="G9" s="504"/>
    </row>
    <row r="10" spans="1:7">
      <c r="A10" s="6" t="s">
        <v>1928</v>
      </c>
      <c r="B10" s="371">
        <v>0.29969713673447618</v>
      </c>
      <c r="C10" s="371">
        <v>0.30968688863786553</v>
      </c>
      <c r="D10" s="371">
        <f>1-(1-'Damage Calc'!L49)^(15*'Damage Calc'!I49)-IF(time=0,0,(1-'Damage Calc'!L49)^(15*'Damage Calc'!I49)*0.5*15/time)</f>
        <v>0.30968688863786553</v>
      </c>
      <c r="E10" s="120">
        <f>IF(AND(NOT('Gear &amp; Buffs'!B11="Executioner"),'Gear &amp; Buffs'!B17="Executioner"),840*(D10-enExOHup)*dpsArmor,0)</f>
        <v>0</v>
      </c>
      <c r="F10" s="6" t="s">
        <v>2307</v>
      </c>
      <c r="G10" s="504" t="s">
        <v>3145</v>
      </c>
    </row>
    <row r="11" spans="1:7" ht="12" thickBot="1">
      <c r="A11" s="6" t="s">
        <v>1929</v>
      </c>
      <c r="B11" s="371">
        <v>0.66559851660962344</v>
      </c>
      <c r="C11" s="371">
        <v>0.70622521139745531</v>
      </c>
      <c r="D11" s="371">
        <f>1-(1-'Damage Calc'!L47)^(15*'Damage Calc'!I47)-IF(time=0,0,(1-'Damage Calc'!L47)^(15*'Damage Calc'!I47)*0.5*15/time)</f>
        <v>0.70622521139745531</v>
      </c>
      <c r="E11" s="120">
        <f>IF(AND('Gear &amp; Buffs'!B11="Executioner",'Gear &amp; Buffs'!B17="Executioner"),840*(D11-enExBHup)*dpsArmor,0)</f>
        <v>0</v>
      </c>
      <c r="F11" s="6" t="s">
        <v>2307</v>
      </c>
      <c r="G11" s="505"/>
    </row>
    <row r="12" spans="1:7">
      <c r="A12" s="6" t="s">
        <v>1719</v>
      </c>
      <c r="B12" s="371">
        <v>0.15286968379242344</v>
      </c>
      <c r="C12" s="371">
        <v>0.14603869002514555</v>
      </c>
      <c r="D12" s="371">
        <f>10/(50+1/('Damage Calc'!K58*10%))</f>
        <v>0.14603869002514555</v>
      </c>
      <c r="E12" s="120">
        <f>IF(OR(trinket1="Hourglass of the Unraveller",trinket2="Hourglass of the Unraveller"),300*(D12-itHGup)*dpsAP,0)</f>
        <v>0</v>
      </c>
      <c r="F12" s="6" t="s">
        <v>2875</v>
      </c>
    </row>
    <row r="13" spans="1:7">
      <c r="A13" s="6" t="s">
        <v>523</v>
      </c>
      <c r="B13" s="371">
        <v>0.20773092034110976</v>
      </c>
      <c r="C13" s="371">
        <v>0.20853630167465081</v>
      </c>
      <c r="D13" s="371">
        <f>10/(45+1/('Damage Calc'!K47*15%))</f>
        <v>0.20853630167465081</v>
      </c>
      <c r="E13" s="120">
        <f>IF(Neck="Shattered Sun Pendant of Might (Aldor)",200*(D13-itSSPMAup)*dpsAP,0)</f>
        <v>0</v>
      </c>
      <c r="F13" s="6" t="s">
        <v>2871</v>
      </c>
    </row>
    <row r="14" spans="1:7">
      <c r="A14" s="6" t="s">
        <v>2312</v>
      </c>
      <c r="B14" s="217">
        <v>48.139198457212096</v>
      </c>
      <c r="C14" s="217">
        <v>47.953281609460788</v>
      </c>
      <c r="D14" s="217">
        <f>(45+1/('Damage Calc'!K47*15%))</f>
        <v>47.953281609460788</v>
      </c>
      <c r="E14" s="120">
        <v>0</v>
      </c>
      <c r="F14" s="6" t="s">
        <v>2871</v>
      </c>
    </row>
    <row r="15" spans="1:7">
      <c r="A15" s="6" t="s">
        <v>525</v>
      </c>
      <c r="B15" s="371">
        <v>0.20773092034110976</v>
      </c>
      <c r="C15" s="371">
        <v>0.20853630167465081</v>
      </c>
      <c r="D15" s="371">
        <f>10/(45+1/('Damage Calc'!K47*15%))</f>
        <v>0.20853630167465081</v>
      </c>
      <c r="E15" s="120">
        <v>0</v>
      </c>
      <c r="F15" s="6" t="s">
        <v>2871</v>
      </c>
    </row>
    <row r="16" spans="1:7">
      <c r="A16" s="6" t="s">
        <v>524</v>
      </c>
      <c r="B16" s="371">
        <v>0.20773092034110976</v>
      </c>
      <c r="C16" s="371">
        <v>0.20853630167465081</v>
      </c>
      <c r="D16" s="371">
        <f>10/(45+1/('Damage Calc'!K47*15%))</f>
        <v>0.20853630167465081</v>
      </c>
      <c r="E16" s="120">
        <f>IF(Neck="Shattered Sun Pendant of Resolve (Scryer)",100*(D16-itSSPRSup)*dpsExp,0)</f>
        <v>0</v>
      </c>
      <c r="F16" s="6" t="s">
        <v>2871</v>
      </c>
    </row>
    <row r="17" spans="1:6">
      <c r="A17" s="6" t="s">
        <v>1133</v>
      </c>
      <c r="B17" s="371">
        <v>0.52329256506102406</v>
      </c>
      <c r="C17" s="371">
        <v>0.56461622930697231</v>
      </c>
      <c r="D17" s="371">
        <f>1-(1-'Damage Calc'!L48)^(15*'Damage Calc'!I48)-IF(time=0,0,(1-'Damage Calc'!L48)^(15*'Damage Calc'!I48)*0.5*15/time)</f>
        <v>0.56461622930697231</v>
      </c>
      <c r="E17" s="120">
        <f>IF('Gear &amp; Buffs'!B11="Crusader",60*(D17-enCrMHup)*dpsStr,0)</f>
        <v>0</v>
      </c>
      <c r="F17" s="6" t="s">
        <v>2307</v>
      </c>
    </row>
    <row r="18" spans="1:6">
      <c r="A18" s="6" t="s">
        <v>1134</v>
      </c>
      <c r="B18" s="371">
        <v>0.29969713673447618</v>
      </c>
      <c r="C18" s="371">
        <v>0.30968688863786553</v>
      </c>
      <c r="D18" s="371">
        <f>1-(1-'Damage Calc'!L49)^(15*'Damage Calc'!I49)-IF(time=0,0,(1-'Damage Calc'!L49)^(15*'Damage Calc'!I49)*0.5*15/time)</f>
        <v>0.30968688863786553</v>
      </c>
      <c r="E18" s="120">
        <f>IF('Gear &amp; Buffs'!B17="Crusader",60*(D18-enCrOHup)*dpsStr,0)</f>
        <v>0</v>
      </c>
      <c r="F18" s="6" t="s">
        <v>2307</v>
      </c>
    </row>
    <row r="19" spans="1:6">
      <c r="A19" s="6" t="s">
        <v>100</v>
      </c>
      <c r="B19" s="371">
        <v>0.19619316642458101</v>
      </c>
      <c r="C19" s="371">
        <v>0.19931560431888201</v>
      </c>
      <c r="D19" s="371">
        <f>10/(45+1/('Damage Calc'!K48*15%))</f>
        <v>0.19931560431888201</v>
      </c>
      <c r="E19" s="120">
        <f>IF('Gear &amp; Buffs'!B12="Righteous Weapon Coating",300*(D19-enRWCmhUP)*dpsAP,0)</f>
        <v>0</v>
      </c>
      <c r="F19" s="6" t="s">
        <v>36</v>
      </c>
    </row>
    <row r="20" spans="1:6">
      <c r="A20" s="6" t="s">
        <v>101</v>
      </c>
      <c r="B20" s="371">
        <v>0.19372270034175654</v>
      </c>
      <c r="C20" s="371">
        <v>0.19618939954449016</v>
      </c>
      <c r="D20" s="371">
        <f>10/(45+1/('Damage Calc'!K49*15%))</f>
        <v>0.19618939954449016</v>
      </c>
      <c r="E20" s="120">
        <f>IF('Gear &amp; Buffs'!B18="Righteous Weapon Coating",300*(D20-enRWCohUP)*dpsAP,0)</f>
        <v>0</v>
      </c>
      <c r="F20" s="6" t="s">
        <v>36</v>
      </c>
    </row>
    <row r="21" spans="1:6">
      <c r="A21" s="6" t="s">
        <v>102</v>
      </c>
      <c r="B21" s="371">
        <v>0.20773092034110976</v>
      </c>
      <c r="C21" s="371">
        <v>0.20853630167465081</v>
      </c>
      <c r="D21" s="371">
        <f>10/(45+1/('Damage Calc'!K47*15%))</f>
        <v>0.20853630167465081</v>
      </c>
      <c r="E21" s="120">
        <f>IF(AND('Gear &amp; Buffs'!B12="Righteous Weapon Coating",'Gear &amp; Buffs'!B18="Righteous Weapon Coating"),300*(D21-enRWCbhUP)*dpsAP,0)</f>
        <v>0</v>
      </c>
      <c r="F21" s="6" t="s">
        <v>36</v>
      </c>
    </row>
    <row r="22" spans="1:6">
      <c r="A22" s="6" t="s">
        <v>2059</v>
      </c>
      <c r="B22" s="371">
        <v>0.25646610678141257</v>
      </c>
      <c r="C22" s="371">
        <v>0.28289834939915232</v>
      </c>
      <c r="D22" s="371">
        <f>1-(1-'Damage Calc'!L48)^(6*'Damage Calc'!I48)-IF(time=0,0,(1-'Damage Calc'!L48)^(6*'Damage Calc'!I48)*0.5*6/time)</f>
        <v>0.28289834939915232</v>
      </c>
      <c r="E22" s="120">
        <v>0</v>
      </c>
      <c r="F22" s="6" t="s">
        <v>2307</v>
      </c>
    </row>
    <row r="23" spans="1:6">
      <c r="A23" s="6" t="s">
        <v>2060</v>
      </c>
      <c r="B23" s="371">
        <v>0.13280980102516837</v>
      </c>
      <c r="C23" s="371">
        <v>0.13915354962187584</v>
      </c>
      <c r="D23" s="371">
        <f>1-(1-'Damage Calc'!L49)^(6*'Damage Calc'!I49)-IF(time=0,0,(1-'Damage Calc'!L48)^(6*'Damage Calc'!I48)*0.5*6/time)</f>
        <v>0.13915354962187584</v>
      </c>
      <c r="E23" s="120">
        <v>0</v>
      </c>
      <c r="F23" s="6" t="s">
        <v>2307</v>
      </c>
    </row>
    <row r="24" spans="1:6">
      <c r="A24" s="6" t="s">
        <v>2061</v>
      </c>
      <c r="B24" s="371">
        <v>0.35478080629916287</v>
      </c>
      <c r="C24" s="371">
        <v>0.38628062883500175</v>
      </c>
      <c r="D24" s="371">
        <f>1-(1-'Damage Calc'!L47)^(6*'Damage Calc'!I47)-IF(time=0,0,(1-'Damage Calc'!L48)^(6*'Damage Calc'!I48)*0.5*6/time)</f>
        <v>0.38628062883500175</v>
      </c>
      <c r="E24" s="120">
        <v>0</v>
      </c>
      <c r="F24" s="6" t="s">
        <v>2307</v>
      </c>
    </row>
    <row r="25" spans="1:6">
      <c r="A25" s="6" t="s">
        <v>2063</v>
      </c>
      <c r="B25" s="371">
        <v>4.8388681306019823E-2</v>
      </c>
      <c r="C25" s="371">
        <v>5.5859707067937678E-2</v>
      </c>
      <c r="D25" s="371">
        <f>'Damage Calc'!L48*'Damage Calc'!I48</f>
        <v>5.5859707067937678E-2</v>
      </c>
      <c r="E25" s="120">
        <v>0</v>
      </c>
      <c r="F25" s="6" t="s">
        <v>2307</v>
      </c>
    </row>
    <row r="26" spans="1:6">
      <c r="A26" s="6" t="s">
        <v>2064</v>
      </c>
      <c r="B26" s="371">
        <v>2.349719128761122E-2</v>
      </c>
      <c r="C26" s="371">
        <v>2.6051173438538348E-2</v>
      </c>
      <c r="D26" s="371">
        <f>'Damage Calc'!L49*'Damage Calc'!I49</f>
        <v>2.6051173438538348E-2</v>
      </c>
      <c r="E26" s="120">
        <v>0</v>
      </c>
      <c r="F26" s="6" t="s">
        <v>2307</v>
      </c>
    </row>
    <row r="27" spans="1:6">
      <c r="A27" s="6" t="s">
        <v>1673</v>
      </c>
      <c r="B27" s="371">
        <v>0.16890115759854415</v>
      </c>
      <c r="C27" s="371">
        <v>0.17404929717432444</v>
      </c>
      <c r="D27" s="371">
        <f>10/(45+1/('Damage Calc'!I89*'Damage Calc'!L89))</f>
        <v>0.17404929717432444</v>
      </c>
      <c r="E27" s="120">
        <f>IF(SetTB2p, 450*(D27-stTwinUP)*dpsHaste, 0)</f>
        <v>0</v>
      </c>
      <c r="F27" s="6" t="s">
        <v>1674</v>
      </c>
    </row>
    <row r="28" spans="1:6">
      <c r="A28" s="6" t="s">
        <v>2004</v>
      </c>
      <c r="B28" s="371">
        <v>0.40234326580194024</v>
      </c>
      <c r="C28" s="371">
        <v>0.40461321853618898</v>
      </c>
      <c r="D28" s="371">
        <f>20/(45+1/('Damage Calc'!K47*10%))</f>
        <v>0.40461321853618898</v>
      </c>
      <c r="E28" s="120">
        <f>IF(OR(trinket1="Blackened Naaru Sliver",trinket2="Blackened Naaru Sliver"),(D29*D28-C29*C28)*dpsAP,0)</f>
        <v>0</v>
      </c>
      <c r="F28" s="6" t="s">
        <v>2308</v>
      </c>
    </row>
    <row r="29" spans="1:6">
      <c r="A29" s="6" t="s">
        <v>2005</v>
      </c>
      <c r="B29" s="217">
        <v>393.38290291040045</v>
      </c>
      <c r="C29" s="217">
        <v>398.84515385839478</v>
      </c>
      <c r="D29" s="217">
        <f>Trinket!AG43</f>
        <v>398.84515385839478</v>
      </c>
      <c r="E29" s="120"/>
    </row>
    <row r="30" spans="1:6">
      <c r="A30" s="6" t="s">
        <v>1088</v>
      </c>
      <c r="B30" s="371">
        <v>2.1214511306480888E-2</v>
      </c>
      <c r="C30" s="371">
        <v>2.3419834716974508E-2</v>
      </c>
      <c r="D30" s="371">
        <f>1-(1-'Damage Calc'!L47)^(MIN((Cycles!J15*Cycles!O2+25-5*relent-25*dm4p1)/Cycles!C7,20)/'Damage Calc'!J47)</f>
        <v>2.3419834716974508E-2</v>
      </c>
      <c r="E30" s="120"/>
    </row>
    <row r="31" spans="1:6">
      <c r="A31" s="6" t="s">
        <v>1079</v>
      </c>
      <c r="B31" s="371">
        <v>4.1778695251399434E-2</v>
      </c>
      <c r="C31" s="371">
        <v>4.6089513457263864E-2</v>
      </c>
      <c r="D31" s="371">
        <f>1-(1-'Damage Calc'!L47)^(MIN((Cycles!K15*Cycles!O2+25-10*relent-25*dm4p1)/Cycles!C7,20)/'Damage Calc'!J47)</f>
        <v>4.6089513457263864E-2</v>
      </c>
      <c r="E31" s="120"/>
    </row>
    <row r="32" spans="1:6">
      <c r="A32" s="6" t="s">
        <v>1080</v>
      </c>
      <c r="B32" s="371">
        <v>6.1910827775240151E-2</v>
      </c>
      <c r="C32" s="371">
        <v>6.8232953438609245E-2</v>
      </c>
      <c r="D32" s="371">
        <f>1-(1-'Damage Calc'!L47)^(MIN((Cycles!L15*Cycles!O2+25-15*relent-25*dm4p1)/Cycles!C7,20)/'Damage Calc'!J47)</f>
        <v>6.8232953438609245E-2</v>
      </c>
      <c r="E32" s="120"/>
    </row>
    <row r="33" spans="1:6">
      <c r="A33" s="6" t="s">
        <v>1081</v>
      </c>
      <c r="B33" s="371">
        <v>8.1619986234583441E-2</v>
      </c>
      <c r="C33" s="371">
        <v>8.9862370415569104E-2</v>
      </c>
      <c r="D33" s="371">
        <f>1-(1-'Damage Calc'!L47)^(MIN((Cycles!M15*Cycles!O2+25-20*relent-25*dm4p1)/Cycles!C7,20)/'Damage Calc'!J47)</f>
        <v>8.9862370415569104E-2</v>
      </c>
      <c r="E33" s="120"/>
    </row>
    <row r="34" spans="1:6">
      <c r="A34" s="6" t="s">
        <v>1082</v>
      </c>
      <c r="B34" s="371">
        <v>0.10091505727166783</v>
      </c>
      <c r="C34" s="371">
        <v>0.11098969657434687</v>
      </c>
      <c r="D34" s="371">
        <f>1-(1-'Damage Calc'!L47)^(MIN((Cycles!N15*Cycles!O2+25-25*relent-25*dm4p1)/Cycles!C7,20)/'Damage Calc'!J47)</f>
        <v>0.11098969657434687</v>
      </c>
      <c r="E34" s="120"/>
    </row>
    <row r="35" spans="1:6">
      <c r="A35" s="6" t="s">
        <v>1083</v>
      </c>
      <c r="B35" s="371">
        <v>2.1214511306480888E-2</v>
      </c>
      <c r="C35" s="371">
        <v>2.3419834716974508E-2</v>
      </c>
      <c r="D35" s="371">
        <f>1-(1-'Damage Calc'!L47)^(MIN((Cycles!J15*Cycles!O2+Cycles!O3-5*relent-25*dm4p1)/Cycles!C7,20)/'Damage Calc'!J47)</f>
        <v>2.3419834716974508E-2</v>
      </c>
      <c r="E35" s="120"/>
    </row>
    <row r="36" spans="1:6">
      <c r="A36" s="6" t="s">
        <v>1084</v>
      </c>
      <c r="B36" s="371">
        <v>4.1778695251399434E-2</v>
      </c>
      <c r="C36" s="371">
        <v>4.6089513457263864E-2</v>
      </c>
      <c r="D36" s="371">
        <f>1-(1-'Damage Calc'!L47)^(MIN((Cycles!K15*Cycles!O2+Cycles!O3-10*relent-25*dm4p1)/Cycles!C7,20)/'Damage Calc'!J47)</f>
        <v>4.6089513457263864E-2</v>
      </c>
      <c r="E36" s="120"/>
    </row>
    <row r="37" spans="1:6">
      <c r="A37" s="6" t="s">
        <v>1085</v>
      </c>
      <c r="B37" s="371">
        <v>6.1910827775240151E-2</v>
      </c>
      <c r="C37" s="371">
        <v>6.8232953438609245E-2</v>
      </c>
      <c r="D37" s="371">
        <f>1-(1-'Damage Calc'!L47)^(MIN((Cycles!L15*Cycles!O2+Cycles!O3-15*relent-25*dm4p1)/Cycles!C7,20)/'Damage Calc'!J47)</f>
        <v>6.8232953438609245E-2</v>
      </c>
      <c r="E37" s="120"/>
    </row>
    <row r="38" spans="1:6">
      <c r="A38" s="6" t="s">
        <v>1086</v>
      </c>
      <c r="B38" s="371">
        <v>8.1619986234583441E-2</v>
      </c>
      <c r="C38" s="371">
        <v>8.9862370415569104E-2</v>
      </c>
      <c r="D38" s="371">
        <f>1-(1-'Damage Calc'!L47)^(MIN((Cycles!M15*Cycles!O2+Cycles!O3-20*relent-25*dm4p1)/Cycles!C7,20)/'Damage Calc'!J47)</f>
        <v>8.9862370415569104E-2</v>
      </c>
      <c r="E38" s="120"/>
    </row>
    <row r="39" spans="1:6">
      <c r="A39" s="6" t="s">
        <v>1087</v>
      </c>
      <c r="B39" s="371">
        <v>0.10091505727166783</v>
      </c>
      <c r="C39" s="371">
        <v>0.11098969657434687</v>
      </c>
      <c r="D39" s="371">
        <f>1-(1-'Damage Calc'!L47)^(MIN((Cycles!N15*Cycles!O2+Cycles!O3-25*relent-25*dm4p1)/Cycles!C7,20)/'Damage Calc'!J47)</f>
        <v>0.11098969657434687</v>
      </c>
      <c r="E39" s="120"/>
    </row>
    <row r="40" spans="1:6">
      <c r="A40" s="6" t="s">
        <v>1093</v>
      </c>
      <c r="B40" s="371">
        <v>2.7100225771663156E-2</v>
      </c>
      <c r="C40" s="371">
        <v>2.9921082443867153E-2</v>
      </c>
      <c r="D40" s="371">
        <f>1-(1-'Damage Calc'!L47)^(MIN((Cycles!J15*Cycles!O2+Cycles!O4-5*relent-25*dm4p1)/Cycles!C7,20)/'Damage Calc'!J47)</f>
        <v>2.9921082443867153E-2</v>
      </c>
      <c r="E40" s="120"/>
    </row>
    <row r="41" spans="1:6">
      <c r="A41" s="6" t="s">
        <v>1089</v>
      </c>
      <c r="B41" s="371">
        <v>4.7540751452020746E-2</v>
      </c>
      <c r="C41" s="371">
        <v>5.2439845567989973E-2</v>
      </c>
      <c r="D41" s="371">
        <f>1-(1-'Damage Calc'!L47)^(MIN((Cycles!K15*Cycles!O2+Cycles!O4-10*relent-25*dm4p1)/Cycles!C7,20)/'Damage Calc'!J47)</f>
        <v>5.2439845567989973E-2</v>
      </c>
      <c r="E41" s="120"/>
    </row>
    <row r="42" spans="1:6">
      <c r="A42" s="6" t="s">
        <v>1090</v>
      </c>
      <c r="B42" s="371">
        <v>6.7551823758909557E-2</v>
      </c>
      <c r="C42" s="371">
        <v>7.4435873187337798E-2</v>
      </c>
      <c r="D42" s="371">
        <f>1-(1-'Damage Calc'!L47)^(MIN((Cycles!L15*Cycles!O2+Cycles!O4-15*relent-25*dm4p1)/Cycles!C7,20)/'Damage Calc'!J47)</f>
        <v>7.4435873187337798E-2</v>
      </c>
      <c r="E42" s="120"/>
    </row>
    <row r="43" spans="1:6">
      <c r="A43" s="6" t="s">
        <v>1091</v>
      </c>
      <c r="B43" s="371">
        <v>8.7142465464193131E-2</v>
      </c>
      <c r="C43" s="371">
        <v>9.5921299734270105E-2</v>
      </c>
      <c r="D43" s="371">
        <f>1-(1-'Damage Calc'!L47)^(MIN((Cycles!M15*Cycles!O2+Cycles!O4-20*relent-25*dm4p1)/Cycles!C7,20)/'Damage Calc'!J47)</f>
        <v>9.5921299734270105E-2</v>
      </c>
      <c r="E43" s="120"/>
    </row>
    <row r="44" spans="1:6">
      <c r="A44" s="6" t="s">
        <v>1092</v>
      </c>
      <c r="B44" s="371">
        <v>0.10632150977221233</v>
      </c>
      <c r="C44" s="371">
        <v>0.11690797796055041</v>
      </c>
      <c r="D44" s="371">
        <f>1-(1-'Damage Calc'!L47)^(MIN((Cycles!N15*Cycles!O2+Cycles!O4-25*relent-25*dm4p1)/Cycles!C7,20)/'Damage Calc'!J47)</f>
        <v>0.11690797796055041</v>
      </c>
      <c r="E44" s="120"/>
    </row>
    <row r="45" spans="1:6">
      <c r="A45" s="6" t="s">
        <v>2234</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3009</v>
      </c>
      <c r="B46" s="217">
        <v>11.16661876292765</v>
      </c>
      <c r="C46" s="217">
        <v>12.890701631062541</v>
      </c>
      <c r="D46" s="217">
        <f>10*'Damage Calc'!K48</f>
        <v>12.890701631062541</v>
      </c>
      <c r="E46" s="120"/>
      <c r="F46" s="6" t="s">
        <v>3007</v>
      </c>
    </row>
    <row r="47" spans="1:6">
      <c r="A47" s="6" t="s">
        <v>3008</v>
      </c>
      <c r="B47" s="217">
        <v>10.070224837547666</v>
      </c>
      <c r="C47" s="217">
        <v>11.164788616516436</v>
      </c>
      <c r="D47" s="217">
        <f>10*'Damage Calc'!K49</f>
        <v>11.164788616516436</v>
      </c>
      <c r="E47" s="120"/>
      <c r="F47" s="6" t="s">
        <v>3007</v>
      </c>
    </row>
    <row r="48" spans="1:6">
      <c r="A48" s="6" t="s">
        <v>3011</v>
      </c>
      <c r="B48" s="371">
        <v>0.15209062457841166</v>
      </c>
      <c r="C48" s="371">
        <v>0.15880381578445329</v>
      </c>
      <c r="D48" s="371">
        <f>10/(45+1/('Damage Calc'!I107*'Damage Calc'!L107))</f>
        <v>0.15880381578445329</v>
      </c>
      <c r="E48" s="120">
        <f>IF(mh="The Bladefist", 180*(D48-itTBFup)*dpsHaste, 0)</f>
        <v>0</v>
      </c>
      <c r="F48" s="6" t="s">
        <v>1674</v>
      </c>
    </row>
    <row r="49" spans="1:6">
      <c r="A49" s="6" t="s">
        <v>2237</v>
      </c>
      <c r="B49" s="371">
        <v>0.38975913970519804</v>
      </c>
      <c r="C49" s="371">
        <v>0.42551658077912685</v>
      </c>
      <c r="D49" s="371">
        <f>1-(1-'Damage Calc'!$L$48)^(10*'Damage Calc'!$I$48)-IF(time=0,0,(1-'Damage Calc'!$L$48)^(10*'Damage Calc'!$I$48)*0.5*10/time)</f>
        <v>0.42551658077912685</v>
      </c>
      <c r="E49" s="120">
        <f>IF(mh="Heartrazor",270*(D49-itHRmhUP)*dpsAP,0)</f>
        <v>0</v>
      </c>
      <c r="F49" s="6" t="s">
        <v>2307</v>
      </c>
    </row>
    <row r="50" spans="1:6">
      <c r="A50" s="6" t="s">
        <v>2238</v>
      </c>
      <c r="B50" s="371">
        <v>0.2113991006769228</v>
      </c>
      <c r="C50" s="371">
        <v>0.21886381592910398</v>
      </c>
      <c r="D50" s="371">
        <f>1-(1-'Damage Calc'!$L$49)^(10*'Damage Calc'!$I$49)-IF(time=0,0,(1-'Damage Calc'!$L$49)^(10*'Damage Calc'!$I$49)*0.5*10/time)</f>
        <v>0.21886381592910398</v>
      </c>
      <c r="E50" s="120">
        <f>IF(mh="Heartrazor",270*(D50-itHRohUP)*dpsAP,0)</f>
        <v>0</v>
      </c>
      <c r="F50" s="6" t="s">
        <v>2307</v>
      </c>
    </row>
    <row r="51" spans="1:6">
      <c r="A51" s="6" t="s">
        <v>3014</v>
      </c>
      <c r="B51" s="371">
        <v>0.38975913970519804</v>
      </c>
      <c r="C51" s="371">
        <v>0.42551658077912685</v>
      </c>
      <c r="D51" s="371">
        <f>1-(1-'Damage Calc'!$L$48)^(10*'Damage Calc'!$I$48)-IF(time=0,0,(1-'Damage Calc'!$L$48)^(10*'Damage Calc'!$I$48)*0.5*10/time)</f>
        <v>0.42551658077912685</v>
      </c>
      <c r="E51" s="120"/>
      <c r="F51" s="6" t="s">
        <v>2307</v>
      </c>
    </row>
    <row r="52" spans="1:6">
      <c r="A52" s="6" t="s">
        <v>3013</v>
      </c>
      <c r="B52" s="371">
        <v>0.2113991006769228</v>
      </c>
      <c r="C52" s="371">
        <v>0.21886381592910398</v>
      </c>
      <c r="D52" s="371">
        <f>1-(1-'Damage Calc'!$L$49)^(10*'Damage Calc'!$I$49)-IF(time=0,0,(1-'Damage Calc'!$L$49)^(10*'Damage Calc'!$I$49)*0.5*10/time)</f>
        <v>0.21886381592910398</v>
      </c>
      <c r="E52" s="120"/>
      <c r="F52" s="6" t="s">
        <v>2307</v>
      </c>
    </row>
    <row r="53" spans="1:6">
      <c r="A53" s="6" t="s">
        <v>2409</v>
      </c>
      <c r="B53" s="217">
        <v>0.44805233509221709</v>
      </c>
      <c r="C53" s="217">
        <v>0.33464313459900341</v>
      </c>
      <c r="D53" s="217">
        <f>5*instsec*instcrit</f>
        <v>0.33464313459900341</v>
      </c>
      <c r="E53" s="120"/>
    </row>
    <row r="54" spans="1:6">
      <c r="A54" s="6" t="s">
        <v>2874</v>
      </c>
      <c r="B54" s="371">
        <v>0.31102727206362035</v>
      </c>
      <c r="C54" s="371">
        <v>0.33374978855287174</v>
      </c>
      <c r="D54" s="371">
        <f>'Damage Calc'!L47*(15-IF(CharLevel&gt;60,(CharLevel-60)*0.5,0))</f>
        <v>0.33374978855287174</v>
      </c>
      <c r="E54" s="120"/>
      <c r="F54" s="6" t="s">
        <v>2976</v>
      </c>
    </row>
    <row r="55" spans="1:6">
      <c r="A55" s="6" t="s">
        <v>2857</v>
      </c>
      <c r="B55" s="217">
        <v>63.710530801425953</v>
      </c>
      <c r="C55" s="217">
        <v>67.721276345372416</v>
      </c>
      <c r="D55" s="217">
        <f>30*'Damage Calc'!K47</f>
        <v>67.721276345372416</v>
      </c>
      <c r="E55" s="120"/>
      <c r="F55" s="6" t="s">
        <v>2976</v>
      </c>
    </row>
    <row r="56" spans="1:6">
      <c r="A56" s="6" t="s">
        <v>2870</v>
      </c>
      <c r="B56" s="371">
        <v>0.11108414712726833</v>
      </c>
      <c r="C56" s="371">
        <v>0.11473598614129397</v>
      </c>
      <c r="D56" s="371">
        <f>6/(40+1/('Damage Calc'!I98*'Damage Calc'!L98))</f>
        <v>0.11473598614129397</v>
      </c>
      <c r="E56" s="120"/>
      <c r="F56" s="6" t="s">
        <v>2872</v>
      </c>
    </row>
    <row r="57" spans="1:6">
      <c r="A57" s="6" t="s">
        <v>2877</v>
      </c>
      <c r="B57" s="371">
        <v>0.13529796960861193</v>
      </c>
      <c r="C57" s="371">
        <v>0.13848806152346038</v>
      </c>
      <c r="D57" s="371">
        <f>10/(60+1/('Damage Calc'!I47*'Damage Calc'!L47))</f>
        <v>0.13848806152346038</v>
      </c>
      <c r="E57" s="120">
        <f>IF(OR('Gear &amp; Buffs'!B66="Band of the Eternal Champion", 'Gear &amp; Buffs'!B68="Band of the Eternal Champion"), 160*(D57-C57)*dpsAP, 0)</f>
        <v>0</v>
      </c>
      <c r="F57" s="6" t="s">
        <v>2878</v>
      </c>
    </row>
    <row r="58" spans="1:6">
      <c r="A58" s="6" t="s">
        <v>3039</v>
      </c>
      <c r="B58" s="371">
        <v>0.47458276748102635</v>
      </c>
      <c r="C58" s="371">
        <v>0.48283016114481747</v>
      </c>
      <c r="D58" s="371">
        <f>1-(1-0.02)^(15*'Damage Calc'!K47)-IF(time=0,0,(1-0.02)^(15*'Damage Calc'!K47)*0.5*15/time)</f>
        <v>0.48283016114481747</v>
      </c>
      <c r="E58" s="120">
        <f>IF(ww4p, 160*(D58-C58)*dpsAP, 0)</f>
        <v>0</v>
      </c>
      <c r="F58" s="6" t="s">
        <v>3037</v>
      </c>
    </row>
    <row r="59" spans="1:6">
      <c r="A59" s="6" t="s">
        <v>3124</v>
      </c>
      <c r="B59" s="217">
        <v>120</v>
      </c>
      <c r="C59" s="217">
        <v>118.4203190369889</v>
      </c>
      <c r="D59" s="217">
        <f>Trinket!BA48</f>
        <v>118.4203190369889</v>
      </c>
      <c r="E59" s="120"/>
    </row>
    <row r="60" spans="1:6">
      <c r="A60" s="6" t="s">
        <v>3126</v>
      </c>
      <c r="B60" s="371">
        <v>1.2500000000000001E-2</v>
      </c>
      <c r="C60" s="371">
        <v>1.217101076170575E-2</v>
      </c>
      <c r="D60" s="371">
        <f>2%*IF(CharLevel&gt;60,(CharLevel-60)*2/30,0)*(1-2%)^(2*'Damage Calc'!K47)</f>
        <v>1.217101076170575E-2</v>
      </c>
      <c r="E60" s="120"/>
    </row>
    <row r="61" spans="1:6">
      <c r="A61" s="6" t="s">
        <v>3028</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1271</v>
      </c>
      <c r="C1" s="521" t="s">
        <v>741</v>
      </c>
      <c r="D1" s="522" t="s">
        <v>1572</v>
      </c>
      <c r="E1" s="522" t="s">
        <v>1573</v>
      </c>
      <c r="F1" s="520" t="s">
        <v>269</v>
      </c>
      <c r="G1" s="521" t="s">
        <v>267</v>
      </c>
      <c r="H1" s="522" t="s">
        <v>268</v>
      </c>
      <c r="I1" s="520" t="s">
        <v>1574</v>
      </c>
      <c r="J1" s="522" t="s">
        <v>1575</v>
      </c>
      <c r="L1" s="67"/>
      <c r="O1" s="67" t="s">
        <v>1576</v>
      </c>
    </row>
    <row r="2" spans="1:21">
      <c r="A2" s="523" t="s">
        <v>1577</v>
      </c>
      <c r="B2" s="524">
        <f>bMHavg+bAP/APtoDPS*bMHspd</f>
        <v>798.8839456904077</v>
      </c>
      <c r="C2" s="525">
        <f>bMHdam*bMHgfact</f>
        <v>599.16295926780572</v>
      </c>
      <c r="D2" s="526">
        <f>bMHdam*bMHcfact</f>
        <v>1645.7009281222399</v>
      </c>
      <c r="E2" s="526">
        <f>bMHdam*bMHhit+bMHgdam*bMHglan+bMHcdam*bMHcrit</f>
        <v>921.86363651132888</v>
      </c>
      <c r="F2" s="527">
        <f>1/bMHspd*bHaste</f>
        <v>0.47245947878938588</v>
      </c>
      <c r="G2" s="528">
        <f>bMHasec*bMHthit</f>
        <v>0.46280286797900771</v>
      </c>
      <c r="H2" s="529">
        <f>bMHasec*bMHcrit</f>
        <v>0.10446631487564784</v>
      </c>
      <c r="I2" s="530">
        <f>bMHadam*bMHasec*bGlobDam</f>
        <v>462.02424058486895</v>
      </c>
      <c r="J2" s="531">
        <f t="shared" ref="J2:J7" si="0">I2*armoradj</f>
        <v>342.72411171437074</v>
      </c>
      <c r="K2" s="109"/>
      <c r="O2" s="66" t="s">
        <v>1578</v>
      </c>
      <c r="Q2" s="68">
        <f>BaseMissPerc</f>
        <v>0.27</v>
      </c>
      <c r="R2" s="203"/>
      <c r="T2" s="27" t="s">
        <v>3095</v>
      </c>
      <c r="U2" s="107">
        <f>IF(CharLevel&lt;=60,(CharLevel-8)/52,IF(CharLevel&lt;=70,82/(262-3*CharLevel),82/52))</f>
        <v>1.5769230769230769</v>
      </c>
    </row>
    <row r="3" spans="1:21">
      <c r="A3" s="507" t="s">
        <v>109</v>
      </c>
      <c r="B3" s="329">
        <f>bMHdam</f>
        <v>798.8839456904077</v>
      </c>
      <c r="C3" s="340">
        <f>bMHgdam</f>
        <v>599.16295926780572</v>
      </c>
      <c r="D3" s="344">
        <f>bMHcdam</f>
        <v>1645.7009281222399</v>
      </c>
      <c r="E3" s="344">
        <f>bMHadam</f>
        <v>921.86363651132888</v>
      </c>
      <c r="F3" s="343">
        <f>(sndfact-1)*sndup*bMHasec</f>
        <v>0.14126538415802639</v>
      </c>
      <c r="G3" s="335">
        <f>(sndfact-1)*sndup*bMHhsec</f>
        <v>0.13837805752572332</v>
      </c>
      <c r="H3" s="350">
        <f>(sndfact-1)*sndup*bMHcsec</f>
        <v>3.1235428147818708E-2</v>
      </c>
      <c r="I3" s="347">
        <f>mhdps*(sndfact-1)*sndup</f>
        <v>138.14524793487584</v>
      </c>
      <c r="J3" s="508">
        <f t="shared" si="0"/>
        <v>102.47450940259687</v>
      </c>
      <c r="K3" s="109"/>
      <c r="L3" s="66" t="s">
        <v>1439</v>
      </c>
      <c r="M3" s="68">
        <f>IF(time=0, 1-(Q43/(467.5*CharLevel+Q43-22167.5)), 'Cooldowns Calc'!AB1)</f>
        <v>0.7417881608993474</v>
      </c>
      <c r="O3" s="66" t="s">
        <v>1179</v>
      </c>
      <c r="Q3" s="68">
        <f>BaseDodPerc</f>
        <v>6.5000000000000002E-2</v>
      </c>
      <c r="T3" s="27" t="s">
        <v>3088</v>
      </c>
      <c r="U3" s="107">
        <f>10*conv</f>
        <v>15.769230769230768</v>
      </c>
    </row>
    <row r="4" spans="1:21" ht="13.5" thickBot="1">
      <c r="A4" s="532" t="s">
        <v>1196</v>
      </c>
      <c r="B4" s="533">
        <f>bMHdam</f>
        <v>798.8839456904077</v>
      </c>
      <c r="C4" s="534">
        <f>bMHgdam</f>
        <v>599.16295926780572</v>
      </c>
      <c r="D4" s="535">
        <f>bMHcdam</f>
        <v>1645.7009281222399</v>
      </c>
      <c r="E4" s="535">
        <f>(B2*B22*Q10+B2*B23*cfact+B2*B24)</f>
        <v>921.86363651132888</v>
      </c>
      <c r="F4" s="536">
        <f>bExAtt</f>
        <v>0.32133894904104937</v>
      </c>
      <c r="G4" s="537">
        <f>F4*bMHhit</f>
        <v>0.16659794784524692</v>
      </c>
      <c r="H4" s="538">
        <f>F4*bMHcrit</f>
        <v>7.1051798808965227E-2</v>
      </c>
      <c r="I4" s="539">
        <f>E4*F4*bGlobDam</f>
        <v>314.24151819634557</v>
      </c>
      <c r="J4" s="540">
        <f t="shared" si="0"/>
        <v>233.10063786108816</v>
      </c>
      <c r="K4" s="109"/>
      <c r="L4" s="66" t="s">
        <v>3004</v>
      </c>
      <c r="M4" s="68">
        <f>IF(time=0, 1-(Q43/(467.5*CharLevel+Q43-22167.5)), 'Cooldowns Calc'!AA1)</f>
        <v>0.74178816089935429</v>
      </c>
      <c r="O4" s="489" t="s">
        <v>397</v>
      </c>
      <c r="P4" s="68"/>
      <c r="Q4" s="68">
        <f>BaseParPerc</f>
        <v>0.14000000000000001</v>
      </c>
      <c r="T4" s="27" t="s">
        <v>3089</v>
      </c>
      <c r="U4" s="107">
        <f>14*conv</f>
        <v>22.076923076923077</v>
      </c>
    </row>
    <row r="5" spans="1:21">
      <c r="A5" s="523" t="s">
        <v>1438</v>
      </c>
      <c r="B5" s="524">
        <f>(bOHavg+bAP/APtoDPS*bOHspd)*bOHdamfac</f>
        <v>312.78967037497233</v>
      </c>
      <c r="C5" s="525">
        <f>bOHdam*bOHgfact</f>
        <v>234.59225278122926</v>
      </c>
      <c r="D5" s="526">
        <f>bOHdam*bOHcfact</f>
        <v>644.34672097244299</v>
      </c>
      <c r="E5" s="526">
        <f>bOHdam*bOHhit+bOHgdam*bOHglan+bOHcdam*bOHcrit</f>
        <v>360.94031498637253</v>
      </c>
      <c r="F5" s="527">
        <f>1/bOHspd*bHaste</f>
        <v>0.87742474632314538</v>
      </c>
      <c r="G5" s="528">
        <f>bOHasec*bOHthit</f>
        <v>0.85949104053244307</v>
      </c>
      <c r="H5" s="529">
        <f>bOHasec*bOHcrit</f>
        <v>0.19400887048334603</v>
      </c>
      <c r="I5" s="530">
        <f>bOHadam*bOHasec*bGlobDam</f>
        <v>335.95320054504873</v>
      </c>
      <c r="J5" s="531">
        <f t="shared" si="0"/>
        <v>249.20610678056366</v>
      </c>
      <c r="K5" s="109"/>
      <c r="O5" s="66" t="s">
        <v>1180</v>
      </c>
      <c r="Q5" s="68">
        <f>BaseGlanPerc</f>
        <v>0.24</v>
      </c>
      <c r="T5" s="27" t="s">
        <v>3090</v>
      </c>
      <c r="U5" s="107">
        <f>10*conv</f>
        <v>15.769230769230768</v>
      </c>
    </row>
    <row r="6" spans="1:21">
      <c r="A6" s="507" t="s">
        <v>110</v>
      </c>
      <c r="B6" s="341">
        <f>bOHdam</f>
        <v>312.78967037497233</v>
      </c>
      <c r="C6" s="340">
        <f>bOHgdam</f>
        <v>234.59225278122926</v>
      </c>
      <c r="D6" s="345">
        <f>bOHcdam</f>
        <v>644.34672097244299</v>
      </c>
      <c r="E6" s="345">
        <f>bOHadam</f>
        <v>360.94031498637253</v>
      </c>
      <c r="F6" s="343">
        <f>(sndfact-1)*sndup*bOHasec</f>
        <v>0.26234999915062052</v>
      </c>
      <c r="G6" s="335">
        <f>(sndfact-1)*sndup*bOHhsec</f>
        <v>0.25698782111920054</v>
      </c>
      <c r="H6" s="350">
        <f>(sndfact-1)*sndup*bOHcsec</f>
        <v>5.800865227452047E-2</v>
      </c>
      <c r="I6" s="348">
        <f>(sndfact-1)*sndup*ohdps</f>
        <v>100.45000696296958</v>
      </c>
      <c r="J6" s="510">
        <f t="shared" si="0"/>
        <v>74.512625927388541</v>
      </c>
      <c r="K6" s="109"/>
      <c r="L6" s="67" t="s">
        <v>1182</v>
      </c>
      <c r="O6" s="66" t="s">
        <v>1181</v>
      </c>
      <c r="Q6" s="69">
        <f>OHDamFact</f>
        <v>0.75</v>
      </c>
      <c r="T6" s="27" t="s">
        <v>3091</v>
      </c>
      <c r="U6" s="105">
        <f>12*conv</f>
        <v>18.923076923076923</v>
      </c>
    </row>
    <row r="7" spans="1:21" ht="13.5" thickBot="1">
      <c r="A7" s="541" t="s">
        <v>1199</v>
      </c>
      <c r="B7" s="533">
        <f>bOHdam</f>
        <v>312.78967037497233</v>
      </c>
      <c r="C7" s="542">
        <f>bOHgdam</f>
        <v>234.59225278122926</v>
      </c>
      <c r="D7" s="543">
        <f>bOHcdam</f>
        <v>644.34672097244299</v>
      </c>
      <c r="E7" s="543">
        <f>bOHadam</f>
        <v>360.94031498637253</v>
      </c>
      <c r="F7" s="544">
        <f>IF(itBsOH,(bOHhsec+G6)*itBsEa,0)</f>
        <v>0</v>
      </c>
      <c r="G7" s="545">
        <f>F7*bOHthit</f>
        <v>0</v>
      </c>
      <c r="H7" s="546">
        <f>F7*bOHcrit</f>
        <v>0</v>
      </c>
      <c r="I7" s="539">
        <f>E7*F7*bGlobDam</f>
        <v>0</v>
      </c>
      <c r="J7" s="540">
        <f t="shared" si="0"/>
        <v>0</v>
      </c>
      <c r="K7" s="109"/>
      <c r="L7" s="66" t="s">
        <v>1185</v>
      </c>
      <c r="M7" s="72">
        <f>IF(BossLevel*5-CharLevel*5&gt;10, 'Gear &amp; Buffs'!H143/HitRate/100-1%, 'Gear &amp; Buffs'!H143/HitRate/100)</f>
        <v>0.26956097560975611</v>
      </c>
      <c r="O7" s="66" t="s">
        <v>1183</v>
      </c>
      <c r="Q7" s="70">
        <f>350+(BossLevel-CharLevel)*5</f>
        <v>365</v>
      </c>
      <c r="R7" s="71"/>
      <c r="T7" s="27" t="s">
        <v>3093</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987.92804030849811</v>
      </c>
      <c r="C8" s="570"/>
      <c r="D8" s="571">
        <f>B8*(1+((leth*0.06+2)-1)*(cfact-1))</f>
        <v>2349.2928798536086</v>
      </c>
      <c r="E8" s="571">
        <f>avginst*fwfactor</f>
        <v>1288.9417237527728</v>
      </c>
      <c r="F8" s="572"/>
      <c r="G8" s="573"/>
      <c r="H8" s="574"/>
      <c r="I8" s="575">
        <f>Q17*E8*bGlobDam*(1+DDmult)*IF(Talents!$O$27="Instants",1+Talents!I37*20%/(30*instsec),1)</f>
        <v>422.31929549312446</v>
      </c>
      <c r="J8" s="576">
        <f>IF(time=0,I8*armor,'Cooldowns Calc'!AG1)</f>
        <v>327.58159382962725</v>
      </c>
      <c r="K8" s="109"/>
      <c r="L8" s="66" t="s">
        <v>1187</v>
      </c>
      <c r="M8" s="72">
        <f>'Gear &amp; Buffs'!E6</f>
        <v>0.22111169225206101</v>
      </c>
      <c r="O8" s="66" t="s">
        <v>849</v>
      </c>
      <c r="Q8" s="73">
        <f>FLOOR(dskill/skillrate,1)+IF(AND('Gear &amp; Buffs'!B74="Human",OR(mhtype="Sword",mhtype="Mace")),5,0)</f>
        <v>18</v>
      </c>
      <c r="T8" s="27" t="s">
        <v>3092</v>
      </c>
      <c r="U8" s="107">
        <f>1.5*conv</f>
        <v>2.3653846153846154</v>
      </c>
    </row>
    <row r="9" spans="1:21">
      <c r="A9" s="547" t="s">
        <v>1184</v>
      </c>
      <c r="B9" s="548"/>
      <c r="C9" s="549"/>
      <c r="D9" s="550"/>
      <c r="E9" s="551"/>
      <c r="F9" s="552"/>
      <c r="G9" s="553"/>
      <c r="H9" s="554"/>
      <c r="I9" s="555">
        <f>Cycles!$Y$10*bGlobDam*(1+DDmult)</f>
        <v>0</v>
      </c>
      <c r="J9" s="556">
        <f t="shared" ref="J9:J10" si="1">I9*armor</f>
        <v>0</v>
      </c>
      <c r="K9" s="109"/>
      <c r="L9" s="66" t="s">
        <v>1189</v>
      </c>
      <c r="M9" s="74">
        <f>ap</f>
        <v>3165.5289383329646</v>
      </c>
      <c r="O9" s="66" t="s">
        <v>850</v>
      </c>
      <c r="Q9" s="73">
        <f>FLOOR(dskill/skillrate,1)+IF(AND('Gear &amp; Buffs'!B74="Human",OR(ohtype="Sword",ohtype="Mace")),5,0)</f>
        <v>18</v>
      </c>
      <c r="T9" s="66" t="s">
        <v>3096</v>
      </c>
      <c r="U9" s="107">
        <f>127/13570*CharLevel^2-1583/13570*CharLevel+3131/1357</f>
        <v>40</v>
      </c>
    </row>
    <row r="10" spans="1:21">
      <c r="A10" s="547" t="s">
        <v>1186</v>
      </c>
      <c r="B10" s="557"/>
      <c r="C10" s="558"/>
      <c r="D10" s="559"/>
      <c r="E10" s="559">
        <f>IF(evisec=0,0,evidmg)</f>
        <v>1459.2710844590233</v>
      </c>
      <c r="F10" s="560"/>
      <c r="G10" s="561"/>
      <c r="H10" s="562"/>
      <c r="I10" s="555">
        <f>E10*evisec/armor*bGlobDam*(1+DDmult)*(IF(AND(NOT(IF(Talents!$O$27="Instants",1,0)),Q18&gt;0),1+Talents!I37*20%/(30*Q18),1))</f>
        <v>4.928344503418173</v>
      </c>
      <c r="J10" s="556">
        <f t="shared" si="1"/>
        <v>3.6557876054689742</v>
      </c>
      <c r="K10" s="109"/>
      <c r="M10" s="74"/>
      <c r="O10" s="66" t="s">
        <v>1190</v>
      </c>
      <c r="Q10" s="66">
        <f>BaseGlanFact</f>
        <v>0.75</v>
      </c>
      <c r="T10" s="160" t="s">
        <v>3094</v>
      </c>
      <c r="U10" s="1335">
        <f>IF(CharLevel*5-BossLevel*5&lt;0, 0.2%, 0.04%)</f>
        <v>2E-3</v>
      </c>
    </row>
    <row r="11" spans="1:21">
      <c r="A11" s="547" t="s">
        <v>1188</v>
      </c>
      <c r="B11" s="557"/>
      <c r="C11" s="558"/>
      <c r="D11" s="559"/>
      <c r="E11" s="559">
        <f>rupdmg</f>
        <v>1759.7269451999114</v>
      </c>
      <c r="F11" s="560"/>
      <c r="G11" s="561"/>
      <c r="H11" s="562"/>
      <c r="I11" s="555">
        <f>E11*rupsec*bGlobDam*(1+DDmult)*(IF(AND(NOT(IF(Talents!$O$27="Instants",1,0)),Q18&gt;0),1+Talents!I37*20%/(30*Q18),1))</f>
        <v>115.52681337841148</v>
      </c>
      <c r="J11" s="556">
        <f>I11</f>
        <v>115.52681337841148</v>
      </c>
      <c r="K11" s="109"/>
      <c r="L11" s="66" t="s">
        <v>1192</v>
      </c>
      <c r="M11" s="75">
        <f>MHavg</f>
        <v>211</v>
      </c>
      <c r="O11" s="66" t="s">
        <v>1193</v>
      </c>
      <c r="Q11" s="66">
        <f>BaseGlanFact</f>
        <v>0.75</v>
      </c>
    </row>
    <row r="12" spans="1:21" ht="12.75" customHeight="1" thickBot="1">
      <c r="A12" s="577" t="s">
        <v>1191</v>
      </c>
      <c r="B12" s="578"/>
      <c r="C12" s="579"/>
      <c r="D12" s="580"/>
      <c r="E12" s="580">
        <f>envdmg</f>
        <v>0</v>
      </c>
      <c r="F12" s="581"/>
      <c r="G12" s="582"/>
      <c r="H12" s="583"/>
      <c r="I12" s="584">
        <f>E12*envsec*bGlobDam*(1+DDmult)*(IF(AND(NOT(IF(Talents!$O$27="Instants",1,0)),Q18&gt;0),1+Talents!I37*20%/(30*Q18),1))</f>
        <v>0</v>
      </c>
      <c r="J12" s="585">
        <f>I12</f>
        <v>0</v>
      </c>
      <c r="K12" s="109"/>
      <c r="L12" s="66" t="s">
        <v>1195</v>
      </c>
      <c r="M12" s="66">
        <f>MHspd</f>
        <v>2.6</v>
      </c>
      <c r="O12" s="66" t="s">
        <v>1196</v>
      </c>
      <c r="Q12" s="68">
        <f>(IF(mhtype="Sword",talSwSpcFac,0)+IF(mh="blinkstrike",0.02,0))</f>
        <v>7.0000000000000007E-2</v>
      </c>
      <c r="R12" s="899">
        <f>(1-B19-B20)*Q12</f>
        <v>6.8569268292682936E-2</v>
      </c>
      <c r="T12" s="66" t="s">
        <v>3097</v>
      </c>
      <c r="U12" s="1336">
        <f>1-MAX(4%+(BossLevel-CharLevel)*1%+MAX((BossLevel-CharLevel-2)*10%,0%),1%)</f>
        <v>0.83</v>
      </c>
    </row>
    <row r="13" spans="1:21">
      <c r="A13" s="506" t="s">
        <v>1194</v>
      </c>
      <c r="B13" s="563"/>
      <c r="C13" s="564"/>
      <c r="D13" s="565"/>
      <c r="E13" s="565"/>
      <c r="F13" s="342"/>
      <c r="G13" s="334"/>
      <c r="H13" s="349"/>
      <c r="I13" s="566">
        <f>('Weap Enchants'!X3+Q33)</f>
        <v>27.290231355562383</v>
      </c>
      <c r="J13" s="567">
        <f>I13</f>
        <v>27.290231355562383</v>
      </c>
      <c r="K13" s="109"/>
      <c r="L13" s="66" t="s">
        <v>1198</v>
      </c>
      <c r="M13" s="75">
        <f>ohavg</f>
        <v>100.5</v>
      </c>
      <c r="O13" s="66" t="s">
        <v>1199</v>
      </c>
      <c r="Q13" s="68">
        <f>(IF(ohtype="Sword",talSwSpcFac,0))+IF(oh="blinkstrike",0.02,0)</f>
        <v>0.05</v>
      </c>
      <c r="R13" s="899">
        <f>(1-D19-D20)*Q13</f>
        <v>4.897804878048781E-2</v>
      </c>
    </row>
    <row r="14" spans="1:21" ht="12.75" customHeight="1">
      <c r="A14" s="507" t="s">
        <v>1197</v>
      </c>
      <c r="B14" s="330"/>
      <c r="C14" s="331"/>
      <c r="D14" s="346"/>
      <c r="E14" s="346"/>
      <c r="F14" s="343"/>
      <c r="G14" s="335"/>
      <c r="H14" s="350"/>
      <c r="I14" s="347">
        <f>'Weap Enchants'!X5*tlMURfac*IF(Talents!O36="No",(1+'Gear &amp; Buffs'!B106*0.01*'Gear &amp; Buffs'!C106),1)</f>
        <v>79.110112401040908</v>
      </c>
      <c r="J14" s="508">
        <f>I14</f>
        <v>79.110112401040908</v>
      </c>
      <c r="L14" s="66" t="s">
        <v>1201</v>
      </c>
      <c r="M14" s="66">
        <f>ohspd</f>
        <v>1.4</v>
      </c>
      <c r="O14" s="76" t="s">
        <v>1202</v>
      </c>
      <c r="Q14" s="77">
        <f>bMHhsec+G3</f>
        <v>0.60118092550473101</v>
      </c>
      <c r="T14" s="66" t="s">
        <v>3098</v>
      </c>
      <c r="U14" s="1337">
        <v>0.25</v>
      </c>
    </row>
    <row r="15" spans="1:21" ht="13.5" thickBot="1">
      <c r="A15" s="511" t="s">
        <v>1200</v>
      </c>
      <c r="B15" s="332"/>
      <c r="C15" s="333"/>
      <c r="D15" s="351"/>
      <c r="E15" s="351"/>
      <c r="F15" s="352"/>
      <c r="G15" s="338"/>
      <c r="H15" s="353"/>
      <c r="I15" s="354">
        <f>(Weapons!AT45+Weapons!AV45+'Weap Enchants'!X6+Q34+Q45+Q46+Q49+Q52)*(1+'Gear &amp; Buffs'!B106*0.01*'Gear &amp; Buffs'!C106)+IF(AND(mh="Claw of Molten Fury",oh="Fist of Molten Fury"),Q20*125*fullresist*0.1,0)+IF(Neck=Neck!A26,350*(1+bMHcrit)*IF(CoE,1.25,1)*(1+(0.01*miseryimp)*misery)/Optimize!D14,0)+OptDPSadj+IF(OR(mh="Shard of Azzinoth",oh="Shard of Azzinoth"),45,0)+eadps</f>
        <v>0</v>
      </c>
      <c r="J15" s="509">
        <f>I15</f>
        <v>0</v>
      </c>
      <c r="Q15" s="78"/>
    </row>
    <row r="16" spans="1:21" ht="13.5" thickBot="1">
      <c r="A16" s="512" t="s">
        <v>1203</v>
      </c>
      <c r="B16" s="513"/>
      <c r="C16" s="514"/>
      <c r="D16" s="515"/>
      <c r="E16" s="515"/>
      <c r="F16" s="516"/>
      <c r="G16" s="517"/>
      <c r="H16" s="518"/>
      <c r="I16" s="1314">
        <f>SUM(I2:I15)</f>
        <v>1999.989011355666</v>
      </c>
      <c r="J16" s="1315">
        <f>SUM(J2:J15)</f>
        <v>1555.182530256119</v>
      </c>
      <c r="O16" s="76" t="s">
        <v>1204</v>
      </c>
      <c r="Q16" s="77">
        <f>bOHhsec+G6+G7</f>
        <v>1.1164788616516437</v>
      </c>
      <c r="T16" s="15" t="s">
        <v>3110</v>
      </c>
      <c r="U16" s="651">
        <f>IF(numPhysDps=0,0,10/35*10/(2*numPhysDps))</f>
        <v>0.14285714285714285</v>
      </c>
    </row>
    <row r="17" spans="1:21">
      <c r="O17" s="76" t="s">
        <v>2250</v>
      </c>
      <c r="Q17" s="80">
        <f>instsec</f>
        <v>0.30886886428081306</v>
      </c>
      <c r="R17" s="651">
        <f>1/Q17</f>
        <v>3.2376199599414268</v>
      </c>
    </row>
    <row r="18" spans="1:21">
      <c r="A18" s="79" t="s">
        <v>1205</v>
      </c>
      <c r="B18" s="79"/>
      <c r="C18" s="79" t="s">
        <v>419</v>
      </c>
      <c r="D18" s="79"/>
      <c r="E18" s="79" t="str">
        <f>"Hit Table - "&amp;instatklng</f>
        <v>Hit Table - Sinister Strike</v>
      </c>
      <c r="F18" s="79"/>
      <c r="G18" s="67"/>
      <c r="J18" s="339" t="s">
        <v>108</v>
      </c>
      <c r="O18" s="66" t="s">
        <v>2251</v>
      </c>
      <c r="Q18" s="78">
        <f>evisec+rupsec+envsec</f>
        <v>6.4249278896646056E-2</v>
      </c>
      <c r="R18" s="651">
        <f>Q17+Q18</f>
        <v>0.37311814317745912</v>
      </c>
      <c r="T18" s="66" t="s">
        <v>3194</v>
      </c>
      <c r="U18" s="68">
        <f>1-((basearmor-SUM('Gear &amp; Buffs'!Q81:Q92)-IF(Talents!O36="No",'Gear &amp; Buffs'!B80*520,0)*(1-U20))/(467.5*CharLevel+(basearmor-SUM('Gear &amp; Buffs'!Q81:Q92)-IF(Talents!O36="No",'Gear &amp; Buffs'!B80*520))-22167.5))</f>
        <v>0.73569881140582005</v>
      </c>
    </row>
    <row r="19" spans="1:21">
      <c r="A19" s="66" t="s">
        <v>1744</v>
      </c>
      <c r="B19" s="68">
        <f>MAX(Q2-M7,0)</f>
        <v>4.3902439024390283E-4</v>
      </c>
      <c r="C19" s="66" t="s">
        <v>1744</v>
      </c>
      <c r="D19" s="68">
        <f>MAX(Q2-M7,0)</f>
        <v>4.3902439024390283E-4</v>
      </c>
      <c r="E19" s="66" t="s">
        <v>1744</v>
      </c>
      <c r="F19" s="72">
        <f>MAX(Q2-19%-M7,0)</f>
        <v>0</v>
      </c>
      <c r="H19" s="68"/>
      <c r="J19" s="66" t="s">
        <v>1744</v>
      </c>
      <c r="K19" s="72">
        <f>MAX(Q2-19%-M7,0)</f>
        <v>0</v>
      </c>
      <c r="O19" s="66" t="s">
        <v>1746</v>
      </c>
      <c r="Q19" s="78">
        <f>G4</f>
        <v>0.16659794784524692</v>
      </c>
      <c r="T19" s="66" t="s">
        <v>3195</v>
      </c>
      <c r="U19" s="68">
        <f>1-((basearmor-SUM('Gear &amp; Buffs'!Q81:Q92)-410*(1+25%*impea)*5)/(467.5*CharLevel+(basearmor-SUM('Gear &amp; Buffs'!Q81:Q92)-410*(1+25%*impea)*5)-22167.5))</f>
        <v>0.71418907491966854</v>
      </c>
    </row>
    <row r="20" spans="1:21">
      <c r="A20" s="66" t="s">
        <v>1745</v>
      </c>
      <c r="B20" s="68">
        <f>MAX(0,Q3-(Q8*0.25%))</f>
        <v>2.0000000000000004E-2</v>
      </c>
      <c r="C20" s="66" t="s">
        <v>1745</v>
      </c>
      <c r="D20" s="68">
        <f>MAX(0,Q3-(Q9*0.25%))</f>
        <v>2.0000000000000004E-2</v>
      </c>
      <c r="E20" s="66" t="s">
        <v>1745</v>
      </c>
      <c r="F20" s="72">
        <f>MAX(0,IF(instatk="v",0,(Q3-(Q8*0.25%))))</f>
        <v>2.0000000000000004E-2</v>
      </c>
      <c r="H20" s="68"/>
      <c r="J20" s="66" t="s">
        <v>1745</v>
      </c>
      <c r="K20" s="68">
        <f>MAX(0,IF(sa,0,(Q3-(Q8*0.25%))))</f>
        <v>0</v>
      </c>
      <c r="L20" s="73"/>
      <c r="O20" s="76" t="s">
        <v>1747</v>
      </c>
      <c r="Q20" s="80">
        <f>Q14+SUM(Q16:Q19)+IF(instatk="mut",Q17,0)</f>
        <v>2.2573758781790807</v>
      </c>
      <c r="T20" s="66" t="s">
        <v>3197</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1748</v>
      </c>
      <c r="Q21" s="78">
        <f>1/Q17</f>
        <v>3.2376199599414268</v>
      </c>
      <c r="R21" s="71"/>
    </row>
    <row r="22" spans="1:21">
      <c r="A22" s="66" t="s">
        <v>1180</v>
      </c>
      <c r="B22" s="68">
        <f>Q5</f>
        <v>0.24</v>
      </c>
      <c r="C22" s="66" t="s">
        <v>1180</v>
      </c>
      <c r="D22" s="68">
        <f>Q5</f>
        <v>0.24</v>
      </c>
      <c r="F22" s="72"/>
      <c r="H22" s="68"/>
      <c r="K22" s="68"/>
      <c r="O22" s="81" t="s">
        <v>1749</v>
      </c>
      <c r="Q22" s="82">
        <f>Q47+Q48+Q51</f>
        <v>0.13333333333333333</v>
      </c>
      <c r="R22" s="71"/>
    </row>
    <row r="23" spans="1:21">
      <c r="A23" s="66" t="s">
        <v>1187</v>
      </c>
      <c r="B23" s="68">
        <f>MIN((1-B19-B20-B21-B22),(M8))</f>
        <v>0.22111169225206101</v>
      </c>
      <c r="C23" s="66" t="s">
        <v>1187</v>
      </c>
      <c r="D23" s="68">
        <f>MIN((1-D19-D20-D21-D22),(M8)-IF(mhtype="dagger",Talents!$F$24/100,0)-IF(mhtype="fist",Talents!$F$29/100,0)+IF(ohtype="dagger",Talents!$F$24/100,0)+IF(ohtype="fist",Talents!$F$29/100,0))</f>
        <v>0.22111169225206101</v>
      </c>
      <c r="E23" s="66" t="s">
        <v>1187</v>
      </c>
      <c r="F23" s="72">
        <f>MIN(1,(M8+IF(instatk="bs",impBS,0)+IF(instatk="mut",impBS/2,0)))*(1-F19-F20-F21)+Q30</f>
        <v>0.21668945840701978</v>
      </c>
      <c r="H23" s="68"/>
      <c r="J23" s="66" t="s">
        <v>1187</v>
      </c>
      <c r="K23" s="68">
        <f>MIN(1,(M8))*(1-K19-K20-K21)+Q29</f>
        <v>0.22111169225206101</v>
      </c>
      <c r="L23" s="73"/>
      <c r="O23" s="66" t="s">
        <v>1750</v>
      </c>
      <c r="P23" s="70"/>
      <c r="Q23" s="70">
        <f>2*IF(AND('Gear &amp; Buffs'!B28="Relentless Earthstorm Diamond (12agi/3%crit dam)",MID('Gear &amp; Buffs'!R26,7,1)="1",Socket!S110),1.03,1)*IF(mhtype="mace",Talents!F26/100+1,1)</f>
        <v>2.06</v>
      </c>
      <c r="R23" s="71"/>
    </row>
    <row r="24" spans="1:21">
      <c r="A24" s="66" t="s">
        <v>1185</v>
      </c>
      <c r="B24" s="68">
        <f>(1-B19-B20-B21-B22-B23)</f>
        <v>0.51844928335769502</v>
      </c>
      <c r="C24" s="66" t="s">
        <v>1185</v>
      </c>
      <c r="D24" s="68">
        <f>(1-D19-D20-D21-D22-D23)</f>
        <v>0.51844928335769502</v>
      </c>
      <c r="E24" s="66" t="s">
        <v>1185</v>
      </c>
      <c r="F24" s="72">
        <f>(1-F19-F20-F21-F23)</f>
        <v>0.76331054159298017</v>
      </c>
      <c r="H24" s="68"/>
      <c r="J24" s="66" t="s">
        <v>1185</v>
      </c>
      <c r="K24" s="72">
        <f>(1-K19-K20-K21-K23)</f>
        <v>0.77888830774793893</v>
      </c>
      <c r="O24" s="66" t="s">
        <v>588</v>
      </c>
      <c r="Q24" s="66">
        <f>2*IF(AND('Gear &amp; Buffs'!B28="Relentless Earthstorm Diamond (12agi/3%crit dam)",MID('Gear &amp; Buffs'!R26,7,1)="1",Socket!S110),1.03,1)*IF(ohtype="mace",Talents!F26/100+1,1)</f>
        <v>2.06</v>
      </c>
      <c r="R24" s="83"/>
    </row>
    <row r="25" spans="1:21">
      <c r="A25" s="65" t="s">
        <v>1242</v>
      </c>
      <c r="B25" s="68">
        <f>1-bMHmiss-bMHdod-bMHpar</f>
        <v>0.97956097560975608</v>
      </c>
      <c r="C25" s="65" t="s">
        <v>1242</v>
      </c>
      <c r="D25" s="68">
        <f>SUM(D22:D24)</f>
        <v>0.97956097560975608</v>
      </c>
      <c r="E25" s="65" t="s">
        <v>1242</v>
      </c>
      <c r="F25" s="68">
        <f>SUM(F23:F24)</f>
        <v>0.98</v>
      </c>
      <c r="H25" s="68"/>
      <c r="J25" s="65" t="s">
        <v>1242</v>
      </c>
      <c r="K25" s="68">
        <f>SUM(K23:K24)</f>
        <v>1</v>
      </c>
      <c r="M25" s="68"/>
    </row>
    <row r="26" spans="1:21">
      <c r="I26" s="68"/>
      <c r="O26" s="70" t="s">
        <v>1751</v>
      </c>
      <c r="P26" s="70"/>
      <c r="Q26" s="70">
        <f>MHnorm</f>
        <v>2.4</v>
      </c>
    </row>
    <row r="27" spans="1:21">
      <c r="C27" s="202"/>
      <c r="D27" s="73"/>
      <c r="O27" s="70" t="s">
        <v>1754</v>
      </c>
      <c r="P27" s="70"/>
      <c r="Q27" s="70">
        <f>OHnorm</f>
        <v>2.4</v>
      </c>
    </row>
    <row r="28" spans="1:21">
      <c r="A28" s="67" t="s">
        <v>1893</v>
      </c>
      <c r="C28" s="202"/>
      <c r="K28"/>
      <c r="P28" s="70"/>
      <c r="Q28" s="73"/>
    </row>
    <row r="29" spans="1:21">
      <c r="A29" s="204" t="s">
        <v>411</v>
      </c>
      <c r="B29" s="69">
        <f>tlMURfac</f>
        <v>1.02</v>
      </c>
      <c r="J29"/>
      <c r="K29"/>
      <c r="O29" s="66" t="s">
        <v>931</v>
      </c>
      <c r="P29" s="70"/>
      <c r="Q29" s="84">
        <f>IF(Talents!$O$30="Instants",0,IF(cb,(1-bfindodge-bfinmiss-MIN(1,(M8))*(1-K19-K20))*(1/IF(instatk="bs",0.039,IF(instatk="mut",0.044,IF(instatk="SS",0.057,IF(instatk="Hemo",0.063,0.058)))))/IF(time=0,180,MIN(time,180)),0))</f>
        <v>0</v>
      </c>
    </row>
    <row r="30" spans="1:21">
      <c r="A30" s="327" t="s">
        <v>1894</v>
      </c>
      <c r="B30" s="69">
        <f>tlMURfac*(1+Ferocious*0.01*Ferociousimp*0.94*disablebuffs)*(1+bloodfrenzy*0.02*bloodfrenzyimp*disablebuffs)*(1+'Gear &amp; Buffs'!B106*0.01*'Gear &amp; Buffs'!C106*disablebuffs)</f>
        <v>1.0608</v>
      </c>
      <c r="J30"/>
      <c r="K30" s="897"/>
      <c r="O30" s="70" t="s">
        <v>932</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1359</v>
      </c>
      <c r="Q31" s="73">
        <f>(Q14+Q19)*B23/(1-B19-B20)+Q16*D23/(1-D19-D20)+Q17*F23/(1-F20)*(IF(instatk="mut",2,1)+Q18*K23/(1-K19))</f>
        <v>0.49458936445297341</v>
      </c>
    </row>
    <row r="32" spans="1:21">
      <c r="J32"/>
      <c r="K32" s="897"/>
      <c r="Q32" s="68"/>
      <c r="R32" s="85"/>
    </row>
    <row r="33" spans="1:18">
      <c r="A33" s="355" t="s">
        <v>432</v>
      </c>
      <c r="B33" s="355"/>
      <c r="J33"/>
      <c r="K33" s="897"/>
      <c r="O33" s="66" t="s">
        <v>2252</v>
      </c>
      <c r="Q33" s="73">
        <f>'Weap Enchants'!W22</f>
        <v>27.290231355562383</v>
      </c>
    </row>
    <row r="34" spans="1:18">
      <c r="A34" s="65" t="s">
        <v>57</v>
      </c>
      <c r="B34" s="1348">
        <f>MAX(BaseDodPerc-IF(AND('Gear &amp; Buffs'!B74="Human",OR(mhtype="Sword",mhtype="Mace")),1.25%,0)-'Gear &amp; Buffs'!L75/skillrate*0.25%,0)</f>
        <v>2.7500000000000004E-2</v>
      </c>
      <c r="C34" s="1347">
        <f>CEILING(B34/0.25%*skillrate,1)</f>
        <v>44</v>
      </c>
      <c r="D34" s="1347">
        <f>C34-'Gear &amp; Buffs'!L143+'Gear &amp; Buffs'!L75</f>
        <v>30</v>
      </c>
      <c r="J34"/>
      <c r="K34" s="897"/>
      <c r="O34" s="66" t="s">
        <v>1363</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1364</v>
      </c>
    </row>
    <row r="37" spans="1:18">
      <c r="O37" s="66" t="s">
        <v>1365</v>
      </c>
      <c r="Q37" s="68">
        <f>Slayer2val</f>
        <v>1.3</v>
      </c>
    </row>
    <row r="38" spans="1:18">
      <c r="O38" s="66" t="s">
        <v>745</v>
      </c>
      <c r="Q38" s="68">
        <f>Q37</f>
        <v>1.3</v>
      </c>
    </row>
    <row r="39" spans="1:18" ht="13.5" thickBot="1">
      <c r="O39" s="66" t="s">
        <v>1366</v>
      </c>
      <c r="Q39" s="68">
        <f>IF(time=0, (1+'Gear &amp; Buffs'!$P$143/(hasterate*100))*(1+blfl*20%*15/120), 'Cooldowns Calc'!AD1)</f>
        <v>1.2283946448524035</v>
      </c>
    </row>
    <row r="40" spans="1:18">
      <c r="A40" s="375" t="s">
        <v>2983</v>
      </c>
      <c r="B40" s="360"/>
      <c r="C40" s="360"/>
      <c r="D40" s="361"/>
      <c r="G40" s="359" t="s">
        <v>1131</v>
      </c>
      <c r="H40" s="360"/>
      <c r="I40" s="360"/>
      <c r="J40" s="360"/>
      <c r="K40" s="360"/>
      <c r="L40" s="360" t="s">
        <v>2303</v>
      </c>
      <c r="M40" s="361"/>
      <c r="Q40" s="68"/>
    </row>
    <row r="41" spans="1:18">
      <c r="A41" s="376"/>
      <c r="B41" s="377" t="s">
        <v>2174</v>
      </c>
      <c r="C41" s="377"/>
      <c r="D41" s="378"/>
      <c r="G41" s="362"/>
      <c r="H41" s="160" t="s">
        <v>1185</v>
      </c>
      <c r="I41" s="160" t="s">
        <v>2296</v>
      </c>
      <c r="J41" s="160" t="s">
        <v>2297</v>
      </c>
      <c r="K41" s="160" t="s">
        <v>504</v>
      </c>
      <c r="L41" s="160" t="s">
        <v>2304</v>
      </c>
      <c r="M41" s="363" t="s">
        <v>2305</v>
      </c>
      <c r="O41" s="66" t="s">
        <v>1367</v>
      </c>
      <c r="Q41" s="68">
        <f>(I2+I5+I3+I6)*Q39/(I2+I5)-1</f>
        <v>0.59568464366327234</v>
      </c>
    </row>
    <row r="42" spans="1:18">
      <c r="A42" s="376" t="s">
        <v>2032</v>
      </c>
      <c r="B42" s="379">
        <f>IF(tlSwSMH,tlSwSea,0)</f>
        <v>0.05</v>
      </c>
      <c r="C42" s="380">
        <f>B42*bMHthit*(bMHasec+F3+instsec+Q18+D46)</f>
        <v>4.8333644892667185E-2</v>
      </c>
      <c r="D42" s="381">
        <f>$A$61</f>
        <v>5.8774234634357554E-2</v>
      </c>
      <c r="G42" s="362" t="s">
        <v>57</v>
      </c>
      <c r="H42" s="162">
        <f>bMHthit</f>
        <v>0.97956097560975608</v>
      </c>
      <c r="I42" s="161">
        <f>SUM($F$2:$F$4)</f>
        <v>0.93506381198846156</v>
      </c>
      <c r="J42" s="161">
        <f t="shared" ref="J42:J49" si="2">1/I42</f>
        <v>1.0694457289213752</v>
      </c>
      <c r="K42" s="161">
        <f>SUM($G$2:$G$4)</f>
        <v>0.76777887334997796</v>
      </c>
      <c r="L42" s="162">
        <f>MHspd/60*H42</f>
        <v>4.2447642276422767E-2</v>
      </c>
      <c r="M42" s="364">
        <f>1/L42/I42</f>
        <v>25.194467149837223</v>
      </c>
      <c r="O42" s="66" t="s">
        <v>1439</v>
      </c>
      <c r="Q42" s="26">
        <f>serrb*8*70/3+435*itTNBup+'Gear &amp; Buffs'!Q143</f>
        <v>4010</v>
      </c>
    </row>
    <row r="43" spans="1:18">
      <c r="A43" s="376" t="s">
        <v>2031</v>
      </c>
      <c r="B43" s="379">
        <f>IF(tlSwSOH,tlSwSea,0)</f>
        <v>0.05</v>
      </c>
      <c r="C43" s="380"/>
      <c r="D43" s="381">
        <f>$B$43*(bOHhsec+$G$6+$G$7)</f>
        <v>5.5823943082582185E-2</v>
      </c>
      <c r="G43" s="362" t="s">
        <v>58</v>
      </c>
      <c r="H43" s="162">
        <f>bOHthit</f>
        <v>0.97956097560975608</v>
      </c>
      <c r="I43" s="161">
        <f>SUM($F$5:$F$7)</f>
        <v>1.1397747454737659</v>
      </c>
      <c r="J43" s="161">
        <f t="shared" si="2"/>
        <v>0.87736634275427272</v>
      </c>
      <c r="K43" s="161">
        <f>SUM($G$5:$G$7)</f>
        <v>1.1164788616516437</v>
      </c>
      <c r="L43" s="162">
        <f>ohspd/60*H43</f>
        <v>2.2856422764227641E-2</v>
      </c>
      <c r="M43" s="364">
        <f>1/L43/I43</f>
        <v>38.38598681012455</v>
      </c>
      <c r="O43" s="66" t="s">
        <v>526</v>
      </c>
      <c r="Q43" s="26">
        <f>MAX(basearmor-Q42,0)</f>
        <v>3675</v>
      </c>
    </row>
    <row r="44" spans="1:18">
      <c r="A44" s="376" t="s">
        <v>2033</v>
      </c>
      <c r="B44" s="893">
        <f>IF(itBsMH,itBsEa,0)</f>
        <v>4.3333333333333335E-2</v>
      </c>
      <c r="C44" s="380">
        <f>B44*bMHthit*(bMHasec+F3+instsec+Q18+D43+D46)</f>
        <v>4.4258753673407057E-2</v>
      </c>
      <c r="D44" s="381">
        <f>$B$61</f>
        <v>5.3602667810854189E-2</v>
      </c>
      <c r="G44" s="362" t="s">
        <v>2231</v>
      </c>
      <c r="H44" s="162">
        <f>$F$25</f>
        <v>0.98</v>
      </c>
      <c r="I44" s="161">
        <f>K44/$F$25</f>
        <v>0.31517231049062555</v>
      </c>
      <c r="J44" s="161">
        <f>IF(I44=0,0,1/I44)</f>
        <v>3.1728675607425987</v>
      </c>
      <c r="K44" s="161">
        <f>IF(instatk="v",0,instsec)</f>
        <v>0.30886886428081306</v>
      </c>
      <c r="L44" s="162">
        <f>MHspd/60*H44</f>
        <v>4.2466666666666666E-2</v>
      </c>
      <c r="M44" s="364">
        <f>IF(I44=0,0,1/L44/I44)</f>
        <v>74.714306767879094</v>
      </c>
    </row>
    <row r="45" spans="1:18">
      <c r="A45" s="376" t="s">
        <v>2979</v>
      </c>
      <c r="B45" s="893">
        <f>itHoJ</f>
        <v>0</v>
      </c>
      <c r="C45" s="380">
        <f>B45*bMHthit*(bMHasec+F3+instsec+Q18+D43)</f>
        <v>0</v>
      </c>
      <c r="D45" s="381">
        <f>$D$61</f>
        <v>0</v>
      </c>
      <c r="G45" s="362" t="s">
        <v>2232</v>
      </c>
      <c r="H45" s="162">
        <f>$F$25</f>
        <v>0.98</v>
      </c>
      <c r="I45" s="161">
        <f>K45/$F$25</f>
        <v>0</v>
      </c>
      <c r="J45" s="161">
        <f>IF(I45=0,0,1/I45)</f>
        <v>0</v>
      </c>
      <c r="K45" s="161">
        <f>IF(OR(instatk="v",instatk="mut"),instsec,0)</f>
        <v>0</v>
      </c>
      <c r="L45" s="162">
        <f>ohspd/60*H45</f>
        <v>2.2866666666666664E-2</v>
      </c>
      <c r="M45" s="364">
        <f>IF(I45=0,0,1/L45/I45)</f>
        <v>0</v>
      </c>
      <c r="O45" s="66" t="s">
        <v>527</v>
      </c>
      <c r="Q45" s="66">
        <f>IF(OR(trinket1="Darkmoon Card: Vengeance",trinket2="Darkmoon Card: Vengeance"),0.1*Q20*105*fullresist,0)</f>
        <v>0</v>
      </c>
      <c r="R45" s="66" t="s">
        <v>1752</v>
      </c>
    </row>
    <row r="46" spans="1:18">
      <c r="A46" s="376" t="s">
        <v>2980</v>
      </c>
      <c r="B46" s="893">
        <f>itHoJ</f>
        <v>0</v>
      </c>
      <c r="C46" s="380"/>
      <c r="D46" s="381">
        <f>$B$46*(bOHhsec+$G$6+$G$7)</f>
        <v>0</v>
      </c>
      <c r="F46" s="356"/>
      <c r="G46" s="362" t="s">
        <v>2299</v>
      </c>
      <c r="H46" s="162">
        <f>$K$25</f>
        <v>1</v>
      </c>
      <c r="I46" s="161">
        <f>K46/$K$25</f>
        <v>6.4249278896646056E-2</v>
      </c>
      <c r="J46" s="161">
        <f>IF(I46=0,0,1/I46)</f>
        <v>15.564377019836126</v>
      </c>
      <c r="K46" s="161">
        <f>$Q$18</f>
        <v>6.4249278896646056E-2</v>
      </c>
      <c r="L46" s="162">
        <f>MHspd/60*H46</f>
        <v>4.3333333333333335E-2</v>
      </c>
      <c r="M46" s="364">
        <f>IF(I46=0,0,1/L46/I46)</f>
        <v>359.17793122698748</v>
      </c>
      <c r="O46" s="66" t="s">
        <v>528</v>
      </c>
      <c r="Q46" s="73">
        <f>IF(mh="Syphon of the Nathrezim",IF(oh="Syphon of the Nathrezim",itSypBHup,itSypMHup),IF(oh="Syphon of the Nathrezim",itSypOHup,0))*(Q20*20)*fullresist*(1+(0.01*miseryimp)*misery)</f>
        <v>0</v>
      </c>
      <c r="R46" s="66" t="s">
        <v>1752</v>
      </c>
    </row>
    <row r="47" spans="1:18">
      <c r="A47" s="376" t="s">
        <v>520</v>
      </c>
      <c r="B47" s="379">
        <f>IF(Talents!O36="No",IF(mhtemp="Windfury",20%,0),0)</f>
        <v>0.2</v>
      </c>
      <c r="C47" s="380">
        <f>B47*bMHthit*(bMHasec+F3+D43+D46)</f>
        <v>0.13117277633061775</v>
      </c>
      <c r="D47" s="381">
        <f>$C$61</f>
        <v>0.15313810351325544</v>
      </c>
      <c r="G47" s="365" t="s">
        <v>2300</v>
      </c>
      <c r="H47" s="358">
        <f>(H42*I42+H43*I43+H44*I44+H45*I45+H46*I46)/I47</f>
        <v>0.98015242102426225</v>
      </c>
      <c r="I47" s="161">
        <f>SUM(I42:I46)</f>
        <v>2.4542601468494989</v>
      </c>
      <c r="J47" s="161">
        <f t="shared" si="2"/>
        <v>0.40745476851086332</v>
      </c>
      <c r="K47" s="161">
        <f>SUM(K42:K46)</f>
        <v>2.2573758781790807</v>
      </c>
      <c r="L47" s="162">
        <f>(I42*L42+I43*L43+I44*L44+I45*L45+I46*L46)/I47</f>
        <v>3.3374978855287174E-2</v>
      </c>
      <c r="M47" s="363">
        <f>1/(1/M42+1/M43+IF(M44=0,0,1/M44)+IF(M45=0,0,1/M45)+IF(M46=0,0,1/M46))</f>
        <v>12.208390311723463</v>
      </c>
      <c r="O47" s="66" t="s">
        <v>1334</v>
      </c>
      <c r="Q47" s="651">
        <f>IF(Talents!O36="No",IF('Gear &amp; Buffs'!$B138=1,(60-IF(CharLevel&gt;60,(CharLevel-60)*2,0))*IF(time=0,1/300,totalTeaIter/time), 0),0)</f>
        <v>0.13333333333333333</v>
      </c>
      <c r="R47" s="66" t="s">
        <v>813</v>
      </c>
    </row>
    <row r="48" spans="1:18">
      <c r="A48" s="382" t="s">
        <v>1894</v>
      </c>
      <c r="B48" s="377"/>
      <c r="C48" s="377"/>
      <c r="D48" s="383">
        <f>SUM($D$42:$D$47)</f>
        <v>0.32133894904104937</v>
      </c>
      <c r="G48" s="365" t="s">
        <v>2301</v>
      </c>
      <c r="H48" s="358">
        <f>(H42*I42+H44*I44+H46*I46)/I48</f>
        <v>0.98066525634831736</v>
      </c>
      <c r="I48" s="161">
        <f>I42+I44+I46</f>
        <v>1.314485401375733</v>
      </c>
      <c r="J48" s="161">
        <f t="shared" si="2"/>
        <v>0.76075397943058598</v>
      </c>
      <c r="K48" s="161">
        <f>I48*H48</f>
        <v>1.289070163106254</v>
      </c>
      <c r="L48" s="162">
        <f>(L42*I42+L44*I44+L46*I46)/I48</f>
        <v>4.2495494441760422E-2</v>
      </c>
      <c r="M48" s="363">
        <f>1/(1/M42+IF(M44=0,0,1/M44)+IF(M46=0,0,1/M46))</f>
        <v>17.901991479901252</v>
      </c>
      <c r="O48" s="66" t="s">
        <v>812</v>
      </c>
      <c r="Q48" s="73">
        <f>IF(mh="Rod of the Sun King",(Optimize!C25*10),IF(oh="Rod of the Sun King",(Optimize!C26*10),0))</f>
        <v>0</v>
      </c>
      <c r="R48" s="66" t="s">
        <v>813</v>
      </c>
    </row>
    <row r="49" spans="1:21">
      <c r="A49" s="376"/>
      <c r="B49" s="160"/>
      <c r="C49" s="160"/>
      <c r="D49" s="363"/>
      <c r="G49" s="365" t="s">
        <v>2302</v>
      </c>
      <c r="H49" s="358">
        <f>(H43*I43+H45*I45)/I49</f>
        <v>0.97956097560975597</v>
      </c>
      <c r="I49" s="161">
        <f>I43+I45</f>
        <v>1.1397747454737659</v>
      </c>
      <c r="J49" s="161">
        <f t="shared" si="2"/>
        <v>0.87736634275427272</v>
      </c>
      <c r="K49" s="161">
        <f>K43+K45</f>
        <v>1.1164788616516437</v>
      </c>
      <c r="L49" s="162">
        <f>(L43*I43+L45*I45)/I49</f>
        <v>2.2856422764227641E-2</v>
      </c>
      <c r="M49" s="363">
        <f>1/(1/M43+IF(M45=0,0,1/M45))</f>
        <v>38.38598681012455</v>
      </c>
      <c r="O49" s="66" t="s">
        <v>1335</v>
      </c>
      <c r="Q49" s="66">
        <f>IF(Talents!O36="No",IF('Gear &amp; Buffs'!$B139=1,(Q20*0.004*40),0)*IF(CoE,1.25,1)*(1+(0.01*miseryimp)*misery),0)</f>
        <v>0</v>
      </c>
      <c r="R49" s="66" t="s">
        <v>1752</v>
      </c>
    </row>
    <row r="50" spans="1:21">
      <c r="A50" s="384" t="s">
        <v>1099</v>
      </c>
      <c r="B50" s="377" t="s">
        <v>1100</v>
      </c>
      <c r="C50" s="377" t="s">
        <v>1101</v>
      </c>
      <c r="D50" s="378" t="s">
        <v>2981</v>
      </c>
      <c r="G50" s="362"/>
      <c r="H50" s="160"/>
      <c r="I50" s="160"/>
      <c r="J50" s="160"/>
      <c r="K50" s="160"/>
      <c r="L50" s="160"/>
      <c r="M50" s="363"/>
    </row>
    <row r="51" spans="1:21">
      <c r="A51" s="385">
        <f>$C$42</f>
        <v>4.8333644892667185E-2</v>
      </c>
      <c r="B51" s="386">
        <f>$C$44</f>
        <v>4.4258753673407057E-2</v>
      </c>
      <c r="C51" s="386">
        <f>$C$47</f>
        <v>0.13117277633061775</v>
      </c>
      <c r="D51" s="894">
        <f>$C$45</f>
        <v>0</v>
      </c>
      <c r="G51" s="365" t="s">
        <v>1132</v>
      </c>
      <c r="H51" s="160"/>
      <c r="I51" s="160"/>
      <c r="J51" s="160"/>
      <c r="K51" s="160"/>
      <c r="L51" s="160" t="s">
        <v>2303</v>
      </c>
      <c r="M51" s="363"/>
      <c r="O51" s="66" t="s">
        <v>2407</v>
      </c>
      <c r="Q51" s="651">
        <f>IF(AND(bs4p,NOT(instatk="Mut")), Optimize!C53, 0)</f>
        <v>0</v>
      </c>
      <c r="R51" s="66" t="s">
        <v>813</v>
      </c>
    </row>
    <row r="52" spans="1:21">
      <c r="A52" s="385">
        <f>$B$42*bMHthit*$C$44/(1-$C$44*$C$47*$C$45*bMHthit^3)</f>
        <v>2.1677073963797247E-3</v>
      </c>
      <c r="B52" s="386">
        <f>$B$44*bMHthit*$C$42/(1-$C$42*$C$47*$C$45*bMHthit^3)</f>
        <v>2.0516492683195849E-3</v>
      </c>
      <c r="C52" s="386">
        <f>$B$47*bMHthit*$C$42/(1-$C$42*$C$44*$C$45*bMHthit^3)</f>
        <v>9.4691504691673152E-3</v>
      </c>
      <c r="D52" s="894">
        <f>$B$45*bMHthit*$C$42/(1-$C$42*$C$44*$C$47*bMHthit^3)</f>
        <v>0</v>
      </c>
      <c r="G52" s="362"/>
      <c r="H52" s="160" t="s">
        <v>1187</v>
      </c>
      <c r="I52" s="160" t="s">
        <v>2296</v>
      </c>
      <c r="J52" s="160" t="s">
        <v>2297</v>
      </c>
      <c r="K52" s="160" t="s">
        <v>2309</v>
      </c>
      <c r="L52" s="160" t="s">
        <v>2304</v>
      </c>
      <c r="M52" s="363" t="s">
        <v>2305</v>
      </c>
      <c r="O52" s="66" t="s">
        <v>2408</v>
      </c>
      <c r="Q52" s="651">
        <f>IF(bs8p, 0.05*(D8-E8)*(5*evisec), 0)</f>
        <v>0</v>
      </c>
      <c r="R52" s="66" t="s">
        <v>1752</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0.22111169225206101</v>
      </c>
      <c r="I53" s="161">
        <f>I42</f>
        <v>0.93506381198846156</v>
      </c>
      <c r="J53" s="161">
        <f>1/I53</f>
        <v>1.0694457289213752</v>
      </c>
      <c r="K53" s="161">
        <f>I53*H53</f>
        <v>0.20675354183243175</v>
      </c>
      <c r="L53" s="162">
        <f>MHspd/60*H53</f>
        <v>9.5815066642559767E-3</v>
      </c>
      <c r="M53" s="364">
        <f>1/L53/I53</f>
        <v>111.61561186519509</v>
      </c>
      <c r="Q53" s="651"/>
    </row>
    <row r="54" spans="1:21">
      <c r="A54" s="385">
        <f>$B$42*bMHthit*$C$47/(1-$C$44*$C$47*$C$45*bMHthit^3)</f>
        <v>6.4245866377930123E-3</v>
      </c>
      <c r="B54" s="386">
        <f>$B$44*bMHthit*$C$47/(1-$C$42*$C$47*$C$45*bMHthit^3)</f>
        <v>5.5679750860872772E-3</v>
      </c>
      <c r="C54" s="386">
        <f>$B$47*bMHthit*$C$44/(1-$C$42*$C$44*$C$45*bMHthit^3)</f>
        <v>8.6708295855188987E-3</v>
      </c>
      <c r="D54" s="894">
        <f>$B$45*bMHthit*$C$47/(1-$C$42*$C$44*$C$47*bMHthit^3)</f>
        <v>0</v>
      </c>
      <c r="G54" s="362" t="s">
        <v>58</v>
      </c>
      <c r="H54" s="162">
        <f>bOHcrit</f>
        <v>0.22111169225206101</v>
      </c>
      <c r="I54" s="161">
        <f>I43</f>
        <v>1.1397747454737659</v>
      </c>
      <c r="J54" s="161">
        <f>1/I54</f>
        <v>0.87736634275427272</v>
      </c>
      <c r="K54" s="161">
        <f>I54*H54</f>
        <v>0.25201752275786649</v>
      </c>
      <c r="L54" s="162">
        <f>ohspd/60*H54</f>
        <v>5.1592728192147563E-3</v>
      </c>
      <c r="M54" s="364">
        <f>1/L54/I54</f>
        <v>170.05620239478017</v>
      </c>
    </row>
    <row r="55" spans="1:21">
      <c r="A55" s="385">
        <f>$B$42*bMHthit*$B$44*bMHthit*$C$45/(1-$C$44*$C$47*$C$45*bMHthit^3)</f>
        <v>0</v>
      </c>
      <c r="B55" s="386">
        <f>$B$44*bMHthit*$B$42*bMHthit*$C$45/(1-$C$42*$C$47*$C$45*bMHthit^3)</f>
        <v>0</v>
      </c>
      <c r="C55" s="386">
        <f>$B$47*bMHthit*$B$42*bMHthit*$C$44/(1-$C$42*$C$44*$C$45*bMHthit^3)</f>
        <v>4.2468031440684158E-4</v>
      </c>
      <c r="D55" s="894">
        <f>$B$45*bMHthit*$B$42*bMHthit*$C$44/(1-$C$42*$C$44*$C$47*bMHthit^3)</f>
        <v>0</v>
      </c>
      <c r="G55" s="362" t="s">
        <v>2231</v>
      </c>
      <c r="H55" s="162">
        <f>instcrit</f>
        <v>0.21668945840701978</v>
      </c>
      <c r="I55" s="161">
        <f>I44</f>
        <v>0.31517231049062555</v>
      </c>
      <c r="J55" s="161">
        <f>IF(I55=0,0,1/I55)</f>
        <v>3.1728675607425987</v>
      </c>
      <c r="K55" s="161">
        <f>I55*H55</f>
        <v>6.829451726510273E-2</v>
      </c>
      <c r="L55" s="162">
        <f>MHspd/60*H55</f>
        <v>9.3898765309708577E-3</v>
      </c>
      <c r="M55" s="364">
        <f>IF(I55=0,0,1/L55/I55)</f>
        <v>337.90301185297295</v>
      </c>
      <c r="Q55" s="78"/>
    </row>
    <row r="56" spans="1:21">
      <c r="A56" s="385">
        <f>$B$42*bMHthit*$B$44*bMHthit*$C$47/(1-$C$44*$C$47*$C$45*bMHthit^3)</f>
        <v>2.7270855537492349E-4</v>
      </c>
      <c r="B56" s="386">
        <f>$B$44*bMHthit*$B$42*bMHthit*$C$47/(1-$C$42*$C$47*$C$45*bMHthit^3)</f>
        <v>2.7270855537492349E-4</v>
      </c>
      <c r="C56" s="386">
        <f>$B$47*bMHthit*$B$42*bMHthit*$C$45/(1-$C$42*$C$44*$C$45*bMHthit^3)</f>
        <v>0</v>
      </c>
      <c r="D56" s="894">
        <f>$B$45*bMHthit*$B$42*bMHthit*$C$47/(1-$C$42*$C$44*$C$47*bMHthit^3)</f>
        <v>0</v>
      </c>
      <c r="G56" s="362" t="s">
        <v>2232</v>
      </c>
      <c r="H56" s="162">
        <f>instcrit</f>
        <v>0.21668945840701978</v>
      </c>
      <c r="I56" s="161">
        <f>I45</f>
        <v>0</v>
      </c>
      <c r="J56" s="161">
        <f>IF(I56=0,0,1/I56)</f>
        <v>0</v>
      </c>
      <c r="K56" s="161">
        <f>I56*H56</f>
        <v>0</v>
      </c>
      <c r="L56" s="162">
        <f>ohspd/60*H56</f>
        <v>5.0560873628304609E-3</v>
      </c>
      <c r="M56" s="364">
        <f>IF(I56=0,0,1/L56/I56)</f>
        <v>0</v>
      </c>
      <c r="R56" s="73"/>
    </row>
    <row r="57" spans="1:21">
      <c r="A57" s="385">
        <f>$B$42*bMHthit*$B$45*bMHthit*$C$44/(1-$C$44*$C$47*$C$45*bMHthit^3)</f>
        <v>0</v>
      </c>
      <c r="B57" s="386">
        <f>$B$44*bMHthit*$B$45*bMHthit*$C$42/(1-$C$42*$C$47*$C$45*bMHthit^3)</f>
        <v>0</v>
      </c>
      <c r="C57" s="386">
        <f>$B$47*bMHthit*$B$44*bMHthit*$C$42/(1-$C$42*$C$44*$C$45*bMHthit^3)</f>
        <v>4.0194311177683506E-4</v>
      </c>
      <c r="D57" s="894">
        <f>$B$45*bMHthit*$B$44*bMHthit*$C$42/(1-$C$42*$C$44*$C$47*bMHthit^3)</f>
        <v>0</v>
      </c>
      <c r="G57" s="362" t="s">
        <v>2299</v>
      </c>
      <c r="H57" s="162">
        <f>fincrit</f>
        <v>0.22111169225206101</v>
      </c>
      <c r="I57" s="161">
        <f>I46</f>
        <v>6.4249278896646056E-2</v>
      </c>
      <c r="J57" s="161">
        <f>IF(I57=0,0,1/I57)</f>
        <v>15.564377019836126</v>
      </c>
      <c r="K57" s="161">
        <f>I57*H57</f>
        <v>1.4206266782812041E-2</v>
      </c>
      <c r="L57" s="162">
        <f>MHspd/60*H57</f>
        <v>9.5815066642559767E-3</v>
      </c>
      <c r="M57" s="364">
        <f>IF(I57=0,0,1/L57/I57)</f>
        <v>1624.4185351244789</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2300</v>
      </c>
      <c r="H58" s="358">
        <f>(H53*I53+H54*I54+H55*I55+H56*I56+H57*I57)/I58</f>
        <v>0.22054379578833011</v>
      </c>
      <c r="I58" s="161">
        <f>SUM(I53:I57)</f>
        <v>2.4542601468494989</v>
      </c>
      <c r="J58" s="161">
        <f>1/I58</f>
        <v>0.40745476851086332</v>
      </c>
      <c r="K58" s="161">
        <f>SUM(K53:K57)</f>
        <v>0.54127184863821298</v>
      </c>
      <c r="L58" s="162">
        <f>(I53*L53+I54*L54+I55*L55+I56*L56+I57*L57)/I58</f>
        <v>7.5031829895745514E-3</v>
      </c>
      <c r="M58" s="363">
        <f>1/(1/M53+1/M54+IF(M55=0,0,1/M55)+IF(M56=0,0,1/M56)+IF(M57=0,0,1/M57))</f>
        <v>54.304255817432356</v>
      </c>
    </row>
    <row r="59" spans="1:21">
      <c r="A59" s="385">
        <f>$B$42*bMHthit*$B$47*bMHthit*$C$44/(1-$C$44*$C$47*$C$45*bMHthit^3)</f>
        <v>4.2468031440684158E-4</v>
      </c>
      <c r="B59" s="386">
        <f>$B$44*bMHthit*$B$47*bMHthit*$C$42/(1-$C$42*$C$47*$C$45*bMHthit^3)</f>
        <v>4.0194311177683506E-4</v>
      </c>
      <c r="C59" s="386">
        <f>$B$47*bMHthit*$B$45*bMHthit*$C$42/(1-$C$42*$C$44*$C$45*bMHthit^3)</f>
        <v>0</v>
      </c>
      <c r="D59" s="894">
        <f>$B$45*bMHthit*$B$47*bMHthit*$C$42/(1-$C$42*$C$44*$C$47*bMHthit^3)</f>
        <v>0</v>
      </c>
      <c r="G59" s="365" t="s">
        <v>2301</v>
      </c>
      <c r="H59" s="358">
        <f>(H53*I53+H55*I55+H57*I57)/I59</f>
        <v>0.22005137948098519</v>
      </c>
      <c r="I59" s="161">
        <f>I53+I55+I57</f>
        <v>1.314485401375733</v>
      </c>
      <c r="J59" s="161">
        <f>1/I59</f>
        <v>0.76075397943058598</v>
      </c>
      <c r="K59" s="161">
        <f>I59*H59</f>
        <v>0.28925432588034655</v>
      </c>
      <c r="L59" s="162">
        <f>(L53*I53+L55*I55+L57*I57)/I59</f>
        <v>9.5355597775093563E-3</v>
      </c>
      <c r="M59" s="363">
        <f>1/(1/M53+IF(M55=0,0,1/M55)+IF(M57=0,0,1/M57))</f>
        <v>79.780736231647992</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2302</v>
      </c>
      <c r="H60" s="367">
        <f>(H54*I54+H56*I56)/I60</f>
        <v>0.22111169225206101</v>
      </c>
      <c r="I60" s="368">
        <f>I54+I56</f>
        <v>1.1397747454737659</v>
      </c>
      <c r="J60" s="368">
        <f>1/I60</f>
        <v>0.87736634275427272</v>
      </c>
      <c r="K60" s="368">
        <f>K54+K56</f>
        <v>0.25201752275786649</v>
      </c>
      <c r="L60" s="369">
        <f>(L54*I54+L56*I56)/I60</f>
        <v>5.1592728192147563E-3</v>
      </c>
      <c r="M60" s="370">
        <f>1/(1/M54+IF(M56=0,0,1/M56))</f>
        <v>170.05620239478017</v>
      </c>
      <c r="Q60" s="68"/>
    </row>
    <row r="61" spans="1:21" ht="13.5" thickBot="1">
      <c r="A61" s="387">
        <f>SUM($A$51:$A$60)*(1-bMHthit^3*$B$44*$B$47*$B$45)/(1-(bMHthit^3*($B$42*$B$44+$B$44*$B$47+$B$42*$B$45+$B$44*$B$45+$B$45*$B$47+$B$42*$B$47+3*bMHthit^3*$B$42*$B$44*$B$45*$B$47)))</f>
        <v>5.8774234634357554E-2</v>
      </c>
      <c r="B61" s="388">
        <f>SUM($B$51:$B$60)*(1-bMHthit^3*$B$42*$B$47*$B$45)/(1-(bMHthit^3*($B$42*$B$44+$B$44*$B$47+$B$42*$B$45+$B$44*$B$45+$B$45*$B$47+$B$42*$B$47+3*bMHthit^3*$B$42*$B$44*$B$45*$B$47)))</f>
        <v>5.3602667810854189E-2</v>
      </c>
      <c r="C61" s="388">
        <f>SUM($C$51:$C$60)*(1-bMHthit^3*$B$44*$B$42*$B$45)/(1-(bMHthit^3*($B$42*$B$44+$B$44*$B$47+$B$42*$B$45+$B$44*$B$45+$B$45*$B$47+$B$42*$B$47+3*bMHthit^3*$B$42*$B$44*$B$45*$B$47)))</f>
        <v>0.15313810351325544</v>
      </c>
      <c r="D61" s="895">
        <f>SUM($D$51:$D$60)*(1-bMHthit^3*$B$44*$B$47*$B$42)/(1-(bMHthit^3*($B$42*$B$44+$B$44*$B$47+$B$42*$B$45+$B$44*$B$45+$B$45*$B$47+$B$42*$B$47+3*bMHthit^3*$B$42*$B$44*$B$45*$B$47)))</f>
        <v>0</v>
      </c>
      <c r="Q61" s="68"/>
      <c r="U61" s="206"/>
    </row>
    <row r="62" spans="1:21">
      <c r="C62" s="355"/>
      <c r="G62" s="359" t="s">
        <v>2982</v>
      </c>
      <c r="H62" s="360"/>
      <c r="I62" s="360"/>
      <c r="J62" s="360"/>
      <c r="K62" s="360"/>
      <c r="L62" s="360" t="s">
        <v>2303</v>
      </c>
      <c r="M62" s="361"/>
      <c r="Q62" s="68"/>
    </row>
    <row r="63" spans="1:21">
      <c r="C63" s="355"/>
      <c r="G63" s="362"/>
      <c r="H63" s="160" t="s">
        <v>1185</v>
      </c>
      <c r="I63" s="160" t="s">
        <v>2296</v>
      </c>
      <c r="J63" s="160" t="s">
        <v>2297</v>
      </c>
      <c r="K63" s="160" t="s">
        <v>504</v>
      </c>
      <c r="L63" s="160" t="s">
        <v>2304</v>
      </c>
      <c r="M63" s="363" t="s">
        <v>2305</v>
      </c>
      <c r="Q63" s="68"/>
    </row>
    <row r="64" spans="1:21">
      <c r="C64" s="78"/>
      <c r="G64" s="362" t="s">
        <v>57</v>
      </c>
      <c r="H64" s="162">
        <f>bMHthit</f>
        <v>0.97956097560975608</v>
      </c>
      <c r="I64" s="161">
        <f>SUM($F$2:$F$4)</f>
        <v>0.93506381198846156</v>
      </c>
      <c r="J64" s="161">
        <f t="shared" ref="J64:J71" si="3">1/I64</f>
        <v>1.0694457289213752</v>
      </c>
      <c r="K64" s="161">
        <f>SUM($G$2:$G$4)</f>
        <v>0.76777887334997796</v>
      </c>
      <c r="L64" s="162">
        <f>MHspd/60/(1+$Q$41)*H64</f>
        <v>2.6601523330433349E-2</v>
      </c>
      <c r="M64" s="364">
        <f>1/L64/I64</f>
        <v>40.202424336274028</v>
      </c>
    </row>
    <row r="65" spans="1:14">
      <c r="C65" s="78"/>
      <c r="G65" s="362" t="s">
        <v>58</v>
      </c>
      <c r="H65" s="162">
        <f>bOHthit</f>
        <v>0.97956097560975608</v>
      </c>
      <c r="I65" s="161">
        <f>SUM($F$5:$F$7)</f>
        <v>1.1397747454737659</v>
      </c>
      <c r="J65" s="161">
        <f t="shared" si="3"/>
        <v>0.87736634275427272</v>
      </c>
      <c r="K65" s="161">
        <f>SUM($G$5:$G$7)</f>
        <v>1.1164788616516437</v>
      </c>
      <c r="L65" s="162">
        <f>ohspd/60/(1+$Q$41)*H65</f>
        <v>1.4323897177925649E-2</v>
      </c>
      <c r="M65" s="364">
        <f>1/L65/I65</f>
        <v>61.251929684776663</v>
      </c>
    </row>
    <row r="66" spans="1:14">
      <c r="C66" s="78"/>
      <c r="G66" s="362" t="s">
        <v>2231</v>
      </c>
      <c r="H66" s="162">
        <f>$F$25</f>
        <v>0.98</v>
      </c>
      <c r="I66" s="161">
        <f>K66/$F$25</f>
        <v>0.31517231049062555</v>
      </c>
      <c r="J66" s="161">
        <f>IF(I66=0,0,1/I66)</f>
        <v>3.1728675607425987</v>
      </c>
      <c r="K66" s="161">
        <f>IF(instatk="v",0,instsec)</f>
        <v>0.30886886428081306</v>
      </c>
      <c r="L66" s="162">
        <f>MHspd/60*H66</f>
        <v>4.2466666666666666E-2</v>
      </c>
      <c r="M66" s="364">
        <f>IF(I66=0,0,1/L66/I66)</f>
        <v>74.714306767879094</v>
      </c>
    </row>
    <row r="67" spans="1:14">
      <c r="A67" s="355"/>
      <c r="B67" s="78"/>
      <c r="C67" s="78"/>
      <c r="G67" s="362" t="s">
        <v>2232</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2299</v>
      </c>
      <c r="H68" s="162">
        <f>$K$25</f>
        <v>1</v>
      </c>
      <c r="I68" s="161">
        <f>K68/$K$25</f>
        <v>6.4249278896646056E-2</v>
      </c>
      <c r="J68" s="161">
        <f>IF(I68=0,0,1/I68)</f>
        <v>15.564377019836126</v>
      </c>
      <c r="K68" s="161">
        <f>$Q$18</f>
        <v>6.4249278896646056E-2</v>
      </c>
      <c r="L68" s="162">
        <f>MHspd/60*H68</f>
        <v>4.3333333333333335E-2</v>
      </c>
      <c r="M68" s="364">
        <f>IF(I68=0,0,1/L68/I68)</f>
        <v>359.17793122698748</v>
      </c>
    </row>
    <row r="69" spans="1:14">
      <c r="A69" s="355"/>
      <c r="B69" s="78"/>
      <c r="C69" s="78"/>
      <c r="G69" s="365" t="s">
        <v>2300</v>
      </c>
      <c r="H69" s="358">
        <f>(H64*I64+H65*I65+H66*I66+H67*I67+H68*I68)/I69</f>
        <v>0.98015242102426225</v>
      </c>
      <c r="I69" s="161">
        <f>SUM(I64:I68)</f>
        <v>2.4542601468494989</v>
      </c>
      <c r="J69" s="161">
        <f t="shared" si="3"/>
        <v>0.40745476851086332</v>
      </c>
      <c r="K69" s="161">
        <f>SUM(K64:K68)</f>
        <v>2.2573758781790807</v>
      </c>
      <c r="L69" s="162">
        <f>(I64*L64+I65*L65+I66*L66+I67*L67+I68*L68)/I69</f>
        <v>2.3375105941757693E-2</v>
      </c>
      <c r="M69" s="363">
        <f>1/(1/M64+1/M65+IF(M66=0,0,1/M66)+IF(M67=0,0,1/M67)+IF(M68=0,0,1/M68))</f>
        <v>17.431141040647823</v>
      </c>
    </row>
    <row r="70" spans="1:14">
      <c r="A70" s="355"/>
      <c r="B70" s="78"/>
      <c r="C70" s="78"/>
      <c r="G70" s="365" t="s">
        <v>2301</v>
      </c>
      <c r="H70" s="358">
        <f>(H64*I64+H66*I66+H68*I68)/I70</f>
        <v>0.98066525634831736</v>
      </c>
      <c r="I70" s="161">
        <f>I64+I66+I68</f>
        <v>1.314485401375733</v>
      </c>
      <c r="J70" s="161">
        <f t="shared" si="3"/>
        <v>0.76075397943058598</v>
      </c>
      <c r="K70" s="161">
        <f>I70*H70</f>
        <v>1.289070163106254</v>
      </c>
      <c r="L70" s="162">
        <f>(L64*I64+L66*I66+L68*I68)/I70</f>
        <v>3.1223302014707275E-2</v>
      </c>
      <c r="M70" s="363">
        <f>1/(1/M64+IF(M66=0,0,1/M66)+IF(M68=0,0,1/M68))</f>
        <v>24.364943178407074</v>
      </c>
    </row>
    <row r="71" spans="1:14" ht="13.5" thickBot="1">
      <c r="A71" s="355"/>
      <c r="B71" s="78"/>
      <c r="C71" s="78"/>
      <c r="G71" s="366" t="s">
        <v>2302</v>
      </c>
      <c r="H71" s="367">
        <f>(H65*I65+H67*I67)/I71</f>
        <v>0.97956097560975597</v>
      </c>
      <c r="I71" s="368">
        <f>I65+I67</f>
        <v>1.1397747454737659</v>
      </c>
      <c r="J71" s="368">
        <f t="shared" si="3"/>
        <v>0.87736634275427272</v>
      </c>
      <c r="K71" s="368">
        <f>K65+K67</f>
        <v>1.1164788616516437</v>
      </c>
      <c r="L71" s="369">
        <f>(L65*I65+L67*I67)/I71</f>
        <v>1.4323897177925647E-2</v>
      </c>
      <c r="M71" s="370">
        <f>1/(1/M65+IF(M67=0,0,1/M67))</f>
        <v>61.251929684776663</v>
      </c>
    </row>
    <row r="72" spans="1:14" ht="13.5" thickBot="1">
      <c r="A72" s="355"/>
      <c r="B72" s="78"/>
      <c r="C72" s="78"/>
    </row>
    <row r="73" spans="1:14">
      <c r="A73" s="355"/>
      <c r="B73" s="78"/>
      <c r="C73" s="78"/>
      <c r="G73" s="359" t="s">
        <v>866</v>
      </c>
      <c r="H73" s="360"/>
      <c r="I73" s="360"/>
      <c r="J73" s="360"/>
      <c r="K73" s="360"/>
      <c r="L73" s="360" t="s">
        <v>2303</v>
      </c>
      <c r="M73" s="361"/>
    </row>
    <row r="74" spans="1:14">
      <c r="A74" s="355"/>
      <c r="B74" s="78"/>
      <c r="C74" s="78"/>
      <c r="G74" s="362"/>
      <c r="H74" s="160" t="s">
        <v>1185</v>
      </c>
      <c r="I74" s="160" t="s">
        <v>2296</v>
      </c>
      <c r="J74" s="160" t="s">
        <v>2297</v>
      </c>
      <c r="K74" s="160" t="s">
        <v>504</v>
      </c>
      <c r="L74" s="160" t="s">
        <v>2304</v>
      </c>
      <c r="M74" s="363" t="s">
        <v>2305</v>
      </c>
      <c r="N74" s="68">
        <f>IF(time=0, (1+('Gear &amp; Buffs'!$P$143-325*itDSTup)/(hasterate*100))*(1+blfl*20%*15/120), 'Cooldowns Calc'!AD1-(325*itDSTup)/(hasterate*100))</f>
        <v>1.1650282888959154</v>
      </c>
    </row>
    <row r="75" spans="1:14">
      <c r="A75" s="355"/>
      <c r="B75" s="78"/>
      <c r="C75" s="78"/>
      <c r="G75" s="362" t="s">
        <v>57</v>
      </c>
      <c r="H75" s="162">
        <f>bMHthit</f>
        <v>0.97956097560975608</v>
      </c>
      <c r="I75" s="161">
        <f>SUM($F$3:$F$4)+1/bMHspd*N$74</f>
        <v>0.91069213662058168</v>
      </c>
      <c r="J75" s="161">
        <f t="shared" ref="J75:J80" si="4">1/I75</f>
        <v>1.0980659212791977</v>
      </c>
      <c r="K75" s="161">
        <f>SUM($G$2:$G$4)</f>
        <v>0.76777887334997796</v>
      </c>
      <c r="L75" s="162">
        <f>MHspd/60*H75</f>
        <v>4.2447642276422767E-2</v>
      </c>
      <c r="M75" s="364">
        <f>1/L75/I75</f>
        <v>25.868714076708812</v>
      </c>
      <c r="N75" s="68"/>
    </row>
    <row r="76" spans="1:14">
      <c r="A76" s="355"/>
      <c r="B76" s="78"/>
      <c r="C76" s="78"/>
      <c r="G76" s="362" t="s">
        <v>58</v>
      </c>
      <c r="H76" s="162">
        <f>bOHthit</f>
        <v>0.97956097560975608</v>
      </c>
      <c r="I76" s="161">
        <f>SUM($F$6:$F$7)+1/bOHspd*N$74</f>
        <v>1.0945130626477031</v>
      </c>
      <c r="J76" s="161">
        <f t="shared" si="4"/>
        <v>0.91364830089915106</v>
      </c>
      <c r="K76" s="161">
        <f>SUM($G$5:$G$7)</f>
        <v>1.1164788616516437</v>
      </c>
      <c r="L76" s="162">
        <f>ohspd/60*H76</f>
        <v>2.2856422764227641E-2</v>
      </c>
      <c r="M76" s="364">
        <f>1/L76/I76</f>
        <v>39.973372488064619</v>
      </c>
    </row>
    <row r="77" spans="1:14">
      <c r="A77" s="355"/>
      <c r="B77" s="78"/>
      <c r="C77" s="78"/>
      <c r="G77" s="362" t="s">
        <v>2231</v>
      </c>
      <c r="H77" s="162">
        <f>$F$25</f>
        <v>0.98</v>
      </c>
      <c r="I77" s="161">
        <f>K77/$F$25</f>
        <v>0.31517231049062555</v>
      </c>
      <c r="J77" s="161">
        <f>IF(I77=0,0,1/I77)</f>
        <v>3.1728675607425987</v>
      </c>
      <c r="K77" s="161">
        <f>IF(instatk="v",0,instsec)</f>
        <v>0.30886886428081306</v>
      </c>
      <c r="L77" s="162">
        <f>MHspd/60*H77</f>
        <v>4.2466666666666666E-2</v>
      </c>
      <c r="M77" s="364">
        <f>IF(I77=0,0,1/L77/I77)</f>
        <v>74.714306767879094</v>
      </c>
    </row>
    <row r="78" spans="1:14">
      <c r="A78" s="355"/>
      <c r="B78" s="78"/>
      <c r="C78" s="78"/>
      <c r="G78" s="362" t="s">
        <v>2232</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2299</v>
      </c>
      <c r="H79" s="162">
        <f>$K$25</f>
        <v>1</v>
      </c>
      <c r="I79" s="161">
        <f>K79/$K$25</f>
        <v>6.4249278896646056E-2</v>
      </c>
      <c r="J79" s="161">
        <f>IF(I79=0,0,1/I79)</f>
        <v>15.564377019836126</v>
      </c>
      <c r="K79" s="161">
        <f>$Q$18</f>
        <v>6.4249278896646056E-2</v>
      </c>
      <c r="L79" s="162">
        <f>MHspd/60*H79</f>
        <v>4.3333333333333335E-2</v>
      </c>
      <c r="M79" s="364">
        <f>IF(I79=0,0,1/L79/I79)</f>
        <v>359.17793122698748</v>
      </c>
    </row>
    <row r="80" spans="1:14" ht="13.5" thickBot="1">
      <c r="A80" s="355"/>
      <c r="B80" s="78"/>
      <c r="C80" s="78"/>
      <c r="G80" s="366" t="s">
        <v>2300</v>
      </c>
      <c r="H80" s="367">
        <f>(H75*I75+H76*I76+H77*I77+H78*I78+H79*I79)/I80</f>
        <v>0.98016969178989988</v>
      </c>
      <c r="I80" s="368">
        <f>SUM(I75:I79)</f>
        <v>2.3846267886555563</v>
      </c>
      <c r="J80" s="368">
        <f t="shared" si="4"/>
        <v>0.41935283322208933</v>
      </c>
      <c r="K80" s="368">
        <f>SUM(K75:K79)</f>
        <v>2.2573758781790807</v>
      </c>
      <c r="L80" s="369">
        <f>(I75*L75+I76*L76+I77*L77+I78*L78+I79*L79)/I80</f>
        <v>3.3481901893798995E-2</v>
      </c>
      <c r="M80" s="370">
        <f>1/(1/M75+1/M76+IF(M77=0,0,1/M77)+IF(M78=0,0,1/M78)+IF(M79=0,0,1/M79))</f>
        <v>12.524761423417093</v>
      </c>
    </row>
    <row r="81" spans="1:14" ht="13.5" thickBot="1">
      <c r="A81" s="355"/>
      <c r="B81" s="78"/>
      <c r="C81" s="78"/>
    </row>
    <row r="82" spans="1:14">
      <c r="A82" s="355"/>
      <c r="B82" s="78"/>
      <c r="C82" s="78"/>
      <c r="G82" s="359" t="s">
        <v>1675</v>
      </c>
      <c r="H82" s="360"/>
      <c r="I82" s="360"/>
      <c r="J82" s="360"/>
      <c r="K82" s="360"/>
      <c r="L82" s="360" t="s">
        <v>2303</v>
      </c>
      <c r="M82" s="361"/>
    </row>
    <row r="83" spans="1:14">
      <c r="A83" s="355"/>
      <c r="B83" s="78"/>
      <c r="C83" s="78"/>
      <c r="G83" s="362"/>
      <c r="H83" s="160" t="s">
        <v>1185</v>
      </c>
      <c r="I83" s="160" t="s">
        <v>2296</v>
      </c>
      <c r="J83" s="160" t="s">
        <v>2297</v>
      </c>
      <c r="K83" s="160" t="s">
        <v>504</v>
      </c>
      <c r="L83" s="160" t="s">
        <v>2304</v>
      </c>
      <c r="M83" s="363" t="s">
        <v>2305</v>
      </c>
      <c r="N83" s="68">
        <f>IF(time=0, (1+('Gear &amp; Buffs'!$P$143-450*stTwinUP)/(hasterate*100))*(1+blfl*20%*15/120), 'Cooldowns Calc'!AD1-(450*stTwinUP)/(hasterate*100))</f>
        <v>1.178726918585584</v>
      </c>
    </row>
    <row r="84" spans="1:14">
      <c r="A84" s="355"/>
      <c r="B84" s="78"/>
      <c r="C84" s="78"/>
      <c r="G84" s="362" t="s">
        <v>57</v>
      </c>
      <c r="H84" s="162">
        <f>bMHthit</f>
        <v>0.97956097560975608</v>
      </c>
      <c r="I84" s="161">
        <f>SUM($F$3:$F$4)+1/bMHspd*N$83</f>
        <v>0.91596084034737735</v>
      </c>
      <c r="J84" s="161">
        <f t="shared" ref="J84:J89" si="5">1/I84</f>
        <v>1.0917497298473491</v>
      </c>
      <c r="K84" s="161">
        <f>SUM($G$2:$G$4)</f>
        <v>0.76777887334997796</v>
      </c>
      <c r="L84" s="162">
        <f>MHspd/60*H84</f>
        <v>4.2447642276422767E-2</v>
      </c>
      <c r="M84" s="364">
        <f>1/L84/I84</f>
        <v>25.719914494609124</v>
      </c>
      <c r="N84" s="68"/>
    </row>
    <row r="85" spans="1:14">
      <c r="A85" s="355"/>
      <c r="B85" s="78"/>
      <c r="C85" s="78"/>
      <c r="G85" s="362" t="s">
        <v>58</v>
      </c>
      <c r="H85" s="162">
        <f>bOHthit</f>
        <v>0.97956097560975608</v>
      </c>
      <c r="I85" s="161">
        <f>SUM($F$6:$F$7)+1/bOHspd*N$83</f>
        <v>1.1042977981403235</v>
      </c>
      <c r="J85" s="161">
        <f t="shared" si="5"/>
        <v>0.90555283337885428</v>
      </c>
      <c r="K85" s="161">
        <f>SUM($G$5:$G$7)</f>
        <v>1.1164788616516437</v>
      </c>
      <c r="L85" s="162">
        <f>ohspd/60*H85</f>
        <v>2.2856422764227641E-2</v>
      </c>
      <c r="M85" s="364">
        <f>1/L85/I85</f>
        <v>39.619184625694182</v>
      </c>
    </row>
    <row r="86" spans="1:14">
      <c r="A86" s="355"/>
      <c r="B86" s="78"/>
      <c r="C86" s="78"/>
      <c r="G86" s="362" t="s">
        <v>2231</v>
      </c>
      <c r="H86" s="162">
        <f>$F$25</f>
        <v>0.98</v>
      </c>
      <c r="I86" s="161">
        <f>K86/$F$25</f>
        <v>0.31517231049062555</v>
      </c>
      <c r="J86" s="161">
        <f>IF(I86=0,0,1/I86)</f>
        <v>3.1728675607425987</v>
      </c>
      <c r="K86" s="161">
        <f>IF(instatk="v",0,instsec)</f>
        <v>0.30886886428081306</v>
      </c>
      <c r="L86" s="162">
        <f>MHspd/60*H86</f>
        <v>4.2466666666666666E-2</v>
      </c>
      <c r="M86" s="364">
        <f>IF(I86=0,0,1/L86/I86)</f>
        <v>74.714306767879094</v>
      </c>
    </row>
    <row r="87" spans="1:14">
      <c r="A87" s="355"/>
      <c r="B87" s="78"/>
      <c r="C87" s="78"/>
      <c r="G87" s="362" t="s">
        <v>2232</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2299</v>
      </c>
      <c r="H88" s="162">
        <f>$K$25</f>
        <v>1</v>
      </c>
      <c r="I88" s="161">
        <f>K88/$K$25</f>
        <v>6.4249278896646056E-2</v>
      </c>
      <c r="J88" s="161">
        <f>IF(I88=0,0,1/I88)</f>
        <v>15.564377019836126</v>
      </c>
      <c r="K88" s="161">
        <f>$Q$18</f>
        <v>6.4249278896646056E-2</v>
      </c>
      <c r="L88" s="162">
        <f>MHspd/60*H88</f>
        <v>4.3333333333333335E-2</v>
      </c>
      <c r="M88" s="364">
        <f>IF(I88=0,0,1/L88/I88)</f>
        <v>359.17793122698748</v>
      </c>
    </row>
    <row r="89" spans="1:14" ht="13.5" thickBot="1">
      <c r="A89" s="355"/>
      <c r="B89" s="78"/>
      <c r="C89" s="78"/>
      <c r="G89" s="366" t="s">
        <v>2300</v>
      </c>
      <c r="H89" s="367">
        <f>(H84*I84+H85*I85+H86*I86+H87*I87+H88*I88)/I89</f>
        <v>0.9801658732511157</v>
      </c>
      <c r="I89" s="368">
        <f>SUM(I84:I88)</f>
        <v>2.3996802278749727</v>
      </c>
      <c r="J89" s="368">
        <f t="shared" si="5"/>
        <v>0.41672219005844208</v>
      </c>
      <c r="K89" s="368">
        <f>SUM(K84:K88)</f>
        <v>2.2573758781790807</v>
      </c>
      <c r="L89" s="369">
        <f>(I84*L84+I85*L85+I86*L86+I87*L87+I88*L88)/I89</f>
        <v>3.3458261380226041E-2</v>
      </c>
      <c r="M89" s="370">
        <f>1/(1/M84+1/M85+IF(M86=0,0,1/M86)+IF(M87=0,0,1/M87)+IF(M88=0,0,1/M88))</f>
        <v>12.45498638804724</v>
      </c>
    </row>
    <row r="90" spans="1:14" ht="13.5" thickBot="1">
      <c r="A90" s="355"/>
      <c r="B90" s="78"/>
      <c r="C90" s="78"/>
    </row>
    <row r="91" spans="1:14">
      <c r="A91" s="355"/>
      <c r="B91" s="78"/>
      <c r="C91" s="78"/>
      <c r="G91" s="359" t="s">
        <v>2873</v>
      </c>
      <c r="H91" s="360"/>
      <c r="I91" s="360"/>
      <c r="J91" s="360"/>
      <c r="K91" s="360"/>
      <c r="L91" s="360" t="s">
        <v>2303</v>
      </c>
      <c r="M91" s="361"/>
    </row>
    <row r="92" spans="1:14">
      <c r="A92" s="355"/>
      <c r="B92" s="78"/>
      <c r="C92" s="78"/>
      <c r="G92" s="362"/>
      <c r="H92" s="160" t="s">
        <v>1185</v>
      </c>
      <c r="I92" s="160" t="s">
        <v>2296</v>
      </c>
      <c r="J92" s="160" t="s">
        <v>2297</v>
      </c>
      <c r="K92" s="160" t="s">
        <v>504</v>
      </c>
      <c r="L92" s="160" t="s">
        <v>2304</v>
      </c>
      <c r="M92" s="363" t="s">
        <v>2305</v>
      </c>
      <c r="N92" s="68">
        <f>IF(time=0, (1+('Gear &amp; Buffs'!$P$143-240*itTSDup)/(hasterate*100))*(1+blfl*20%*15/120), 'Cooldowns Calc'!$AD$1-(240*itTSDup)/(hasterate*100))</f>
        <v>1.2109323874494358</v>
      </c>
    </row>
    <row r="93" spans="1:14">
      <c r="A93" s="355"/>
      <c r="B93" s="78"/>
      <c r="C93" s="78"/>
      <c r="G93" s="362" t="s">
        <v>57</v>
      </c>
      <c r="H93" s="162">
        <f>bMHthit</f>
        <v>0.97956097560975608</v>
      </c>
      <c r="I93" s="161">
        <f>SUM($F$3:$F$4)+1/bMHspd*N$92</f>
        <v>0.9283475591411664</v>
      </c>
      <c r="J93" s="161">
        <f t="shared" ref="J93:J94" si="6">1/I93</f>
        <v>1.0771827750860041</v>
      </c>
      <c r="K93" s="161">
        <f>SUM($G$2:$G$4)</f>
        <v>0.76777887334997796</v>
      </c>
      <c r="L93" s="162">
        <f>MHspd/60*H93</f>
        <v>4.2447642276422767E-2</v>
      </c>
      <c r="M93" s="364">
        <f>1/L93/I93</f>
        <v>25.37673984508481</v>
      </c>
      <c r="N93" s="68"/>
    </row>
    <row r="94" spans="1:14">
      <c r="A94" s="355"/>
      <c r="B94" s="78"/>
      <c r="C94" s="78"/>
      <c r="G94" s="362" t="s">
        <v>58</v>
      </c>
      <c r="H94" s="162">
        <f>bOHthit</f>
        <v>0.97956097560975608</v>
      </c>
      <c r="I94" s="161">
        <f>SUM($F$6:$F$7)+1/bOHspd*N$92</f>
        <v>1.127301704471646</v>
      </c>
      <c r="J94" s="161">
        <f t="shared" si="6"/>
        <v>0.88707397144288813</v>
      </c>
      <c r="K94" s="161">
        <f>SUM($G$5:$G$7)</f>
        <v>1.1164788616516437</v>
      </c>
      <c r="L94" s="162">
        <f>ohspd/60*H94</f>
        <v>2.2856422764227641E-2</v>
      </c>
      <c r="M94" s="364">
        <f>1/L94/I94</f>
        <v>38.81070894572526</v>
      </c>
    </row>
    <row r="95" spans="1:14">
      <c r="A95" s="355"/>
      <c r="B95" s="78"/>
      <c r="C95" s="78"/>
      <c r="G95" s="362" t="s">
        <v>2231</v>
      </c>
      <c r="H95" s="162">
        <f>$F$25</f>
        <v>0.98</v>
      </c>
      <c r="I95" s="161">
        <f>K95/$F$25</f>
        <v>0.31517231049062555</v>
      </c>
      <c r="J95" s="161">
        <f>IF(I95=0,0,1/I95)</f>
        <v>3.1728675607425987</v>
      </c>
      <c r="K95" s="161">
        <f>IF(instatk="v",0,instsec)</f>
        <v>0.30886886428081306</v>
      </c>
      <c r="L95" s="162">
        <f>MHspd/60*H95</f>
        <v>4.2466666666666666E-2</v>
      </c>
      <c r="M95" s="364">
        <f>IF(I95=0,0,1/L95/I95)</f>
        <v>74.714306767879094</v>
      </c>
    </row>
    <row r="96" spans="1:14">
      <c r="A96" s="355"/>
      <c r="B96" s="78"/>
      <c r="C96" s="78"/>
      <c r="G96" s="362" t="s">
        <v>2232</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2299</v>
      </c>
      <c r="H97" s="162">
        <f>$K$25</f>
        <v>1</v>
      </c>
      <c r="I97" s="161">
        <f>K97/$K$25</f>
        <v>6.4249278896646056E-2</v>
      </c>
      <c r="J97" s="161">
        <f>IF(I97=0,0,1/I97)</f>
        <v>15.564377019836126</v>
      </c>
      <c r="K97" s="161">
        <f>$Q$18</f>
        <v>6.4249278896646056E-2</v>
      </c>
      <c r="L97" s="162">
        <f>MHspd/60*H97</f>
        <v>4.3333333333333335E-2</v>
      </c>
      <c r="M97" s="364">
        <f>IF(I97=0,0,1/L97/I97)</f>
        <v>359.17793122698748</v>
      </c>
    </row>
    <row r="98" spans="1:14" ht="13.5" thickBot="1">
      <c r="A98" s="355"/>
      <c r="B98" s="78"/>
      <c r="C98" s="78"/>
      <c r="G98" s="366" t="s">
        <v>2300</v>
      </c>
      <c r="H98" s="367">
        <f>(H93*I93+H94*I94+H95*I95+H96*I96+H97*I97)/I98</f>
        <v>0.9801570818413553</v>
      </c>
      <c r="I98" s="368">
        <f>SUM(I93:I97)</f>
        <v>2.435070853000084</v>
      </c>
      <c r="J98" s="368">
        <f t="shared" ref="J98" si="7">1/I98</f>
        <v>0.41066566862642562</v>
      </c>
      <c r="K98" s="368">
        <f>SUM(K93:K97)</f>
        <v>2.2573758781790807</v>
      </c>
      <c r="L98" s="369">
        <f>(I93*L93+I94*L94+I95*L95+I96*L96+I97*L97)/I98</f>
        <v>3.3403833900628281E-2</v>
      </c>
      <c r="M98" s="370">
        <f>1/(1/M93+1/M94+IF(M95=0,0,1/M95)+IF(M96=0,0,1/M96)+IF(M97=0,0,1/M97))</f>
        <v>12.293968107017244</v>
      </c>
    </row>
    <row r="99" spans="1:14" ht="13.5" thickBot="1">
      <c r="A99" s="355"/>
      <c r="B99" s="78"/>
      <c r="C99" s="78"/>
    </row>
    <row r="100" spans="1:14">
      <c r="A100" s="355"/>
      <c r="B100" s="78"/>
      <c r="C100" s="78"/>
      <c r="G100" s="359" t="s">
        <v>3012</v>
      </c>
      <c r="H100" s="360"/>
      <c r="I100" s="360"/>
      <c r="J100" s="360"/>
      <c r="K100" s="360"/>
      <c r="L100" s="360" t="s">
        <v>2303</v>
      </c>
      <c r="M100" s="361"/>
    </row>
    <row r="101" spans="1:14">
      <c r="A101" s="355"/>
      <c r="B101" s="78"/>
      <c r="C101" s="78"/>
      <c r="G101" s="362"/>
      <c r="H101" s="160" t="s">
        <v>1185</v>
      </c>
      <c r="I101" s="160" t="s">
        <v>2296</v>
      </c>
      <c r="J101" s="160" t="s">
        <v>2297</v>
      </c>
      <c r="K101" s="160" t="s">
        <v>504</v>
      </c>
      <c r="L101" s="160" t="s">
        <v>2304</v>
      </c>
      <c r="M101" s="363" t="s">
        <v>2305</v>
      </c>
      <c r="N101" s="68">
        <f>IF(time=0, (1+('Gear &amp; Buffs'!$P$143-180*itTSDup)/(hasterate*100))*(1+blfl*20%*15/120), 'Cooldowns Calc'!$AD$1-(180*itTSDup)/(hasterate*100))</f>
        <v>1.2152979518001776</v>
      </c>
    </row>
    <row r="102" spans="1:14">
      <c r="A102" s="355"/>
      <c r="B102" s="78"/>
      <c r="C102" s="78"/>
      <c r="G102" s="362" t="s">
        <v>57</v>
      </c>
      <c r="H102" s="162">
        <f>bMHthit</f>
        <v>0.97956097560975608</v>
      </c>
      <c r="I102" s="161">
        <f>SUM($F$3:$F$4)+1/bMHspd*N$101</f>
        <v>0.93002662235299027</v>
      </c>
      <c r="J102" s="161">
        <f t="shared" ref="J102:J103" si="8">1/I102</f>
        <v>1.0752380372402408</v>
      </c>
      <c r="K102" s="161">
        <f>SUM($G$2:$G$4)</f>
        <v>0.76777887334997796</v>
      </c>
      <c r="L102" s="162">
        <f>MHspd/60*H102</f>
        <v>4.2447642276422767E-2</v>
      </c>
      <c r="M102" s="364">
        <f>1/L102/I102</f>
        <v>25.330924865937114</v>
      </c>
      <c r="N102" s="68"/>
    </row>
    <row r="103" spans="1:14">
      <c r="A103" s="355"/>
      <c r="B103" s="78"/>
      <c r="C103" s="78"/>
      <c r="G103" s="362" t="s">
        <v>58</v>
      </c>
      <c r="H103" s="162">
        <f>bOHthit</f>
        <v>0.97956097560975608</v>
      </c>
      <c r="I103" s="161">
        <f>SUM($F$6:$F$7)+1/bOHspd*N$101</f>
        <v>1.130419964722176</v>
      </c>
      <c r="J103" s="161">
        <f t="shared" si="8"/>
        <v>0.88462698042118415</v>
      </c>
      <c r="K103" s="161">
        <f>SUM($G$5:$G$7)</f>
        <v>1.1164788616516437</v>
      </c>
      <c r="L103" s="162">
        <f>ohspd/60*H103</f>
        <v>2.2856422764227641E-2</v>
      </c>
      <c r="M103" s="364">
        <f>1/L103/I103</f>
        <v>38.703649715724765</v>
      </c>
    </row>
    <row r="104" spans="1:14">
      <c r="A104" s="355"/>
      <c r="B104" s="78"/>
      <c r="C104" s="78"/>
      <c r="G104" s="362" t="s">
        <v>2231</v>
      </c>
      <c r="H104" s="162">
        <f>$F$25</f>
        <v>0.98</v>
      </c>
      <c r="I104" s="161">
        <f>K104/$F$25</f>
        <v>0.31517231049062555</v>
      </c>
      <c r="J104" s="161">
        <f>IF(I104=0,0,1/I104)</f>
        <v>3.1728675607425987</v>
      </c>
      <c r="K104" s="161">
        <f>IF(instatk="v",0,instsec)</f>
        <v>0.30886886428081306</v>
      </c>
      <c r="L104" s="162">
        <f>MHspd/60*H104</f>
        <v>4.2466666666666666E-2</v>
      </c>
      <c r="M104" s="364">
        <f>IF(I104=0,0,1/L104/I104)</f>
        <v>74.714306767879094</v>
      </c>
    </row>
    <row r="105" spans="1:14">
      <c r="A105" s="355"/>
      <c r="B105" s="78"/>
      <c r="C105" s="78"/>
      <c r="G105" s="362" t="s">
        <v>2232</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2299</v>
      </c>
      <c r="H106" s="162">
        <f>$K$25</f>
        <v>1</v>
      </c>
      <c r="I106" s="161">
        <f>K106/$K$25</f>
        <v>6.4249278896646056E-2</v>
      </c>
      <c r="J106" s="161">
        <f>IF(I106=0,0,1/I106)</f>
        <v>15.564377019836126</v>
      </c>
      <c r="K106" s="161">
        <f>$Q$18</f>
        <v>6.4249278896646056E-2</v>
      </c>
      <c r="L106" s="162">
        <f>MHspd/60*H106</f>
        <v>4.3333333333333335E-2</v>
      </c>
      <c r="M106" s="364">
        <f>IF(I106=0,0,1/L106/I106)</f>
        <v>359.17793122698748</v>
      </c>
    </row>
    <row r="107" spans="1:14" ht="13.5" thickBot="1">
      <c r="G107" s="366" t="s">
        <v>2301</v>
      </c>
      <c r="H107" s="367">
        <f>(H102*I102+H104*I104+H106*I106)/I107</f>
        <v>0.9806695042990502</v>
      </c>
      <c r="I107" s="368">
        <f>I102+I104+I106</f>
        <v>1.3094482117402619</v>
      </c>
      <c r="J107" s="368">
        <f t="shared" ref="J107" si="9">1/I107</f>
        <v>0.76368045031043719</v>
      </c>
      <c r="K107" s="368">
        <f>K102+K104+K106</f>
        <v>1.140897016527437</v>
      </c>
      <c r="L107" s="369">
        <f>(I102*L102+I104*L104+I106*L106)/I107</f>
        <v>4.2495678519625511E-2</v>
      </c>
      <c r="M107" s="370">
        <f>1/(1/M102+IF(M104=0,0,1/M104)+IF(M106=0,0,1/M106))</f>
        <v>17.97077907481231</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Y7" workbookViewId="0">
      <selection activeCell="AS3" sqref="AS3"/>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3087</v>
      </c>
      <c r="X1" t="s">
        <v>2893</v>
      </c>
      <c r="Y1" s="25">
        <f>SUMPRODUCT(Y3:Y602,AB3:AB602,AD3:AD602)/(AD1*AB1*IF(time=0,1,time))</f>
        <v>0</v>
      </c>
      <c r="Z1" s="25">
        <f>SUMPRODUCT(Z3:Z602,AB3:AB602,AD3:AD602)/(AD1*AB1*IF(time=0,1,time))</f>
        <v>76.157299099329023</v>
      </c>
      <c r="AA1" s="29">
        <f>SUMPRODUCT(AB3:AB602,AD3:AD602)/(AD1*IF(time=0,1,time))</f>
        <v>0.74178816089935429</v>
      </c>
      <c r="AB1" s="29">
        <f>SUM(AB3:AB602)/IF(time=0,1,time)</f>
        <v>0.7417881608993474</v>
      </c>
      <c r="AC1" s="25">
        <f>SUM(AC3:AC602)/IF(time=0,1,time)</f>
        <v>211.49804426656914</v>
      </c>
      <c r="AD1" s="29">
        <f>SUM(AD3:AD602)/IF(time=0,1,time)</f>
        <v>1.2283946448524035</v>
      </c>
      <c r="AE1" s="25">
        <f>SUM(AF3:AF602)</f>
        <v>4163.3074246350661</v>
      </c>
      <c r="AF1" s="25">
        <f>SUM(AF3:AF602)/IF(time=0,1,time)</f>
        <v>13.87769141545022</v>
      </c>
      <c r="AG1" s="25">
        <f>SUM(AG3:AG602)/IF(time=0,1,time)*bGlobDam*(1+DDmult)*IF(Talents!$O$27="Instants",1+Talents!I37*20%/(30*instsec),1)</f>
        <v>327.58159382962725</v>
      </c>
    </row>
    <row r="2" spans="1:49">
      <c r="A2" t="s">
        <v>125</v>
      </c>
      <c r="B2" t="s">
        <v>2898</v>
      </c>
      <c r="C2" t="s">
        <v>2899</v>
      </c>
      <c r="D2" t="s">
        <v>2900</v>
      </c>
      <c r="E2" t="s">
        <v>2901</v>
      </c>
      <c r="F2" t="s">
        <v>2902</v>
      </c>
      <c r="G2" t="s">
        <v>2903</v>
      </c>
      <c r="H2" t="s">
        <v>2904</v>
      </c>
      <c r="I2" t="s">
        <v>2905</v>
      </c>
      <c r="J2" t="s">
        <v>2906</v>
      </c>
      <c r="K2" t="s">
        <v>2907</v>
      </c>
      <c r="L2" t="s">
        <v>2908</v>
      </c>
      <c r="M2" t="s">
        <v>2909</v>
      </c>
      <c r="N2" t="s">
        <v>2989</v>
      </c>
      <c r="O2" t="s">
        <v>2990</v>
      </c>
      <c r="P2" t="s">
        <v>2991</v>
      </c>
      <c r="Q2" t="s">
        <v>2992</v>
      </c>
      <c r="R2" t="s">
        <v>2994</v>
      </c>
      <c r="S2" t="s">
        <v>2993</v>
      </c>
      <c r="T2" t="s">
        <v>2967</v>
      </c>
      <c r="U2" t="s">
        <v>2966</v>
      </c>
      <c r="V2" t="s">
        <v>2910</v>
      </c>
      <c r="W2" t="s">
        <v>2911</v>
      </c>
      <c r="X2" t="s">
        <v>2912</v>
      </c>
      <c r="Y2" t="s">
        <v>1214</v>
      </c>
      <c r="Z2" t="s">
        <v>767</v>
      </c>
      <c r="AA2" t="s">
        <v>2895</v>
      </c>
      <c r="AB2" s="29" t="s">
        <v>2913</v>
      </c>
      <c r="AC2" s="25" t="s">
        <v>770</v>
      </c>
      <c r="AD2" s="29" t="s">
        <v>2896</v>
      </c>
      <c r="AE2" s="25" t="s">
        <v>320</v>
      </c>
      <c r="AF2" s="25" t="s">
        <v>320</v>
      </c>
      <c r="AG2" s="25" t="s">
        <v>2996</v>
      </c>
      <c r="AH2" s="25" t="s">
        <v>3024</v>
      </c>
      <c r="AI2" s="25" t="s">
        <v>3022</v>
      </c>
      <c r="AJ2" s="25" t="s">
        <v>3023</v>
      </c>
      <c r="AL2" t="s">
        <v>2894</v>
      </c>
      <c r="AM2" t="s">
        <v>1707</v>
      </c>
      <c r="AO2" t="s">
        <v>1214</v>
      </c>
      <c r="AP2" t="s">
        <v>767</v>
      </c>
      <c r="AQ2" t="s">
        <v>2895</v>
      </c>
      <c r="AR2" t="s">
        <v>770</v>
      </c>
      <c r="AS2" t="s">
        <v>2896</v>
      </c>
      <c r="AT2" t="s">
        <v>2897</v>
      </c>
      <c r="AU2" t="s">
        <v>2964</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IF($A3&lt;0,0,$AN$43+IF($J3=0, 0, $AR$15*($J3&lt;=$AT$15)+$AR$22*($J3&lt;=$AT$22)+$AR$28*($J3&lt;=$AT$28)+$AR$29*($J3&lt;=$AT$29)-IF($AW$14, $AR$3*($J3&lt;=$AT$3)))+IF($U3=0,0,$AR$3))</f>
        <v>607.49804426656829</v>
      </c>
      <c r="AD3" s="29">
        <f t="shared" ref="AD3:AD66" si="11">IF($A3&lt;0,0,(1+$AC3/(hasterate*100))*(1+$AS$26/100*AND($J3&gt;0,$J3&lt;=$AT$26))*(1+$AS$35/100*AND($M3&gt;0,$M3&lt;=$AT$35))*(1+0.3*($X3&gt;0)))</f>
        <v>2.1609785530598051</v>
      </c>
      <c r="AE3" s="25">
        <f t="shared" ref="AE3" si="12">IF($A3&lt;0,0,$AN$45+IF($P3&gt;0,$AN$37*$AL$37,0)+$S3*(60-IF(CharLevel&gt;60,(CharLevel-60)*2,0))*$AL$38+IF($J3=1,$AL$26*-25+IF($AL$39, 30, 0),0)+IF($M3=1,$AL$35*-10,0)+100+IF(vigor&gt;0, 10, 0))</f>
        <v>136.59054220555134</v>
      </c>
      <c r="AF3" s="25">
        <f t="shared" ref="AF3:AF66" si="13">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931.97279120826579</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2965</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4">IF(A3&lt;0,-1,IF(A3+1&gt;=time,-1,A3+1))</f>
        <v>1</v>
      </c>
      <c r="B4">
        <f>MIN(IF(D3=1,B3+1,B3),10)</f>
        <v>2</v>
      </c>
      <c r="C4">
        <f t="shared" si="0"/>
        <v>60</v>
      </c>
      <c r="D4">
        <f t="shared" ref="D4:D67" si="15">IF($A4=$C4,1,IF(AND($D3&gt;0,$D3&lt;30),$D3+1,0))</f>
        <v>2</v>
      </c>
      <c r="E4">
        <f>MIN(IF(G3=1,E3+1,E3),6)</f>
        <v>2</v>
      </c>
      <c r="F4">
        <f t="shared" si="1"/>
        <v>90</v>
      </c>
      <c r="G4">
        <f t="shared" ref="G4:G67" si="16">IF($A4=F4,1,IF(AND(G3&gt;0,G3&lt;30),G3+1,0))</f>
        <v>2</v>
      </c>
      <c r="H4">
        <f>MIN(IF(J3=1,H3+1,H3),5)</f>
        <v>2</v>
      </c>
      <c r="I4">
        <f t="shared" si="2"/>
        <v>120</v>
      </c>
      <c r="J4">
        <f t="shared" ref="J4:J67" si="17">IF($A4=I4,1,IF(AND(J3&gt;0,J3&lt;30),J3+1,0))</f>
        <v>2</v>
      </c>
      <c r="K4">
        <f>MIN(IF(M3=1,K3+1,K3),4)</f>
        <v>2</v>
      </c>
      <c r="L4">
        <f t="shared" si="3"/>
        <v>180</v>
      </c>
      <c r="M4">
        <f t="shared" ref="M4:M67" si="18">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19">IF($A4=T4,1,IF(AND(U3&gt;0,U3&lt;$AT$3),U3+1,0))</f>
        <v>0</v>
      </c>
      <c r="V4">
        <f t="shared" ref="V4:V67" si="20">MIN(IF(X3=1,V3+1,V3),blustcount)</f>
        <v>1</v>
      </c>
      <c r="W4">
        <f t="shared" si="6"/>
        <v>0</v>
      </c>
      <c r="X4">
        <f>IF($A4=W4,1,IF(AND(X3&gt;0,X3&lt;40),X3+1,0))</f>
        <v>2</v>
      </c>
      <c r="Y4">
        <f t="shared" si="7"/>
        <v>0</v>
      </c>
      <c r="Z4">
        <f t="shared" si="8"/>
        <v>278</v>
      </c>
      <c r="AA4">
        <f t="shared" si="9"/>
        <v>0</v>
      </c>
      <c r="AB4" s="29">
        <f t="shared" si="10"/>
        <v>0.74178816089935007</v>
      </c>
      <c r="AC4" s="25">
        <f t="shared" ref="AC4:AC67" si="21">IF($A4&lt;0,0,$AN$43+IF($J4=0, 0, $AR$15*($J4&lt;=$AT$15)+$AR$22*($J4&lt;=$AT$22)+$AR$28*($J4&lt;=$AT$28)+$AR$29*($J4&lt;=$AT$29)-IF($AW$14, $AR$3*($J4&lt;=$AT$3)))+IF($U4=0,0,$AR$3))</f>
        <v>607.49804426656829</v>
      </c>
      <c r="AD4" s="29">
        <f t="shared" si="11"/>
        <v>2.1609785530598051</v>
      </c>
      <c r="AE4" s="25">
        <f t="shared" ref="AE4:AE67" si="22">IF($A4&lt;0,0,$AN$45+IF($P4&gt;0,$AN$37*$AL$37,0)+$S4*(60-IF(CharLevel&gt;60,(CharLevel-60)*2,0))*$AL$38+IF($J4=1,$AL$26*-25+IF($AL$39, 30, 0),0)+IF($M4=1,$AL$35*-10,0)+IF(AE3&gt;instcost,AE3-instcost,0))</f>
        <v>118.01781910498025</v>
      </c>
      <c r="AF4" s="25">
        <f t="shared" si="13"/>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931.97279120826579</v>
      </c>
      <c r="AH4" s="25">
        <f>IF(AH3-$AF4&lt;0,0,AH3-$AF4)</f>
        <v>0</v>
      </c>
      <c r="AI4" s="25">
        <f>IF(AI3-$AF4&lt;0,0,AI3-$AF4)</f>
        <v>181.55510204081634</v>
      </c>
      <c r="AJ4" s="25">
        <f>IF(AJ3-$AF4&lt;0,0,AJ3-$AF4)</f>
        <v>0</v>
      </c>
    </row>
    <row r="5" spans="1:49">
      <c r="A5">
        <f t="shared" si="14"/>
        <v>2</v>
      </c>
      <c r="B5">
        <f t="shared" ref="B5:B68" si="23">MIN(IF(D4=1,B4+1,B4),10)</f>
        <v>2</v>
      </c>
      <c r="C5">
        <f t="shared" si="0"/>
        <v>60</v>
      </c>
      <c r="D5">
        <f t="shared" si="15"/>
        <v>3</v>
      </c>
      <c r="E5">
        <f>MIN(IF(G4=1,E4+1,E4),6)</f>
        <v>2</v>
      </c>
      <c r="F5">
        <f t="shared" si="1"/>
        <v>90</v>
      </c>
      <c r="G5">
        <f t="shared" si="16"/>
        <v>3</v>
      </c>
      <c r="H5">
        <f t="shared" ref="H5:H68" si="24">MIN(IF(J4=1,H4+1,H4),5)</f>
        <v>2</v>
      </c>
      <c r="I5">
        <f t="shared" si="2"/>
        <v>120</v>
      </c>
      <c r="J5">
        <f t="shared" si="17"/>
        <v>3</v>
      </c>
      <c r="K5">
        <f t="shared" ref="K5:K68" si="25">MIN(IF(M4=1,K4+1,K4),4)</f>
        <v>2</v>
      </c>
      <c r="L5">
        <f t="shared" si="3"/>
        <v>180</v>
      </c>
      <c r="M5">
        <f t="shared" si="18"/>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19"/>
        <v>0</v>
      </c>
      <c r="V5">
        <f t="shared" si="20"/>
        <v>1</v>
      </c>
      <c r="W5">
        <f t="shared" si="6"/>
        <v>0</v>
      </c>
      <c r="X5">
        <f t="shared" ref="X5:X68" si="31">IF($A5=W5,1,IF(AND(X4&gt;0,X4&lt;40),X4+1,0))</f>
        <v>3</v>
      </c>
      <c r="Y5">
        <f t="shared" si="7"/>
        <v>0</v>
      </c>
      <c r="Z5">
        <f t="shared" si="8"/>
        <v>278</v>
      </c>
      <c r="AA5">
        <f t="shared" si="9"/>
        <v>0</v>
      </c>
      <c r="AB5" s="29">
        <f t="shared" si="10"/>
        <v>0.74178816089935007</v>
      </c>
      <c r="AC5" s="25">
        <f t="shared" si="21"/>
        <v>607.49804426656829</v>
      </c>
      <c r="AD5" s="29">
        <f t="shared" si="11"/>
        <v>2.1609785530598051</v>
      </c>
      <c r="AE5" s="25">
        <f t="shared" si="22"/>
        <v>99.445096004409152</v>
      </c>
      <c r="AF5" s="25">
        <f t="shared" si="13"/>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931.97279120826579</v>
      </c>
      <c r="AH5" s="25">
        <f t="shared" ref="AH5:AH68" si="32">IF(AH4-$AF5&lt;0,0,AH4-$AF5)</f>
        <v>0</v>
      </c>
      <c r="AI5" s="25">
        <f t="shared" ref="AI5:AI68" si="33">IF(AI4-AF5&lt;0,0,AI4-AF5)</f>
        <v>141.3918367346939</v>
      </c>
      <c r="AJ5" s="25">
        <f t="shared" ref="AJ5:AJ68" si="34">IF(AJ4-$AF5&lt;0,0,AJ4-$AF5)</f>
        <v>0</v>
      </c>
      <c r="AM5" s="891" t="s">
        <v>2914</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4"/>
        <v>3</v>
      </c>
      <c r="B6">
        <f t="shared" si="23"/>
        <v>2</v>
      </c>
      <c r="C6">
        <f t="shared" si="0"/>
        <v>60</v>
      </c>
      <c r="D6">
        <f t="shared" si="15"/>
        <v>4</v>
      </c>
      <c r="E6">
        <f t="shared" ref="E6:E69" si="35">MIN(IF(G5=1,E5+1,E5),6)</f>
        <v>2</v>
      </c>
      <c r="F6">
        <f t="shared" si="1"/>
        <v>90</v>
      </c>
      <c r="G6">
        <f t="shared" si="16"/>
        <v>4</v>
      </c>
      <c r="H6">
        <f t="shared" si="24"/>
        <v>2</v>
      </c>
      <c r="I6">
        <f t="shared" si="2"/>
        <v>120</v>
      </c>
      <c r="J6">
        <f t="shared" si="17"/>
        <v>4</v>
      </c>
      <c r="K6">
        <f t="shared" si="25"/>
        <v>2</v>
      </c>
      <c r="L6">
        <f t="shared" si="3"/>
        <v>180</v>
      </c>
      <c r="M6">
        <f t="shared" si="18"/>
        <v>4</v>
      </c>
      <c r="N6">
        <f t="shared" si="26"/>
        <v>2</v>
      </c>
      <c r="O6">
        <f t="shared" si="4"/>
        <v>300</v>
      </c>
      <c r="P6">
        <f t="shared" si="27"/>
        <v>4</v>
      </c>
      <c r="Q6">
        <f t="shared" si="28"/>
        <v>2</v>
      </c>
      <c r="R6">
        <f t="shared" si="5"/>
        <v>300</v>
      </c>
      <c r="S6">
        <f t="shared" si="29"/>
        <v>0</v>
      </c>
      <c r="T6">
        <f t="shared" si="30"/>
        <v>-1</v>
      </c>
      <c r="U6">
        <f t="shared" si="19"/>
        <v>0</v>
      </c>
      <c r="V6">
        <f t="shared" si="20"/>
        <v>1</v>
      </c>
      <c r="W6">
        <f t="shared" si="6"/>
        <v>0</v>
      </c>
      <c r="X6">
        <f t="shared" si="31"/>
        <v>4</v>
      </c>
      <c r="Y6">
        <f t="shared" si="7"/>
        <v>0</v>
      </c>
      <c r="Z6">
        <f t="shared" si="8"/>
        <v>278</v>
      </c>
      <c r="AA6">
        <f t="shared" si="9"/>
        <v>0</v>
      </c>
      <c r="AB6" s="29">
        <f t="shared" si="10"/>
        <v>0.74178816089935007</v>
      </c>
      <c r="AC6" s="25">
        <f t="shared" si="21"/>
        <v>607.49804426656829</v>
      </c>
      <c r="AD6" s="29">
        <f t="shared" si="11"/>
        <v>2.1609785530598051</v>
      </c>
      <c r="AE6" s="25">
        <f t="shared" si="22"/>
        <v>80.872372903838055</v>
      </c>
      <c r="AF6" s="25">
        <f t="shared" si="13"/>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931.97279120826579</v>
      </c>
      <c r="AH6" s="25">
        <f t="shared" si="32"/>
        <v>0</v>
      </c>
      <c r="AI6" s="25">
        <f t="shared" si="33"/>
        <v>101.22857142857146</v>
      </c>
      <c r="AJ6" s="25">
        <f t="shared" si="34"/>
        <v>0</v>
      </c>
      <c r="AL6" t="b">
        <f>OR(trinket1=AM6, trinket2=AM6)</f>
        <v>0</v>
      </c>
      <c r="AM6" t="s">
        <v>1654</v>
      </c>
      <c r="AP6">
        <f>216*AL6</f>
        <v>0</v>
      </c>
      <c r="AT6">
        <v>10</v>
      </c>
      <c r="AU6">
        <f>10*AL6</f>
        <v>0</v>
      </c>
    </row>
    <row r="7" spans="1:49">
      <c r="A7">
        <f t="shared" si="14"/>
        <v>4</v>
      </c>
      <c r="B7">
        <f t="shared" si="23"/>
        <v>2</v>
      </c>
      <c r="C7">
        <f t="shared" si="0"/>
        <v>60</v>
      </c>
      <c r="D7">
        <f t="shared" si="15"/>
        <v>5</v>
      </c>
      <c r="E7">
        <f t="shared" si="35"/>
        <v>2</v>
      </c>
      <c r="F7">
        <f t="shared" si="1"/>
        <v>90</v>
      </c>
      <c r="G7">
        <f t="shared" si="16"/>
        <v>5</v>
      </c>
      <c r="H7">
        <f t="shared" si="24"/>
        <v>2</v>
      </c>
      <c r="I7">
        <f t="shared" si="2"/>
        <v>120</v>
      </c>
      <c r="J7">
        <f t="shared" si="17"/>
        <v>5</v>
      </c>
      <c r="K7">
        <f t="shared" si="25"/>
        <v>2</v>
      </c>
      <c r="L7">
        <f t="shared" si="3"/>
        <v>180</v>
      </c>
      <c r="M7">
        <f t="shared" si="18"/>
        <v>5</v>
      </c>
      <c r="N7">
        <f t="shared" si="26"/>
        <v>2</v>
      </c>
      <c r="O7">
        <f t="shared" si="4"/>
        <v>300</v>
      </c>
      <c r="P7">
        <f t="shared" si="27"/>
        <v>5</v>
      </c>
      <c r="Q7">
        <f t="shared" si="28"/>
        <v>2</v>
      </c>
      <c r="R7">
        <f t="shared" si="5"/>
        <v>300</v>
      </c>
      <c r="S7">
        <f t="shared" si="29"/>
        <v>0</v>
      </c>
      <c r="T7">
        <f t="shared" si="30"/>
        <v>-1</v>
      </c>
      <c r="U7">
        <f t="shared" si="19"/>
        <v>0</v>
      </c>
      <c r="V7">
        <f t="shared" si="20"/>
        <v>1</v>
      </c>
      <c r="W7">
        <f t="shared" si="6"/>
        <v>0</v>
      </c>
      <c r="X7">
        <f t="shared" si="31"/>
        <v>5</v>
      </c>
      <c r="Y7">
        <f t="shared" si="7"/>
        <v>0</v>
      </c>
      <c r="Z7">
        <f t="shared" si="8"/>
        <v>278</v>
      </c>
      <c r="AA7">
        <f t="shared" si="9"/>
        <v>0</v>
      </c>
      <c r="AB7" s="29">
        <f t="shared" si="10"/>
        <v>0.74178816089935007</v>
      </c>
      <c r="AC7" s="25">
        <f t="shared" si="21"/>
        <v>607.49804426656829</v>
      </c>
      <c r="AD7" s="29">
        <f t="shared" si="11"/>
        <v>2.1609785530598051</v>
      </c>
      <c r="AE7" s="25">
        <f t="shared" si="22"/>
        <v>62.299649803266959</v>
      </c>
      <c r="AF7" s="25">
        <f t="shared" si="13"/>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931.97279120826579</v>
      </c>
      <c r="AH7" s="25">
        <f t="shared" si="32"/>
        <v>0</v>
      </c>
      <c r="AI7" s="25">
        <f t="shared" si="33"/>
        <v>61.065306122449009</v>
      </c>
      <c r="AJ7" s="25">
        <f t="shared" si="34"/>
        <v>0</v>
      </c>
    </row>
    <row r="8" spans="1:49">
      <c r="A8">
        <f t="shared" si="14"/>
        <v>5</v>
      </c>
      <c r="B8">
        <f t="shared" si="23"/>
        <v>2</v>
      </c>
      <c r="C8">
        <f t="shared" si="0"/>
        <v>60</v>
      </c>
      <c r="D8">
        <f t="shared" si="15"/>
        <v>6</v>
      </c>
      <c r="E8">
        <f t="shared" si="35"/>
        <v>2</v>
      </c>
      <c r="F8">
        <f t="shared" si="1"/>
        <v>90</v>
      </c>
      <c r="G8">
        <f t="shared" si="16"/>
        <v>6</v>
      </c>
      <c r="H8">
        <f t="shared" si="24"/>
        <v>2</v>
      </c>
      <c r="I8">
        <f t="shared" si="2"/>
        <v>120</v>
      </c>
      <c r="J8">
        <f t="shared" si="17"/>
        <v>6</v>
      </c>
      <c r="K8">
        <f t="shared" si="25"/>
        <v>2</v>
      </c>
      <c r="L8">
        <f t="shared" si="3"/>
        <v>180</v>
      </c>
      <c r="M8">
        <f t="shared" si="18"/>
        <v>6</v>
      </c>
      <c r="N8">
        <f t="shared" si="26"/>
        <v>2</v>
      </c>
      <c r="O8">
        <f t="shared" si="4"/>
        <v>300</v>
      </c>
      <c r="P8">
        <f t="shared" si="27"/>
        <v>6</v>
      </c>
      <c r="Q8">
        <f t="shared" si="28"/>
        <v>2</v>
      </c>
      <c r="R8">
        <f t="shared" si="5"/>
        <v>300</v>
      </c>
      <c r="S8">
        <f t="shared" si="29"/>
        <v>0</v>
      </c>
      <c r="T8">
        <f t="shared" si="30"/>
        <v>-1</v>
      </c>
      <c r="U8">
        <f t="shared" si="19"/>
        <v>0</v>
      </c>
      <c r="V8">
        <f t="shared" si="20"/>
        <v>1</v>
      </c>
      <c r="W8">
        <f t="shared" si="6"/>
        <v>0</v>
      </c>
      <c r="X8">
        <f t="shared" si="31"/>
        <v>6</v>
      </c>
      <c r="Y8">
        <f t="shared" si="7"/>
        <v>0</v>
      </c>
      <c r="Z8">
        <f t="shared" si="8"/>
        <v>278</v>
      </c>
      <c r="AA8">
        <f t="shared" si="9"/>
        <v>0</v>
      </c>
      <c r="AB8" s="29">
        <f t="shared" si="10"/>
        <v>0.74178816089935007</v>
      </c>
      <c r="AC8" s="25">
        <f t="shared" si="21"/>
        <v>607.49804426656829</v>
      </c>
      <c r="AD8" s="29">
        <f t="shared" si="11"/>
        <v>2.1609785530598051</v>
      </c>
      <c r="AE8" s="25">
        <f t="shared" si="22"/>
        <v>43.726926702695863</v>
      </c>
      <c r="AF8" s="25">
        <f t="shared" si="13"/>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931.97279120826579</v>
      </c>
      <c r="AH8" s="25">
        <f t="shared" si="32"/>
        <v>0</v>
      </c>
      <c r="AI8" s="25">
        <f t="shared" si="33"/>
        <v>20.902040816326561</v>
      </c>
      <c r="AJ8" s="25">
        <f t="shared" si="34"/>
        <v>0</v>
      </c>
      <c r="AM8" s="891" t="s">
        <v>2915</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4"/>
        <v>6</v>
      </c>
      <c r="B9">
        <f t="shared" si="23"/>
        <v>2</v>
      </c>
      <c r="C9">
        <f t="shared" si="0"/>
        <v>60</v>
      </c>
      <c r="D9">
        <f t="shared" si="15"/>
        <v>7</v>
      </c>
      <c r="E9">
        <f t="shared" si="35"/>
        <v>2</v>
      </c>
      <c r="F9">
        <f t="shared" si="1"/>
        <v>90</v>
      </c>
      <c r="G9">
        <f t="shared" si="16"/>
        <v>7</v>
      </c>
      <c r="H9">
        <f t="shared" si="24"/>
        <v>2</v>
      </c>
      <c r="I9">
        <f t="shared" si="2"/>
        <v>120</v>
      </c>
      <c r="J9">
        <f t="shared" si="17"/>
        <v>7</v>
      </c>
      <c r="K9">
        <f t="shared" si="25"/>
        <v>2</v>
      </c>
      <c r="L9">
        <f t="shared" si="3"/>
        <v>180</v>
      </c>
      <c r="M9">
        <f t="shared" si="18"/>
        <v>7</v>
      </c>
      <c r="N9">
        <f t="shared" si="26"/>
        <v>2</v>
      </c>
      <c r="O9">
        <f t="shared" si="4"/>
        <v>300</v>
      </c>
      <c r="P9">
        <f t="shared" si="27"/>
        <v>7</v>
      </c>
      <c r="Q9">
        <f t="shared" si="28"/>
        <v>2</v>
      </c>
      <c r="R9">
        <f t="shared" si="5"/>
        <v>300</v>
      </c>
      <c r="S9">
        <f t="shared" si="29"/>
        <v>0</v>
      </c>
      <c r="T9">
        <f t="shared" si="30"/>
        <v>-1</v>
      </c>
      <c r="U9">
        <f t="shared" si="19"/>
        <v>0</v>
      </c>
      <c r="V9">
        <f t="shared" si="20"/>
        <v>1</v>
      </c>
      <c r="W9">
        <f t="shared" si="6"/>
        <v>0</v>
      </c>
      <c r="X9">
        <f t="shared" si="31"/>
        <v>7</v>
      </c>
      <c r="Y9">
        <f t="shared" si="7"/>
        <v>0</v>
      </c>
      <c r="Z9">
        <f t="shared" si="8"/>
        <v>278</v>
      </c>
      <c r="AA9">
        <f t="shared" si="9"/>
        <v>0</v>
      </c>
      <c r="AB9" s="29">
        <f t="shared" si="10"/>
        <v>0.74178816089935007</v>
      </c>
      <c r="AC9" s="25">
        <f t="shared" si="21"/>
        <v>607.49804426656829</v>
      </c>
      <c r="AD9" s="29">
        <f t="shared" si="11"/>
        <v>2.1609785530598051</v>
      </c>
      <c r="AE9" s="25">
        <f t="shared" si="22"/>
        <v>25.154203602124767</v>
      </c>
      <c r="AF9" s="25">
        <f t="shared" si="13"/>
        <v>25.154203602124767</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583.69341145476039</v>
      </c>
      <c r="AH9" s="25">
        <f t="shared" si="32"/>
        <v>0</v>
      </c>
      <c r="AI9" s="25">
        <f t="shared" si="33"/>
        <v>0</v>
      </c>
      <c r="AJ9" s="25">
        <f t="shared" si="34"/>
        <v>0</v>
      </c>
      <c r="AL9" t="b">
        <f>OR(trinket1=AM9, trinket2=AM9)</f>
        <v>0</v>
      </c>
      <c r="AM9" t="s">
        <v>2396</v>
      </c>
      <c r="AP9">
        <f>200*AL9</f>
        <v>0</v>
      </c>
      <c r="AT9">
        <v>15</v>
      </c>
      <c r="AU9">
        <f>15*AL9</f>
        <v>0</v>
      </c>
    </row>
    <row r="10" spans="1:49">
      <c r="A10">
        <f t="shared" si="14"/>
        <v>7</v>
      </c>
      <c r="B10">
        <f t="shared" si="23"/>
        <v>2</v>
      </c>
      <c r="C10">
        <f t="shared" si="0"/>
        <v>60</v>
      </c>
      <c r="D10">
        <f t="shared" si="15"/>
        <v>8</v>
      </c>
      <c r="E10">
        <f t="shared" si="35"/>
        <v>2</v>
      </c>
      <c r="F10">
        <f t="shared" si="1"/>
        <v>90</v>
      </c>
      <c r="G10">
        <f t="shared" si="16"/>
        <v>8</v>
      </c>
      <c r="H10">
        <f t="shared" si="24"/>
        <v>2</v>
      </c>
      <c r="I10">
        <f t="shared" si="2"/>
        <v>120</v>
      </c>
      <c r="J10">
        <f t="shared" si="17"/>
        <v>8</v>
      </c>
      <c r="K10">
        <f t="shared" si="25"/>
        <v>2</v>
      </c>
      <c r="L10">
        <f t="shared" si="3"/>
        <v>180</v>
      </c>
      <c r="M10">
        <f t="shared" si="18"/>
        <v>8</v>
      </c>
      <c r="N10">
        <f t="shared" si="26"/>
        <v>2</v>
      </c>
      <c r="O10">
        <f t="shared" si="4"/>
        <v>300</v>
      </c>
      <c r="P10">
        <f t="shared" si="27"/>
        <v>8</v>
      </c>
      <c r="Q10">
        <f t="shared" si="28"/>
        <v>2</v>
      </c>
      <c r="R10">
        <f t="shared" si="5"/>
        <v>300</v>
      </c>
      <c r="S10">
        <f t="shared" si="29"/>
        <v>0</v>
      </c>
      <c r="T10">
        <f t="shared" si="30"/>
        <v>-1</v>
      </c>
      <c r="U10">
        <f t="shared" si="19"/>
        <v>0</v>
      </c>
      <c r="V10">
        <f t="shared" si="20"/>
        <v>1</v>
      </c>
      <c r="W10">
        <f t="shared" si="6"/>
        <v>0</v>
      </c>
      <c r="X10">
        <f t="shared" si="31"/>
        <v>8</v>
      </c>
      <c r="Y10">
        <f t="shared" si="7"/>
        <v>0</v>
      </c>
      <c r="Z10">
        <f t="shared" si="8"/>
        <v>278</v>
      </c>
      <c r="AA10">
        <f t="shared" si="9"/>
        <v>0</v>
      </c>
      <c r="AB10" s="29">
        <f t="shared" si="10"/>
        <v>0.74178816089935007</v>
      </c>
      <c r="AC10" s="25">
        <f t="shared" si="21"/>
        <v>607.49804426656829</v>
      </c>
      <c r="AD10" s="29">
        <f t="shared" si="11"/>
        <v>2.1609785530598051</v>
      </c>
      <c r="AE10" s="25">
        <f t="shared" si="22"/>
        <v>21.590542205551351</v>
      </c>
      <c r="AF10" s="25">
        <f t="shared" si="13"/>
        <v>21.590542205551351</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501.00004891634677</v>
      </c>
      <c r="AH10" s="25">
        <f t="shared" si="32"/>
        <v>0</v>
      </c>
      <c r="AI10" s="25">
        <f t="shared" si="33"/>
        <v>0</v>
      </c>
      <c r="AJ10" s="25">
        <f t="shared" si="34"/>
        <v>0</v>
      </c>
      <c r="AL10" t="b">
        <f>OR(trinket1=AM10, trinket2=AM10)</f>
        <v>0</v>
      </c>
      <c r="AM10" t="s">
        <v>184</v>
      </c>
      <c r="AP10">
        <f>200*AL10</f>
        <v>0</v>
      </c>
      <c r="AT10">
        <v>15</v>
      </c>
      <c r="AU10">
        <f>15*AL10</f>
        <v>0</v>
      </c>
    </row>
    <row r="11" spans="1:49">
      <c r="A11">
        <f t="shared" si="14"/>
        <v>8</v>
      </c>
      <c r="B11">
        <f t="shared" si="23"/>
        <v>2</v>
      </c>
      <c r="C11">
        <f t="shared" si="0"/>
        <v>60</v>
      </c>
      <c r="D11">
        <f t="shared" si="15"/>
        <v>9</v>
      </c>
      <c r="E11">
        <f t="shared" si="35"/>
        <v>2</v>
      </c>
      <c r="F11">
        <f t="shared" si="1"/>
        <v>90</v>
      </c>
      <c r="G11">
        <f t="shared" si="16"/>
        <v>9</v>
      </c>
      <c r="H11">
        <f t="shared" si="24"/>
        <v>2</v>
      </c>
      <c r="I11">
        <f t="shared" si="2"/>
        <v>120</v>
      </c>
      <c r="J11">
        <f t="shared" si="17"/>
        <v>9</v>
      </c>
      <c r="K11">
        <f t="shared" si="25"/>
        <v>2</v>
      </c>
      <c r="L11">
        <f t="shared" si="3"/>
        <v>180</v>
      </c>
      <c r="M11">
        <f t="shared" si="18"/>
        <v>9</v>
      </c>
      <c r="N11">
        <f t="shared" si="26"/>
        <v>2</v>
      </c>
      <c r="O11">
        <f t="shared" si="4"/>
        <v>300</v>
      </c>
      <c r="P11">
        <f t="shared" si="27"/>
        <v>9</v>
      </c>
      <c r="Q11">
        <f t="shared" si="28"/>
        <v>2</v>
      </c>
      <c r="R11">
        <f t="shared" si="5"/>
        <v>300</v>
      </c>
      <c r="S11">
        <f t="shared" si="29"/>
        <v>0</v>
      </c>
      <c r="T11">
        <f t="shared" si="30"/>
        <v>-1</v>
      </c>
      <c r="U11">
        <f t="shared" si="19"/>
        <v>0</v>
      </c>
      <c r="V11">
        <f t="shared" si="20"/>
        <v>1</v>
      </c>
      <c r="W11">
        <f t="shared" si="6"/>
        <v>0</v>
      </c>
      <c r="X11">
        <f t="shared" si="31"/>
        <v>9</v>
      </c>
      <c r="Y11">
        <f t="shared" si="7"/>
        <v>0</v>
      </c>
      <c r="Z11">
        <f t="shared" si="8"/>
        <v>278</v>
      </c>
      <c r="AA11">
        <f t="shared" si="9"/>
        <v>0</v>
      </c>
      <c r="AB11" s="29">
        <f t="shared" si="10"/>
        <v>0.74178816089935007</v>
      </c>
      <c r="AC11" s="25">
        <f t="shared" si="21"/>
        <v>607.49804426656829</v>
      </c>
      <c r="AD11" s="29">
        <f t="shared" si="11"/>
        <v>2.1609785530598051</v>
      </c>
      <c r="AE11" s="25">
        <f t="shared" si="22"/>
        <v>21.590542205551351</v>
      </c>
      <c r="AF11" s="25">
        <f t="shared" si="13"/>
        <v>21.590542205551351</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501.00004891634677</v>
      </c>
      <c r="AH11" s="25">
        <f t="shared" si="32"/>
        <v>0</v>
      </c>
      <c r="AI11" s="25">
        <f t="shared" si="33"/>
        <v>0</v>
      </c>
      <c r="AJ11" s="25">
        <f t="shared" si="34"/>
        <v>0</v>
      </c>
      <c r="AL11" t="b">
        <f>OR(trinket1=AM11, trinket2=AM11)</f>
        <v>0</v>
      </c>
      <c r="AM11" t="s">
        <v>1346</v>
      </c>
      <c r="AP11">
        <f>320*AL11</f>
        <v>0</v>
      </c>
      <c r="AT11">
        <v>15</v>
      </c>
      <c r="AU11">
        <f>15*AL11</f>
        <v>0</v>
      </c>
    </row>
    <row r="12" spans="1:49">
      <c r="A12">
        <f t="shared" si="14"/>
        <v>9</v>
      </c>
      <c r="B12">
        <f t="shared" si="23"/>
        <v>2</v>
      </c>
      <c r="C12">
        <f t="shared" si="0"/>
        <v>60</v>
      </c>
      <c r="D12">
        <f t="shared" si="15"/>
        <v>10</v>
      </c>
      <c r="E12">
        <f t="shared" si="35"/>
        <v>2</v>
      </c>
      <c r="F12">
        <f t="shared" si="1"/>
        <v>90</v>
      </c>
      <c r="G12">
        <f t="shared" si="16"/>
        <v>10</v>
      </c>
      <c r="H12">
        <f t="shared" si="24"/>
        <v>2</v>
      </c>
      <c r="I12">
        <f t="shared" si="2"/>
        <v>120</v>
      </c>
      <c r="J12">
        <f t="shared" si="17"/>
        <v>10</v>
      </c>
      <c r="K12">
        <f t="shared" si="25"/>
        <v>2</v>
      </c>
      <c r="L12">
        <f t="shared" si="3"/>
        <v>180</v>
      </c>
      <c r="M12">
        <f t="shared" si="18"/>
        <v>10</v>
      </c>
      <c r="N12">
        <f t="shared" si="26"/>
        <v>2</v>
      </c>
      <c r="O12">
        <f t="shared" si="4"/>
        <v>300</v>
      </c>
      <c r="P12">
        <f t="shared" si="27"/>
        <v>10</v>
      </c>
      <c r="Q12">
        <f t="shared" si="28"/>
        <v>2</v>
      </c>
      <c r="R12">
        <f t="shared" si="5"/>
        <v>300</v>
      </c>
      <c r="S12">
        <f t="shared" si="29"/>
        <v>0</v>
      </c>
      <c r="T12">
        <f t="shared" si="30"/>
        <v>-1</v>
      </c>
      <c r="U12">
        <f t="shared" si="19"/>
        <v>0</v>
      </c>
      <c r="V12">
        <f t="shared" si="20"/>
        <v>1</v>
      </c>
      <c r="W12">
        <f t="shared" si="6"/>
        <v>0</v>
      </c>
      <c r="X12">
        <f t="shared" si="31"/>
        <v>10</v>
      </c>
      <c r="Y12">
        <f t="shared" si="7"/>
        <v>0</v>
      </c>
      <c r="Z12">
        <f t="shared" si="8"/>
        <v>278</v>
      </c>
      <c r="AA12">
        <f t="shared" si="9"/>
        <v>0</v>
      </c>
      <c r="AB12" s="29">
        <f t="shared" si="10"/>
        <v>0.74178816089935007</v>
      </c>
      <c r="AC12" s="25">
        <f t="shared" si="21"/>
        <v>607.49804426656829</v>
      </c>
      <c r="AD12" s="29">
        <f t="shared" si="11"/>
        <v>2.1609785530598051</v>
      </c>
      <c r="AE12" s="25">
        <f t="shared" si="22"/>
        <v>21.590542205551351</v>
      </c>
      <c r="AF12" s="25">
        <f t="shared" si="13"/>
        <v>21.590542205551351</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501.00004891634677</v>
      </c>
      <c r="AH12" s="25">
        <f t="shared" si="32"/>
        <v>0</v>
      </c>
      <c r="AI12" s="25">
        <f t="shared" si="33"/>
        <v>0</v>
      </c>
      <c r="AJ12" s="25">
        <f t="shared" si="34"/>
        <v>0</v>
      </c>
      <c r="AL12" t="b">
        <f>OR(trinket1=AM12, trinket2=AM12)</f>
        <v>0</v>
      </c>
      <c r="AM12" t="s">
        <v>140</v>
      </c>
      <c r="AP12">
        <f>140*AL12</f>
        <v>0</v>
      </c>
      <c r="AT12">
        <v>15</v>
      </c>
      <c r="AU12">
        <f>15*AL12</f>
        <v>0</v>
      </c>
    </row>
    <row r="13" spans="1:49">
      <c r="A13">
        <f t="shared" si="14"/>
        <v>10</v>
      </c>
      <c r="B13">
        <f t="shared" si="23"/>
        <v>2</v>
      </c>
      <c r="C13">
        <f t="shared" si="0"/>
        <v>60</v>
      </c>
      <c r="D13">
        <f t="shared" si="15"/>
        <v>11</v>
      </c>
      <c r="E13">
        <f t="shared" si="35"/>
        <v>2</v>
      </c>
      <c r="F13">
        <f t="shared" si="1"/>
        <v>90</v>
      </c>
      <c r="G13">
        <f t="shared" si="16"/>
        <v>11</v>
      </c>
      <c r="H13">
        <f t="shared" si="24"/>
        <v>2</v>
      </c>
      <c r="I13">
        <f t="shared" si="2"/>
        <v>120</v>
      </c>
      <c r="J13">
        <f t="shared" si="17"/>
        <v>11</v>
      </c>
      <c r="K13">
        <f t="shared" si="25"/>
        <v>2</v>
      </c>
      <c r="L13">
        <f t="shared" si="3"/>
        <v>180</v>
      </c>
      <c r="M13">
        <f t="shared" si="18"/>
        <v>11</v>
      </c>
      <c r="N13">
        <f t="shared" si="26"/>
        <v>2</v>
      </c>
      <c r="O13">
        <f t="shared" si="4"/>
        <v>300</v>
      </c>
      <c r="P13">
        <f t="shared" si="27"/>
        <v>11</v>
      </c>
      <c r="Q13">
        <f t="shared" si="28"/>
        <v>2</v>
      </c>
      <c r="R13">
        <f t="shared" si="5"/>
        <v>300</v>
      </c>
      <c r="S13">
        <f t="shared" si="29"/>
        <v>0</v>
      </c>
      <c r="T13">
        <f t="shared" si="30"/>
        <v>-1</v>
      </c>
      <c r="U13">
        <f t="shared" si="19"/>
        <v>0</v>
      </c>
      <c r="V13">
        <f t="shared" si="20"/>
        <v>1</v>
      </c>
      <c r="W13">
        <f t="shared" si="6"/>
        <v>0</v>
      </c>
      <c r="X13">
        <f t="shared" si="31"/>
        <v>11</v>
      </c>
      <c r="Y13">
        <f t="shared" si="7"/>
        <v>0</v>
      </c>
      <c r="Z13">
        <f t="shared" si="8"/>
        <v>278</v>
      </c>
      <c r="AA13">
        <f t="shared" si="9"/>
        <v>0</v>
      </c>
      <c r="AB13" s="29">
        <f t="shared" si="10"/>
        <v>0.74178816089935007</v>
      </c>
      <c r="AC13" s="25">
        <f t="shared" si="21"/>
        <v>607.49804426656829</v>
      </c>
      <c r="AD13" s="29">
        <f t="shared" si="11"/>
        <v>2.1609785530598051</v>
      </c>
      <c r="AE13" s="25">
        <f t="shared" si="22"/>
        <v>21.590542205551351</v>
      </c>
      <c r="AF13" s="25">
        <f t="shared" si="13"/>
        <v>21.590542205551351</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501.00004891634677</v>
      </c>
      <c r="AH13" s="25">
        <f t="shared" si="32"/>
        <v>0</v>
      </c>
      <c r="AI13" s="25">
        <f t="shared" si="33"/>
        <v>0</v>
      </c>
      <c r="AJ13" s="25">
        <f t="shared" si="34"/>
        <v>0</v>
      </c>
    </row>
    <row r="14" spans="1:49">
      <c r="A14">
        <f t="shared" si="14"/>
        <v>11</v>
      </c>
      <c r="B14">
        <f t="shared" si="23"/>
        <v>2</v>
      </c>
      <c r="C14">
        <f t="shared" si="0"/>
        <v>60</v>
      </c>
      <c r="D14">
        <f t="shared" si="15"/>
        <v>12</v>
      </c>
      <c r="E14">
        <f t="shared" si="35"/>
        <v>2</v>
      </c>
      <c r="F14">
        <f t="shared" si="1"/>
        <v>90</v>
      </c>
      <c r="G14">
        <f t="shared" si="16"/>
        <v>12</v>
      </c>
      <c r="H14">
        <f t="shared" si="24"/>
        <v>2</v>
      </c>
      <c r="I14">
        <f t="shared" si="2"/>
        <v>120</v>
      </c>
      <c r="J14">
        <f t="shared" si="17"/>
        <v>12</v>
      </c>
      <c r="K14">
        <f t="shared" si="25"/>
        <v>2</v>
      </c>
      <c r="L14">
        <f t="shared" si="3"/>
        <v>180</v>
      </c>
      <c r="M14">
        <f t="shared" si="18"/>
        <v>12</v>
      </c>
      <c r="N14">
        <f t="shared" si="26"/>
        <v>2</v>
      </c>
      <c r="O14">
        <f t="shared" si="4"/>
        <v>300</v>
      </c>
      <c r="P14">
        <f t="shared" si="27"/>
        <v>12</v>
      </c>
      <c r="Q14">
        <f t="shared" si="28"/>
        <v>2</v>
      </c>
      <c r="R14">
        <f t="shared" si="5"/>
        <v>300</v>
      </c>
      <c r="S14">
        <f t="shared" si="29"/>
        <v>0</v>
      </c>
      <c r="T14">
        <f t="shared" si="30"/>
        <v>-1</v>
      </c>
      <c r="U14">
        <f t="shared" si="19"/>
        <v>0</v>
      </c>
      <c r="V14">
        <f t="shared" si="20"/>
        <v>1</v>
      </c>
      <c r="W14">
        <f t="shared" si="6"/>
        <v>0</v>
      </c>
      <c r="X14">
        <f t="shared" si="31"/>
        <v>12</v>
      </c>
      <c r="Y14">
        <f t="shared" si="7"/>
        <v>0</v>
      </c>
      <c r="Z14">
        <f t="shared" si="8"/>
        <v>278</v>
      </c>
      <c r="AA14">
        <f t="shared" si="9"/>
        <v>0</v>
      </c>
      <c r="AB14" s="29">
        <f t="shared" si="10"/>
        <v>0.74178816089935007</v>
      </c>
      <c r="AC14" s="25">
        <f t="shared" si="21"/>
        <v>607.49804426656829</v>
      </c>
      <c r="AD14" s="29">
        <f t="shared" si="11"/>
        <v>2.1609785530598051</v>
      </c>
      <c r="AE14" s="25">
        <f t="shared" si="22"/>
        <v>21.590542205551351</v>
      </c>
      <c r="AF14" s="25">
        <f t="shared" si="13"/>
        <v>21.590542205551351</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501.00004891634677</v>
      </c>
      <c r="AH14" s="25">
        <f t="shared" si="32"/>
        <v>0</v>
      </c>
      <c r="AI14" s="25">
        <f t="shared" si="33"/>
        <v>0</v>
      </c>
      <c r="AJ14" s="25">
        <f t="shared" si="34"/>
        <v>0</v>
      </c>
      <c r="AM14" s="891" t="s">
        <v>2916</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4"/>
        <v>12</v>
      </c>
      <c r="B15">
        <f t="shared" si="23"/>
        <v>2</v>
      </c>
      <c r="C15">
        <f t="shared" si="0"/>
        <v>60</v>
      </c>
      <c r="D15">
        <f t="shared" si="15"/>
        <v>13</v>
      </c>
      <c r="E15">
        <f t="shared" si="35"/>
        <v>2</v>
      </c>
      <c r="F15">
        <f t="shared" si="1"/>
        <v>90</v>
      </c>
      <c r="G15">
        <f t="shared" si="16"/>
        <v>13</v>
      </c>
      <c r="H15">
        <f t="shared" si="24"/>
        <v>2</v>
      </c>
      <c r="I15">
        <f t="shared" si="2"/>
        <v>120</v>
      </c>
      <c r="J15">
        <f t="shared" si="17"/>
        <v>13</v>
      </c>
      <c r="K15">
        <f t="shared" si="25"/>
        <v>2</v>
      </c>
      <c r="L15">
        <f t="shared" si="3"/>
        <v>180</v>
      </c>
      <c r="M15">
        <f t="shared" si="18"/>
        <v>13</v>
      </c>
      <c r="N15">
        <f t="shared" si="26"/>
        <v>2</v>
      </c>
      <c r="O15">
        <f t="shared" si="4"/>
        <v>300</v>
      </c>
      <c r="P15">
        <f t="shared" si="27"/>
        <v>13</v>
      </c>
      <c r="Q15">
        <f t="shared" si="28"/>
        <v>2</v>
      </c>
      <c r="R15">
        <f t="shared" si="5"/>
        <v>300</v>
      </c>
      <c r="S15">
        <f t="shared" si="29"/>
        <v>0</v>
      </c>
      <c r="T15">
        <f t="shared" si="30"/>
        <v>-1</v>
      </c>
      <c r="U15">
        <f t="shared" si="19"/>
        <v>0</v>
      </c>
      <c r="V15">
        <f t="shared" si="20"/>
        <v>1</v>
      </c>
      <c r="W15">
        <f t="shared" si="6"/>
        <v>0</v>
      </c>
      <c r="X15">
        <f t="shared" si="31"/>
        <v>13</v>
      </c>
      <c r="Y15">
        <f t="shared" si="7"/>
        <v>0</v>
      </c>
      <c r="Z15">
        <f t="shared" si="8"/>
        <v>278</v>
      </c>
      <c r="AA15">
        <f t="shared" si="9"/>
        <v>0</v>
      </c>
      <c r="AB15" s="29">
        <f t="shared" si="10"/>
        <v>0.74178816089935007</v>
      </c>
      <c r="AC15" s="25">
        <f t="shared" si="21"/>
        <v>607.49804426656829</v>
      </c>
      <c r="AD15" s="29">
        <f t="shared" si="11"/>
        <v>2.1609785530598051</v>
      </c>
      <c r="AE15" s="25">
        <f t="shared" si="22"/>
        <v>21.590542205551351</v>
      </c>
      <c r="AF15" s="25">
        <f t="shared" si="13"/>
        <v>21.590542205551351</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501.00004891634677</v>
      </c>
      <c r="AH15" s="25">
        <f t="shared" si="32"/>
        <v>0</v>
      </c>
      <c r="AI15" s="25">
        <f t="shared" si="33"/>
        <v>0</v>
      </c>
      <c r="AJ15" s="25">
        <f t="shared" si="34"/>
        <v>0</v>
      </c>
      <c r="AL15" t="b">
        <f t="shared" ref="AL15:AL25" si="36">OR(trinket1=AM15, trinket2=AM15)</f>
        <v>0</v>
      </c>
      <c r="AM15" t="s">
        <v>2289</v>
      </c>
      <c r="AR15">
        <f>260*AL15</f>
        <v>0</v>
      </c>
      <c r="AT15">
        <v>10</v>
      </c>
      <c r="AU15">
        <f>10*AL15</f>
        <v>0</v>
      </c>
    </row>
    <row r="16" spans="1:49">
      <c r="A16">
        <f t="shared" si="14"/>
        <v>13</v>
      </c>
      <c r="B16">
        <f t="shared" si="23"/>
        <v>2</v>
      </c>
      <c r="C16">
        <f t="shared" si="0"/>
        <v>60</v>
      </c>
      <c r="D16">
        <f t="shared" si="15"/>
        <v>14</v>
      </c>
      <c r="E16">
        <f t="shared" si="35"/>
        <v>2</v>
      </c>
      <c r="F16">
        <f t="shared" si="1"/>
        <v>90</v>
      </c>
      <c r="G16">
        <f t="shared" si="16"/>
        <v>14</v>
      </c>
      <c r="H16">
        <f t="shared" si="24"/>
        <v>2</v>
      </c>
      <c r="I16">
        <f t="shared" si="2"/>
        <v>120</v>
      </c>
      <c r="J16">
        <f t="shared" si="17"/>
        <v>14</v>
      </c>
      <c r="K16">
        <f t="shared" si="25"/>
        <v>2</v>
      </c>
      <c r="L16">
        <f t="shared" si="3"/>
        <v>180</v>
      </c>
      <c r="M16">
        <f t="shared" si="18"/>
        <v>14</v>
      </c>
      <c r="N16">
        <f t="shared" si="26"/>
        <v>2</v>
      </c>
      <c r="O16">
        <f t="shared" si="4"/>
        <v>300</v>
      </c>
      <c r="P16">
        <f t="shared" si="27"/>
        <v>14</v>
      </c>
      <c r="Q16">
        <f t="shared" si="28"/>
        <v>2</v>
      </c>
      <c r="R16">
        <f t="shared" si="5"/>
        <v>300</v>
      </c>
      <c r="S16">
        <f t="shared" si="29"/>
        <v>0</v>
      </c>
      <c r="T16">
        <f t="shared" si="30"/>
        <v>-1</v>
      </c>
      <c r="U16">
        <f t="shared" si="19"/>
        <v>0</v>
      </c>
      <c r="V16">
        <f t="shared" si="20"/>
        <v>1</v>
      </c>
      <c r="W16">
        <f t="shared" si="6"/>
        <v>0</v>
      </c>
      <c r="X16">
        <f t="shared" si="31"/>
        <v>14</v>
      </c>
      <c r="Y16">
        <f t="shared" si="7"/>
        <v>0</v>
      </c>
      <c r="Z16">
        <f t="shared" si="8"/>
        <v>278</v>
      </c>
      <c r="AA16">
        <f t="shared" si="9"/>
        <v>0</v>
      </c>
      <c r="AB16" s="29">
        <f t="shared" si="10"/>
        <v>0.74178816089935007</v>
      </c>
      <c r="AC16" s="25">
        <f t="shared" si="21"/>
        <v>607.49804426656829</v>
      </c>
      <c r="AD16" s="29">
        <f t="shared" si="11"/>
        <v>2.1609785530598051</v>
      </c>
      <c r="AE16" s="25">
        <f t="shared" si="22"/>
        <v>21.590542205551351</v>
      </c>
      <c r="AF16" s="25">
        <f t="shared" si="13"/>
        <v>21.590542205551351</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501.00004891634677</v>
      </c>
      <c r="AH16" s="25">
        <f t="shared" si="32"/>
        <v>0</v>
      </c>
      <c r="AI16" s="25">
        <f t="shared" si="33"/>
        <v>0</v>
      </c>
      <c r="AJ16" s="25">
        <f t="shared" si="34"/>
        <v>0</v>
      </c>
      <c r="AL16" t="b">
        <f t="shared" si="36"/>
        <v>0</v>
      </c>
      <c r="AM16" t="s">
        <v>2831</v>
      </c>
      <c r="AO16">
        <f>150*AL16</f>
        <v>0</v>
      </c>
      <c r="AT16">
        <v>20</v>
      </c>
      <c r="AU16">
        <f>20*AL16</f>
        <v>0</v>
      </c>
    </row>
    <row r="17" spans="1:49">
      <c r="A17">
        <f t="shared" si="14"/>
        <v>14</v>
      </c>
      <c r="B17">
        <f t="shared" si="23"/>
        <v>2</v>
      </c>
      <c r="C17">
        <f t="shared" si="0"/>
        <v>60</v>
      </c>
      <c r="D17">
        <f t="shared" si="15"/>
        <v>15</v>
      </c>
      <c r="E17">
        <f t="shared" si="35"/>
        <v>2</v>
      </c>
      <c r="F17">
        <f t="shared" si="1"/>
        <v>90</v>
      </c>
      <c r="G17">
        <f t="shared" si="16"/>
        <v>15</v>
      </c>
      <c r="H17">
        <f t="shared" si="24"/>
        <v>2</v>
      </c>
      <c r="I17">
        <f t="shared" si="2"/>
        <v>120</v>
      </c>
      <c r="J17">
        <f t="shared" si="17"/>
        <v>15</v>
      </c>
      <c r="K17">
        <f t="shared" si="25"/>
        <v>2</v>
      </c>
      <c r="L17">
        <f t="shared" si="3"/>
        <v>180</v>
      </c>
      <c r="M17">
        <f t="shared" si="18"/>
        <v>15</v>
      </c>
      <c r="N17">
        <f t="shared" si="26"/>
        <v>2</v>
      </c>
      <c r="O17">
        <f t="shared" si="4"/>
        <v>300</v>
      </c>
      <c r="P17">
        <f t="shared" si="27"/>
        <v>15</v>
      </c>
      <c r="Q17">
        <f t="shared" si="28"/>
        <v>2</v>
      </c>
      <c r="R17">
        <f t="shared" si="5"/>
        <v>300</v>
      </c>
      <c r="S17">
        <f t="shared" si="29"/>
        <v>0</v>
      </c>
      <c r="T17">
        <f t="shared" si="30"/>
        <v>-1</v>
      </c>
      <c r="U17">
        <f t="shared" si="19"/>
        <v>0</v>
      </c>
      <c r="V17">
        <f t="shared" si="20"/>
        <v>1</v>
      </c>
      <c r="W17">
        <f t="shared" si="6"/>
        <v>0</v>
      </c>
      <c r="X17">
        <f t="shared" si="31"/>
        <v>15</v>
      </c>
      <c r="Y17">
        <f t="shared" si="7"/>
        <v>0</v>
      </c>
      <c r="Z17">
        <f t="shared" si="8"/>
        <v>278</v>
      </c>
      <c r="AA17">
        <f t="shared" si="9"/>
        <v>0</v>
      </c>
      <c r="AB17" s="29">
        <f t="shared" si="10"/>
        <v>0.74178816089935007</v>
      </c>
      <c r="AC17" s="25">
        <f t="shared" si="21"/>
        <v>607.49804426656829</v>
      </c>
      <c r="AD17" s="29">
        <f t="shared" si="11"/>
        <v>2.1609785530598051</v>
      </c>
      <c r="AE17" s="25">
        <f t="shared" si="22"/>
        <v>21.590542205551351</v>
      </c>
      <c r="AF17" s="25">
        <f t="shared" si="13"/>
        <v>21.590542205551351</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501.00004891634677</v>
      </c>
      <c r="AH17" s="25">
        <f t="shared" si="32"/>
        <v>0</v>
      </c>
      <c r="AI17" s="25">
        <f t="shared" si="33"/>
        <v>0</v>
      </c>
      <c r="AJ17" s="25">
        <f t="shared" si="34"/>
        <v>0</v>
      </c>
      <c r="AL17" t="b">
        <f t="shared" si="36"/>
        <v>0</v>
      </c>
      <c r="AM17" t="s">
        <v>1759</v>
      </c>
      <c r="AP17">
        <f>360*AL17</f>
        <v>0</v>
      </c>
      <c r="AT17">
        <v>20</v>
      </c>
      <c r="AU17">
        <f>20*AL17</f>
        <v>0</v>
      </c>
    </row>
    <row r="18" spans="1:49">
      <c r="A18">
        <f t="shared" si="14"/>
        <v>15</v>
      </c>
      <c r="B18">
        <f t="shared" si="23"/>
        <v>2</v>
      </c>
      <c r="C18">
        <f t="shared" si="0"/>
        <v>60</v>
      </c>
      <c r="D18">
        <f t="shared" si="15"/>
        <v>16</v>
      </c>
      <c r="E18">
        <f t="shared" si="35"/>
        <v>2</v>
      </c>
      <c r="F18">
        <f t="shared" si="1"/>
        <v>90</v>
      </c>
      <c r="G18">
        <f t="shared" si="16"/>
        <v>16</v>
      </c>
      <c r="H18">
        <f t="shared" si="24"/>
        <v>2</v>
      </c>
      <c r="I18">
        <f t="shared" si="2"/>
        <v>120</v>
      </c>
      <c r="J18">
        <f t="shared" si="17"/>
        <v>16</v>
      </c>
      <c r="K18">
        <f t="shared" si="25"/>
        <v>2</v>
      </c>
      <c r="L18">
        <f t="shared" si="3"/>
        <v>180</v>
      </c>
      <c r="M18">
        <f t="shared" si="18"/>
        <v>16</v>
      </c>
      <c r="N18">
        <f t="shared" si="26"/>
        <v>2</v>
      </c>
      <c r="O18">
        <f t="shared" si="4"/>
        <v>300</v>
      </c>
      <c r="P18">
        <f t="shared" si="27"/>
        <v>0</v>
      </c>
      <c r="Q18">
        <f t="shared" si="28"/>
        <v>2</v>
      </c>
      <c r="R18">
        <f t="shared" si="5"/>
        <v>300</v>
      </c>
      <c r="S18">
        <f t="shared" si="29"/>
        <v>0</v>
      </c>
      <c r="T18">
        <f t="shared" si="30"/>
        <v>-1</v>
      </c>
      <c r="U18">
        <f t="shared" si="19"/>
        <v>0</v>
      </c>
      <c r="V18">
        <f t="shared" si="20"/>
        <v>1</v>
      </c>
      <c r="W18">
        <f t="shared" si="6"/>
        <v>0</v>
      </c>
      <c r="X18">
        <f t="shared" si="31"/>
        <v>16</v>
      </c>
      <c r="Y18">
        <f t="shared" si="7"/>
        <v>0</v>
      </c>
      <c r="Z18">
        <f t="shared" si="8"/>
        <v>278</v>
      </c>
      <c r="AA18">
        <f t="shared" si="9"/>
        <v>0</v>
      </c>
      <c r="AB18" s="29">
        <f t="shared" si="10"/>
        <v>0.74178816089935007</v>
      </c>
      <c r="AC18" s="25">
        <f t="shared" si="21"/>
        <v>207.49804426656831</v>
      </c>
      <c r="AD18" s="29">
        <f t="shared" si="11"/>
        <v>1.4710593633221953</v>
      </c>
      <c r="AE18" s="25">
        <f t="shared" si="22"/>
        <v>13.243681724743192</v>
      </c>
      <c r="AF18" s="25">
        <f t="shared" si="13"/>
        <v>13.243681724743192</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307.31443095592368</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4"/>
        <v>16</v>
      </c>
      <c r="B19">
        <f t="shared" si="23"/>
        <v>2</v>
      </c>
      <c r="C19">
        <f t="shared" si="0"/>
        <v>60</v>
      </c>
      <c r="D19">
        <f t="shared" si="15"/>
        <v>17</v>
      </c>
      <c r="E19">
        <f t="shared" si="35"/>
        <v>2</v>
      </c>
      <c r="F19">
        <f t="shared" si="1"/>
        <v>90</v>
      </c>
      <c r="G19">
        <f t="shared" si="16"/>
        <v>17</v>
      </c>
      <c r="H19">
        <f t="shared" si="24"/>
        <v>2</v>
      </c>
      <c r="I19">
        <f t="shared" si="2"/>
        <v>120</v>
      </c>
      <c r="J19">
        <f t="shared" si="17"/>
        <v>17</v>
      </c>
      <c r="K19">
        <f t="shared" si="25"/>
        <v>2</v>
      </c>
      <c r="L19">
        <f t="shared" si="3"/>
        <v>180</v>
      </c>
      <c r="M19">
        <f t="shared" si="18"/>
        <v>17</v>
      </c>
      <c r="N19">
        <f t="shared" si="26"/>
        <v>2</v>
      </c>
      <c r="O19">
        <f t="shared" si="4"/>
        <v>300</v>
      </c>
      <c r="P19">
        <f t="shared" si="27"/>
        <v>0</v>
      </c>
      <c r="Q19">
        <f t="shared" si="28"/>
        <v>2</v>
      </c>
      <c r="R19">
        <f t="shared" si="5"/>
        <v>300</v>
      </c>
      <c r="S19">
        <f t="shared" si="29"/>
        <v>0</v>
      </c>
      <c r="T19">
        <f t="shared" si="30"/>
        <v>-1</v>
      </c>
      <c r="U19">
        <f t="shared" si="19"/>
        <v>0</v>
      </c>
      <c r="V19">
        <f t="shared" si="20"/>
        <v>1</v>
      </c>
      <c r="W19">
        <f t="shared" si="6"/>
        <v>0</v>
      </c>
      <c r="X19">
        <f t="shared" si="31"/>
        <v>17</v>
      </c>
      <c r="Y19">
        <f t="shared" si="7"/>
        <v>0</v>
      </c>
      <c r="Z19">
        <f t="shared" si="8"/>
        <v>278</v>
      </c>
      <c r="AA19">
        <f t="shared" si="9"/>
        <v>0</v>
      </c>
      <c r="AB19" s="29">
        <f t="shared" si="10"/>
        <v>0.74178816089935007</v>
      </c>
      <c r="AC19" s="25">
        <f t="shared" si="21"/>
        <v>207.49804426656831</v>
      </c>
      <c r="AD19" s="29">
        <f t="shared" si="11"/>
        <v>1.4710593633221953</v>
      </c>
      <c r="AE19" s="25">
        <f t="shared" si="22"/>
        <v>13.243681724743192</v>
      </c>
      <c r="AF19" s="25">
        <f t="shared" si="13"/>
        <v>13.243681724743192</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307.31443095592368</v>
      </c>
      <c r="AH19" s="25">
        <f t="shared" si="32"/>
        <v>0</v>
      </c>
      <c r="AI19" s="25">
        <f t="shared" si="33"/>
        <v>0</v>
      </c>
      <c r="AJ19" s="25">
        <f t="shared" si="34"/>
        <v>0</v>
      </c>
      <c r="AL19" t="b">
        <f t="shared" si="36"/>
        <v>0</v>
      </c>
      <c r="AM19" t="s">
        <v>187</v>
      </c>
      <c r="AP19">
        <f>200*AL19</f>
        <v>0</v>
      </c>
      <c r="AT19">
        <v>20</v>
      </c>
      <c r="AU19">
        <f t="shared" si="37"/>
        <v>0</v>
      </c>
    </row>
    <row r="20" spans="1:49">
      <c r="A20">
        <f t="shared" si="14"/>
        <v>17</v>
      </c>
      <c r="B20">
        <f t="shared" si="23"/>
        <v>2</v>
      </c>
      <c r="C20">
        <f t="shared" si="0"/>
        <v>60</v>
      </c>
      <c r="D20">
        <f t="shared" si="15"/>
        <v>18</v>
      </c>
      <c r="E20">
        <f t="shared" si="35"/>
        <v>2</v>
      </c>
      <c r="F20">
        <f t="shared" si="1"/>
        <v>90</v>
      </c>
      <c r="G20">
        <f t="shared" si="16"/>
        <v>18</v>
      </c>
      <c r="H20">
        <f t="shared" si="24"/>
        <v>2</v>
      </c>
      <c r="I20">
        <f t="shared" si="2"/>
        <v>120</v>
      </c>
      <c r="J20">
        <f t="shared" si="17"/>
        <v>18</v>
      </c>
      <c r="K20">
        <f t="shared" si="25"/>
        <v>2</v>
      </c>
      <c r="L20">
        <f t="shared" si="3"/>
        <v>180</v>
      </c>
      <c r="M20">
        <f t="shared" si="18"/>
        <v>18</v>
      </c>
      <c r="N20">
        <f t="shared" si="26"/>
        <v>2</v>
      </c>
      <c r="O20">
        <f t="shared" si="4"/>
        <v>300</v>
      </c>
      <c r="P20">
        <f t="shared" si="27"/>
        <v>0</v>
      </c>
      <c r="Q20">
        <f t="shared" si="28"/>
        <v>2</v>
      </c>
      <c r="R20">
        <f t="shared" si="5"/>
        <v>300</v>
      </c>
      <c r="S20">
        <f t="shared" si="29"/>
        <v>0</v>
      </c>
      <c r="T20">
        <f t="shared" si="30"/>
        <v>-1</v>
      </c>
      <c r="U20">
        <f t="shared" si="19"/>
        <v>0</v>
      </c>
      <c r="V20">
        <f t="shared" si="20"/>
        <v>1</v>
      </c>
      <c r="W20">
        <f t="shared" si="6"/>
        <v>0</v>
      </c>
      <c r="X20">
        <f t="shared" si="31"/>
        <v>18</v>
      </c>
      <c r="Y20">
        <f t="shared" si="7"/>
        <v>0</v>
      </c>
      <c r="Z20">
        <f t="shared" si="8"/>
        <v>278</v>
      </c>
      <c r="AA20">
        <f t="shared" si="9"/>
        <v>0</v>
      </c>
      <c r="AB20" s="29">
        <f t="shared" si="10"/>
        <v>0.74178816089935007</v>
      </c>
      <c r="AC20" s="25">
        <f t="shared" si="21"/>
        <v>207.49804426656831</v>
      </c>
      <c r="AD20" s="29">
        <f t="shared" si="11"/>
        <v>1.4710593633221953</v>
      </c>
      <c r="AE20" s="25">
        <f t="shared" si="22"/>
        <v>13.243681724743192</v>
      </c>
      <c r="AF20" s="25">
        <f t="shared" si="13"/>
        <v>13.243681724743192</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307.31443095592368</v>
      </c>
      <c r="AH20" s="25">
        <f t="shared" si="32"/>
        <v>0</v>
      </c>
      <c r="AI20" s="25">
        <f t="shared" si="33"/>
        <v>0</v>
      </c>
      <c r="AJ20" s="25">
        <f t="shared" si="34"/>
        <v>0</v>
      </c>
      <c r="AL20" t="b">
        <f t="shared" si="36"/>
        <v>0</v>
      </c>
      <c r="AM20" t="s">
        <v>784</v>
      </c>
      <c r="AQ20">
        <f>600*AL20</f>
        <v>0</v>
      </c>
      <c r="AT20">
        <v>20</v>
      </c>
      <c r="AU20">
        <f t="shared" si="37"/>
        <v>0</v>
      </c>
    </row>
    <row r="21" spans="1:49">
      <c r="A21">
        <f t="shared" si="14"/>
        <v>18</v>
      </c>
      <c r="B21">
        <f t="shared" si="23"/>
        <v>2</v>
      </c>
      <c r="C21">
        <f t="shared" si="0"/>
        <v>60</v>
      </c>
      <c r="D21">
        <f t="shared" si="15"/>
        <v>19</v>
      </c>
      <c r="E21">
        <f t="shared" si="35"/>
        <v>2</v>
      </c>
      <c r="F21">
        <f t="shared" si="1"/>
        <v>90</v>
      </c>
      <c r="G21">
        <f t="shared" si="16"/>
        <v>19</v>
      </c>
      <c r="H21">
        <f t="shared" si="24"/>
        <v>2</v>
      </c>
      <c r="I21">
        <f t="shared" si="2"/>
        <v>120</v>
      </c>
      <c r="J21">
        <f t="shared" si="17"/>
        <v>19</v>
      </c>
      <c r="K21">
        <f t="shared" si="25"/>
        <v>2</v>
      </c>
      <c r="L21">
        <f t="shared" si="3"/>
        <v>180</v>
      </c>
      <c r="M21">
        <f t="shared" si="18"/>
        <v>19</v>
      </c>
      <c r="N21">
        <f t="shared" si="26"/>
        <v>2</v>
      </c>
      <c r="O21">
        <f t="shared" si="4"/>
        <v>300</v>
      </c>
      <c r="P21">
        <f t="shared" si="27"/>
        <v>0</v>
      </c>
      <c r="Q21">
        <f t="shared" si="28"/>
        <v>2</v>
      </c>
      <c r="R21">
        <f t="shared" si="5"/>
        <v>300</v>
      </c>
      <c r="S21">
        <f t="shared" si="29"/>
        <v>0</v>
      </c>
      <c r="T21">
        <f t="shared" si="30"/>
        <v>-1</v>
      </c>
      <c r="U21">
        <f t="shared" si="19"/>
        <v>0</v>
      </c>
      <c r="V21">
        <f t="shared" si="20"/>
        <v>1</v>
      </c>
      <c r="W21">
        <f t="shared" si="6"/>
        <v>0</v>
      </c>
      <c r="X21">
        <f t="shared" si="31"/>
        <v>19</v>
      </c>
      <c r="Y21">
        <f t="shared" si="7"/>
        <v>0</v>
      </c>
      <c r="Z21">
        <f t="shared" si="8"/>
        <v>278</v>
      </c>
      <c r="AA21">
        <f t="shared" si="9"/>
        <v>0</v>
      </c>
      <c r="AB21" s="29">
        <f t="shared" si="10"/>
        <v>0.74178816089935007</v>
      </c>
      <c r="AC21" s="25">
        <f t="shared" si="21"/>
        <v>207.49804426656831</v>
      </c>
      <c r="AD21" s="29">
        <f t="shared" si="11"/>
        <v>1.4710593633221953</v>
      </c>
      <c r="AE21" s="25">
        <f t="shared" si="22"/>
        <v>13.243681724743192</v>
      </c>
      <c r="AF21" s="25">
        <f t="shared" si="13"/>
        <v>13.243681724743192</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307.31443095592368</v>
      </c>
      <c r="AH21" s="25">
        <f t="shared" si="32"/>
        <v>0</v>
      </c>
      <c r="AI21" s="25">
        <f t="shared" si="33"/>
        <v>0</v>
      </c>
      <c r="AJ21" s="25">
        <f t="shared" si="34"/>
        <v>0</v>
      </c>
      <c r="AL21" t="b">
        <f t="shared" si="36"/>
        <v>0</v>
      </c>
      <c r="AM21" t="s">
        <v>2972</v>
      </c>
      <c r="AP21">
        <f>65*AL21</f>
        <v>0</v>
      </c>
      <c r="AT21">
        <v>20</v>
      </c>
      <c r="AU21">
        <f t="shared" si="37"/>
        <v>0</v>
      </c>
    </row>
    <row r="22" spans="1:49">
      <c r="A22">
        <f t="shared" si="14"/>
        <v>19</v>
      </c>
      <c r="B22">
        <f t="shared" si="23"/>
        <v>2</v>
      </c>
      <c r="C22">
        <f t="shared" si="0"/>
        <v>60</v>
      </c>
      <c r="D22">
        <f t="shared" si="15"/>
        <v>20</v>
      </c>
      <c r="E22">
        <f t="shared" si="35"/>
        <v>2</v>
      </c>
      <c r="F22">
        <f t="shared" si="1"/>
        <v>90</v>
      </c>
      <c r="G22">
        <f t="shared" si="16"/>
        <v>20</v>
      </c>
      <c r="H22">
        <f t="shared" si="24"/>
        <v>2</v>
      </c>
      <c r="I22">
        <f t="shared" si="2"/>
        <v>120</v>
      </c>
      <c r="J22">
        <f t="shared" si="17"/>
        <v>20</v>
      </c>
      <c r="K22">
        <f t="shared" si="25"/>
        <v>2</v>
      </c>
      <c r="L22">
        <f t="shared" si="3"/>
        <v>180</v>
      </c>
      <c r="M22">
        <f t="shared" si="18"/>
        <v>20</v>
      </c>
      <c r="N22">
        <f t="shared" si="26"/>
        <v>2</v>
      </c>
      <c r="O22">
        <f t="shared" si="4"/>
        <v>300</v>
      </c>
      <c r="P22">
        <f t="shared" si="27"/>
        <v>0</v>
      </c>
      <c r="Q22">
        <f t="shared" si="28"/>
        <v>2</v>
      </c>
      <c r="R22">
        <f t="shared" si="5"/>
        <v>300</v>
      </c>
      <c r="S22">
        <f t="shared" si="29"/>
        <v>0</v>
      </c>
      <c r="T22">
        <f t="shared" si="30"/>
        <v>-1</v>
      </c>
      <c r="U22">
        <f t="shared" si="19"/>
        <v>0</v>
      </c>
      <c r="V22">
        <f t="shared" si="20"/>
        <v>1</v>
      </c>
      <c r="W22">
        <f t="shared" si="6"/>
        <v>0</v>
      </c>
      <c r="X22">
        <f t="shared" si="31"/>
        <v>20</v>
      </c>
      <c r="Y22">
        <f t="shared" si="7"/>
        <v>0</v>
      </c>
      <c r="Z22">
        <f t="shared" si="8"/>
        <v>278</v>
      </c>
      <c r="AA22">
        <f t="shared" si="9"/>
        <v>0</v>
      </c>
      <c r="AB22" s="29">
        <f t="shared" si="10"/>
        <v>0.74178816089935007</v>
      </c>
      <c r="AC22" s="25">
        <f t="shared" si="21"/>
        <v>207.49804426656831</v>
      </c>
      <c r="AD22" s="29">
        <f t="shared" si="11"/>
        <v>1.4710593633221953</v>
      </c>
      <c r="AE22" s="25">
        <f t="shared" si="22"/>
        <v>13.243681724743192</v>
      </c>
      <c r="AF22" s="25">
        <f t="shared" si="13"/>
        <v>13.243681724743192</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307.31443095592368</v>
      </c>
      <c r="AH22" s="25">
        <f t="shared" si="32"/>
        <v>0</v>
      </c>
      <c r="AI22" s="25">
        <f t="shared" si="33"/>
        <v>0</v>
      </c>
      <c r="AJ22" s="25">
        <f t="shared" si="34"/>
        <v>0</v>
      </c>
      <c r="AL22" t="b">
        <f t="shared" si="36"/>
        <v>0</v>
      </c>
      <c r="AM22" t="s">
        <v>132</v>
      </c>
      <c r="AR22">
        <f>200*AL22</f>
        <v>0</v>
      </c>
      <c r="AT22">
        <v>15</v>
      </c>
      <c r="AU22">
        <f>15*AL22</f>
        <v>0</v>
      </c>
    </row>
    <row r="23" spans="1:49">
      <c r="A23">
        <f t="shared" si="14"/>
        <v>20</v>
      </c>
      <c r="B23">
        <f t="shared" si="23"/>
        <v>2</v>
      </c>
      <c r="C23">
        <f t="shared" si="0"/>
        <v>60</v>
      </c>
      <c r="D23">
        <f t="shared" si="15"/>
        <v>21</v>
      </c>
      <c r="E23">
        <f t="shared" si="35"/>
        <v>2</v>
      </c>
      <c r="F23">
        <f t="shared" si="1"/>
        <v>90</v>
      </c>
      <c r="G23">
        <f t="shared" si="16"/>
        <v>21</v>
      </c>
      <c r="H23">
        <f t="shared" si="24"/>
        <v>2</v>
      </c>
      <c r="I23">
        <f t="shared" si="2"/>
        <v>120</v>
      </c>
      <c r="J23">
        <f t="shared" si="17"/>
        <v>21</v>
      </c>
      <c r="K23">
        <f t="shared" si="25"/>
        <v>2</v>
      </c>
      <c r="L23">
        <f t="shared" si="3"/>
        <v>180</v>
      </c>
      <c r="M23">
        <f t="shared" si="18"/>
        <v>21</v>
      </c>
      <c r="N23">
        <f t="shared" si="26"/>
        <v>2</v>
      </c>
      <c r="O23">
        <f t="shared" si="4"/>
        <v>300</v>
      </c>
      <c r="P23">
        <f t="shared" si="27"/>
        <v>0</v>
      </c>
      <c r="Q23">
        <f t="shared" si="28"/>
        <v>2</v>
      </c>
      <c r="R23">
        <f t="shared" si="5"/>
        <v>300</v>
      </c>
      <c r="S23">
        <f t="shared" si="29"/>
        <v>0</v>
      </c>
      <c r="T23">
        <f t="shared" si="30"/>
        <v>-1</v>
      </c>
      <c r="U23">
        <f t="shared" si="19"/>
        <v>0</v>
      </c>
      <c r="V23">
        <f t="shared" si="20"/>
        <v>1</v>
      </c>
      <c r="W23">
        <f t="shared" si="6"/>
        <v>0</v>
      </c>
      <c r="X23">
        <f t="shared" si="31"/>
        <v>21</v>
      </c>
      <c r="Y23">
        <f t="shared" si="7"/>
        <v>0</v>
      </c>
      <c r="Z23">
        <f t="shared" si="8"/>
        <v>0</v>
      </c>
      <c r="AA23">
        <f t="shared" si="9"/>
        <v>0</v>
      </c>
      <c r="AB23" s="29">
        <f t="shared" si="10"/>
        <v>0.74178816089935007</v>
      </c>
      <c r="AC23" s="25">
        <f t="shared" si="21"/>
        <v>207.49804426656831</v>
      </c>
      <c r="AD23" s="29">
        <f t="shared" si="11"/>
        <v>1.4710593633221953</v>
      </c>
      <c r="AE23" s="25">
        <f t="shared" si="22"/>
        <v>13.243681724743192</v>
      </c>
      <c r="AF23" s="25">
        <f t="shared" si="13"/>
        <v>13.243681724743192</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290.78918279358999</v>
      </c>
      <c r="AH23" s="25">
        <f t="shared" si="32"/>
        <v>0</v>
      </c>
      <c r="AI23" s="25">
        <f t="shared" si="33"/>
        <v>0</v>
      </c>
      <c r="AJ23" s="25">
        <f t="shared" si="34"/>
        <v>0</v>
      </c>
      <c r="AL23" t="b">
        <f t="shared" si="36"/>
        <v>0</v>
      </c>
      <c r="AM23" t="s">
        <v>2398</v>
      </c>
      <c r="AP23">
        <f>185*AL23</f>
        <v>0</v>
      </c>
      <c r="AT23">
        <v>15</v>
      </c>
      <c r="AU23">
        <f>15*AL23</f>
        <v>0</v>
      </c>
    </row>
    <row r="24" spans="1:49">
      <c r="A24">
        <f t="shared" si="14"/>
        <v>21</v>
      </c>
      <c r="B24">
        <f t="shared" si="23"/>
        <v>2</v>
      </c>
      <c r="C24">
        <f t="shared" si="0"/>
        <v>60</v>
      </c>
      <c r="D24">
        <f t="shared" si="15"/>
        <v>22</v>
      </c>
      <c r="E24">
        <f t="shared" si="35"/>
        <v>2</v>
      </c>
      <c r="F24">
        <f t="shared" si="1"/>
        <v>90</v>
      </c>
      <c r="G24">
        <f t="shared" si="16"/>
        <v>22</v>
      </c>
      <c r="H24">
        <f t="shared" si="24"/>
        <v>2</v>
      </c>
      <c r="I24">
        <f t="shared" si="2"/>
        <v>120</v>
      </c>
      <c r="J24">
        <f t="shared" si="17"/>
        <v>22</v>
      </c>
      <c r="K24">
        <f t="shared" si="25"/>
        <v>2</v>
      </c>
      <c r="L24">
        <f t="shared" si="3"/>
        <v>180</v>
      </c>
      <c r="M24">
        <f t="shared" si="18"/>
        <v>22</v>
      </c>
      <c r="N24">
        <f t="shared" si="26"/>
        <v>2</v>
      </c>
      <c r="O24">
        <f t="shared" si="4"/>
        <v>300</v>
      </c>
      <c r="P24">
        <f t="shared" si="27"/>
        <v>0</v>
      </c>
      <c r="Q24">
        <f t="shared" si="28"/>
        <v>2</v>
      </c>
      <c r="R24">
        <f t="shared" si="5"/>
        <v>300</v>
      </c>
      <c r="S24">
        <f t="shared" si="29"/>
        <v>0</v>
      </c>
      <c r="T24">
        <f t="shared" si="30"/>
        <v>-1</v>
      </c>
      <c r="U24">
        <f t="shared" si="19"/>
        <v>0</v>
      </c>
      <c r="V24">
        <f t="shared" si="20"/>
        <v>1</v>
      </c>
      <c r="W24">
        <f t="shared" si="6"/>
        <v>0</v>
      </c>
      <c r="X24">
        <f t="shared" si="31"/>
        <v>22</v>
      </c>
      <c r="Y24">
        <f t="shared" si="7"/>
        <v>0</v>
      </c>
      <c r="Z24">
        <f t="shared" si="8"/>
        <v>0</v>
      </c>
      <c r="AA24">
        <f t="shared" si="9"/>
        <v>0</v>
      </c>
      <c r="AB24" s="29">
        <f t="shared" si="10"/>
        <v>0.74178816089935007</v>
      </c>
      <c r="AC24" s="25">
        <f t="shared" si="21"/>
        <v>207.49804426656831</v>
      </c>
      <c r="AD24" s="29">
        <f t="shared" si="11"/>
        <v>1.4710593633221953</v>
      </c>
      <c r="AE24" s="25">
        <f t="shared" si="22"/>
        <v>13.243681724743192</v>
      </c>
      <c r="AF24" s="25">
        <f t="shared" si="13"/>
        <v>13.243681724743192</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290.78918279358999</v>
      </c>
      <c r="AH24" s="25">
        <f t="shared" si="32"/>
        <v>0</v>
      </c>
      <c r="AI24" s="25">
        <f t="shared" si="33"/>
        <v>0</v>
      </c>
      <c r="AJ24" s="25">
        <f t="shared" si="34"/>
        <v>0</v>
      </c>
      <c r="AL24" t="b">
        <f t="shared" si="36"/>
        <v>0</v>
      </c>
      <c r="AM24" t="s">
        <v>139</v>
      </c>
      <c r="AP24">
        <f>260*AL24</f>
        <v>0</v>
      </c>
      <c r="AT24">
        <v>20</v>
      </c>
      <c r="AU24">
        <f t="shared" ref="AU24" si="38">20*AL24</f>
        <v>0</v>
      </c>
    </row>
    <row r="25" spans="1:49">
      <c r="A25">
        <f t="shared" si="14"/>
        <v>22</v>
      </c>
      <c r="B25">
        <f t="shared" si="23"/>
        <v>2</v>
      </c>
      <c r="C25">
        <f t="shared" si="0"/>
        <v>60</v>
      </c>
      <c r="D25">
        <f t="shared" si="15"/>
        <v>23</v>
      </c>
      <c r="E25">
        <f t="shared" si="35"/>
        <v>2</v>
      </c>
      <c r="F25">
        <f t="shared" si="1"/>
        <v>90</v>
      </c>
      <c r="G25">
        <f t="shared" si="16"/>
        <v>23</v>
      </c>
      <c r="H25">
        <f t="shared" si="24"/>
        <v>2</v>
      </c>
      <c r="I25">
        <f t="shared" si="2"/>
        <v>120</v>
      </c>
      <c r="J25">
        <f t="shared" si="17"/>
        <v>23</v>
      </c>
      <c r="K25">
        <f t="shared" si="25"/>
        <v>2</v>
      </c>
      <c r="L25">
        <f t="shared" si="3"/>
        <v>180</v>
      </c>
      <c r="M25">
        <f t="shared" si="18"/>
        <v>23</v>
      </c>
      <c r="N25">
        <f t="shared" si="26"/>
        <v>2</v>
      </c>
      <c r="O25">
        <f t="shared" si="4"/>
        <v>300</v>
      </c>
      <c r="P25">
        <f t="shared" si="27"/>
        <v>0</v>
      </c>
      <c r="Q25">
        <f t="shared" si="28"/>
        <v>2</v>
      </c>
      <c r="R25">
        <f t="shared" si="5"/>
        <v>300</v>
      </c>
      <c r="S25">
        <f t="shared" si="29"/>
        <v>0</v>
      </c>
      <c r="T25">
        <f t="shared" si="30"/>
        <v>-1</v>
      </c>
      <c r="U25">
        <f t="shared" si="19"/>
        <v>0</v>
      </c>
      <c r="V25">
        <f t="shared" si="20"/>
        <v>1</v>
      </c>
      <c r="W25">
        <f t="shared" si="6"/>
        <v>0</v>
      </c>
      <c r="X25">
        <f t="shared" si="31"/>
        <v>23</v>
      </c>
      <c r="Y25">
        <f t="shared" si="7"/>
        <v>0</v>
      </c>
      <c r="Z25">
        <f t="shared" si="8"/>
        <v>0</v>
      </c>
      <c r="AA25">
        <f t="shared" si="9"/>
        <v>0</v>
      </c>
      <c r="AB25" s="29">
        <f t="shared" si="10"/>
        <v>0.74178816089935007</v>
      </c>
      <c r="AC25" s="25">
        <f t="shared" si="21"/>
        <v>207.49804426656831</v>
      </c>
      <c r="AD25" s="29">
        <f t="shared" si="11"/>
        <v>1.4710593633221953</v>
      </c>
      <c r="AE25" s="25">
        <f t="shared" si="22"/>
        <v>13.243681724743192</v>
      </c>
      <c r="AF25" s="25">
        <f t="shared" si="13"/>
        <v>13.243681724743192</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290.78918279358999</v>
      </c>
      <c r="AH25" s="25">
        <f t="shared" si="32"/>
        <v>0</v>
      </c>
      <c r="AI25" s="25">
        <f t="shared" si="33"/>
        <v>0</v>
      </c>
      <c r="AJ25" s="25">
        <f t="shared" si="34"/>
        <v>0</v>
      </c>
      <c r="AL25" t="b">
        <f t="shared" si="36"/>
        <v>0</v>
      </c>
      <c r="AM25" t="s">
        <v>2399</v>
      </c>
      <c r="AP25">
        <f>185*AL25</f>
        <v>0</v>
      </c>
      <c r="AT25">
        <v>15</v>
      </c>
      <c r="AU25">
        <f>15*AL25</f>
        <v>0</v>
      </c>
    </row>
    <row r="26" spans="1:49">
      <c r="A26">
        <f t="shared" si="14"/>
        <v>23</v>
      </c>
      <c r="B26">
        <f t="shared" si="23"/>
        <v>2</v>
      </c>
      <c r="C26">
        <f t="shared" si="0"/>
        <v>60</v>
      </c>
      <c r="D26">
        <f t="shared" si="15"/>
        <v>24</v>
      </c>
      <c r="E26">
        <f t="shared" si="35"/>
        <v>2</v>
      </c>
      <c r="F26">
        <f t="shared" si="1"/>
        <v>90</v>
      </c>
      <c r="G26">
        <f t="shared" si="16"/>
        <v>24</v>
      </c>
      <c r="H26">
        <f t="shared" si="24"/>
        <v>2</v>
      </c>
      <c r="I26">
        <f t="shared" si="2"/>
        <v>120</v>
      </c>
      <c r="J26">
        <f t="shared" si="17"/>
        <v>24</v>
      </c>
      <c r="K26">
        <f t="shared" si="25"/>
        <v>2</v>
      </c>
      <c r="L26">
        <f t="shared" si="3"/>
        <v>180</v>
      </c>
      <c r="M26">
        <f t="shared" si="18"/>
        <v>24</v>
      </c>
      <c r="N26">
        <f t="shared" si="26"/>
        <v>2</v>
      </c>
      <c r="O26">
        <f t="shared" si="4"/>
        <v>300</v>
      </c>
      <c r="P26">
        <f t="shared" si="27"/>
        <v>0</v>
      </c>
      <c r="Q26">
        <f t="shared" si="28"/>
        <v>2</v>
      </c>
      <c r="R26">
        <f t="shared" si="5"/>
        <v>300</v>
      </c>
      <c r="S26">
        <f t="shared" si="29"/>
        <v>0</v>
      </c>
      <c r="T26">
        <f t="shared" si="30"/>
        <v>-1</v>
      </c>
      <c r="U26">
        <f t="shared" si="19"/>
        <v>0</v>
      </c>
      <c r="V26">
        <f t="shared" si="20"/>
        <v>1</v>
      </c>
      <c r="W26">
        <f t="shared" si="6"/>
        <v>0</v>
      </c>
      <c r="X26">
        <f t="shared" si="31"/>
        <v>24</v>
      </c>
      <c r="Y26">
        <f t="shared" si="7"/>
        <v>0</v>
      </c>
      <c r="Z26">
        <f t="shared" si="8"/>
        <v>0</v>
      </c>
      <c r="AA26">
        <f t="shared" si="9"/>
        <v>0</v>
      </c>
      <c r="AB26" s="29">
        <f t="shared" si="10"/>
        <v>0.74178816089935007</v>
      </c>
      <c r="AC26" s="25">
        <f t="shared" si="21"/>
        <v>207.49804426656831</v>
      </c>
      <c r="AD26" s="29">
        <f t="shared" si="11"/>
        <v>1.4710593633221953</v>
      </c>
      <c r="AE26" s="25">
        <f t="shared" si="22"/>
        <v>13.243681724743192</v>
      </c>
      <c r="AF26" s="25">
        <f t="shared" si="13"/>
        <v>13.243681724743192</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290.78918279358999</v>
      </c>
      <c r="AH26" s="25">
        <f t="shared" si="32"/>
        <v>0</v>
      </c>
      <c r="AI26" s="25">
        <f t="shared" si="33"/>
        <v>0</v>
      </c>
      <c r="AJ26" s="25">
        <f t="shared" si="34"/>
        <v>0</v>
      </c>
      <c r="AL26" t="b">
        <f>blfl&gt;0</f>
        <v>1</v>
      </c>
      <c r="AM26" t="s">
        <v>745</v>
      </c>
      <c r="AS26">
        <f>20*AL26</f>
        <v>20</v>
      </c>
      <c r="AT26">
        <v>15</v>
      </c>
      <c r="AU26">
        <v>0</v>
      </c>
    </row>
    <row r="27" spans="1:49">
      <c r="A27">
        <f t="shared" si="14"/>
        <v>24</v>
      </c>
      <c r="B27">
        <f t="shared" si="23"/>
        <v>2</v>
      </c>
      <c r="C27">
        <f t="shared" si="0"/>
        <v>60</v>
      </c>
      <c r="D27">
        <f t="shared" si="15"/>
        <v>25</v>
      </c>
      <c r="E27">
        <f t="shared" si="35"/>
        <v>2</v>
      </c>
      <c r="F27">
        <f t="shared" si="1"/>
        <v>90</v>
      </c>
      <c r="G27">
        <f t="shared" si="16"/>
        <v>25</v>
      </c>
      <c r="H27">
        <f t="shared" si="24"/>
        <v>2</v>
      </c>
      <c r="I27">
        <f t="shared" si="2"/>
        <v>120</v>
      </c>
      <c r="J27">
        <f t="shared" si="17"/>
        <v>25</v>
      </c>
      <c r="K27">
        <f t="shared" si="25"/>
        <v>2</v>
      </c>
      <c r="L27">
        <f t="shared" si="3"/>
        <v>180</v>
      </c>
      <c r="M27">
        <f t="shared" si="18"/>
        <v>25</v>
      </c>
      <c r="N27">
        <f t="shared" si="26"/>
        <v>2</v>
      </c>
      <c r="O27">
        <f t="shared" si="4"/>
        <v>300</v>
      </c>
      <c r="P27">
        <f t="shared" si="27"/>
        <v>0</v>
      </c>
      <c r="Q27">
        <f t="shared" si="28"/>
        <v>2</v>
      </c>
      <c r="R27">
        <f t="shared" si="5"/>
        <v>300</v>
      </c>
      <c r="S27">
        <f t="shared" si="29"/>
        <v>0</v>
      </c>
      <c r="T27">
        <f t="shared" si="30"/>
        <v>-1</v>
      </c>
      <c r="U27">
        <f t="shared" si="19"/>
        <v>0</v>
      </c>
      <c r="V27">
        <f t="shared" si="20"/>
        <v>1</v>
      </c>
      <c r="W27">
        <f t="shared" si="6"/>
        <v>0</v>
      </c>
      <c r="X27">
        <f t="shared" si="31"/>
        <v>25</v>
      </c>
      <c r="Y27">
        <f t="shared" si="7"/>
        <v>0</v>
      </c>
      <c r="Z27">
        <f t="shared" si="8"/>
        <v>0</v>
      </c>
      <c r="AA27">
        <f t="shared" si="9"/>
        <v>0</v>
      </c>
      <c r="AB27" s="29">
        <f t="shared" si="10"/>
        <v>0.74178816089935007</v>
      </c>
      <c r="AC27" s="25">
        <f t="shared" si="21"/>
        <v>207.49804426656831</v>
      </c>
      <c r="AD27" s="29">
        <f t="shared" si="11"/>
        <v>1.4710593633221953</v>
      </c>
      <c r="AE27" s="25">
        <f t="shared" si="22"/>
        <v>13.243681724743192</v>
      </c>
      <c r="AF27" s="25">
        <f t="shared" si="13"/>
        <v>13.243681724743192</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290.78918279358999</v>
      </c>
      <c r="AH27" s="25">
        <f t="shared" si="32"/>
        <v>0</v>
      </c>
      <c r="AI27" s="25">
        <f t="shared" si="33"/>
        <v>0</v>
      </c>
      <c r="AJ27" s="25">
        <f t="shared" si="34"/>
        <v>0</v>
      </c>
      <c r="AL27" t="b">
        <f>AND(includeracials,CharRace="Orc")</f>
        <v>0</v>
      </c>
      <c r="AM27" t="s">
        <v>2917</v>
      </c>
      <c r="AP27">
        <f>(2+CharLevel*4)*AL27</f>
        <v>0</v>
      </c>
      <c r="AT27">
        <v>15</v>
      </c>
      <c r="AU27">
        <v>0</v>
      </c>
    </row>
    <row r="28" spans="1:49">
      <c r="A28">
        <f t="shared" si="14"/>
        <v>25</v>
      </c>
      <c r="B28">
        <f t="shared" si="23"/>
        <v>2</v>
      </c>
      <c r="C28">
        <f t="shared" si="0"/>
        <v>60</v>
      </c>
      <c r="D28">
        <f t="shared" si="15"/>
        <v>26</v>
      </c>
      <c r="E28">
        <f t="shared" si="35"/>
        <v>2</v>
      </c>
      <c r="F28">
        <f t="shared" si="1"/>
        <v>90</v>
      </c>
      <c r="G28">
        <f t="shared" si="16"/>
        <v>26</v>
      </c>
      <c r="H28">
        <f t="shared" si="24"/>
        <v>2</v>
      </c>
      <c r="I28">
        <f t="shared" si="2"/>
        <v>120</v>
      </c>
      <c r="J28">
        <f t="shared" si="17"/>
        <v>26</v>
      </c>
      <c r="K28">
        <f t="shared" si="25"/>
        <v>2</v>
      </c>
      <c r="L28">
        <f t="shared" si="3"/>
        <v>180</v>
      </c>
      <c r="M28">
        <f t="shared" si="18"/>
        <v>26</v>
      </c>
      <c r="N28">
        <f t="shared" si="26"/>
        <v>2</v>
      </c>
      <c r="O28">
        <f t="shared" si="4"/>
        <v>300</v>
      </c>
      <c r="P28">
        <f t="shared" si="27"/>
        <v>0</v>
      </c>
      <c r="Q28">
        <f t="shared" si="28"/>
        <v>2</v>
      </c>
      <c r="R28">
        <f t="shared" si="5"/>
        <v>300</v>
      </c>
      <c r="S28">
        <f t="shared" si="29"/>
        <v>0</v>
      </c>
      <c r="T28">
        <f t="shared" si="30"/>
        <v>-1</v>
      </c>
      <c r="U28">
        <f t="shared" si="19"/>
        <v>0</v>
      </c>
      <c r="V28">
        <f t="shared" si="20"/>
        <v>1</v>
      </c>
      <c r="W28">
        <f t="shared" si="6"/>
        <v>0</v>
      </c>
      <c r="X28">
        <f t="shared" si="31"/>
        <v>26</v>
      </c>
      <c r="Y28">
        <f t="shared" si="7"/>
        <v>0</v>
      </c>
      <c r="Z28">
        <f t="shared" si="8"/>
        <v>0</v>
      </c>
      <c r="AA28">
        <f t="shared" si="9"/>
        <v>0</v>
      </c>
      <c r="AB28" s="29">
        <f t="shared" si="10"/>
        <v>0.74178816089935007</v>
      </c>
      <c r="AC28" s="25">
        <f t="shared" si="21"/>
        <v>207.49804426656831</v>
      </c>
      <c r="AD28" s="29">
        <f t="shared" si="11"/>
        <v>1.4710593633221953</v>
      </c>
      <c r="AE28" s="25">
        <f t="shared" si="22"/>
        <v>13.243681724743192</v>
      </c>
      <c r="AF28" s="25">
        <f t="shared" si="13"/>
        <v>13.243681724743192</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290.78918279358999</v>
      </c>
      <c r="AH28" s="25">
        <f t="shared" si="32"/>
        <v>0</v>
      </c>
      <c r="AI28" s="25">
        <f t="shared" si="33"/>
        <v>0</v>
      </c>
      <c r="AJ28" s="25">
        <f t="shared" si="34"/>
        <v>0</v>
      </c>
      <c r="AL28" t="b">
        <f>AND(Talents!O36="No", 'Gear &amp; Buffs'!B135&gt;0)</f>
        <v>1</v>
      </c>
      <c r="AM28" t="s">
        <v>1333</v>
      </c>
      <c r="AR28">
        <f>400*AL28</f>
        <v>400</v>
      </c>
      <c r="AT28">
        <v>15</v>
      </c>
      <c r="AU28">
        <v>0</v>
      </c>
    </row>
    <row r="29" spans="1:49">
      <c r="A29">
        <f t="shared" si="14"/>
        <v>26</v>
      </c>
      <c r="B29">
        <f t="shared" si="23"/>
        <v>2</v>
      </c>
      <c r="C29">
        <f t="shared" si="0"/>
        <v>60</v>
      </c>
      <c r="D29">
        <f t="shared" si="15"/>
        <v>27</v>
      </c>
      <c r="E29">
        <f t="shared" si="35"/>
        <v>2</v>
      </c>
      <c r="F29">
        <f t="shared" si="1"/>
        <v>90</v>
      </c>
      <c r="G29">
        <f t="shared" si="16"/>
        <v>27</v>
      </c>
      <c r="H29">
        <f t="shared" si="24"/>
        <v>2</v>
      </c>
      <c r="I29">
        <f t="shared" si="2"/>
        <v>120</v>
      </c>
      <c r="J29">
        <f t="shared" si="17"/>
        <v>27</v>
      </c>
      <c r="K29">
        <f t="shared" si="25"/>
        <v>2</v>
      </c>
      <c r="L29">
        <f t="shared" si="3"/>
        <v>180</v>
      </c>
      <c r="M29">
        <f t="shared" si="18"/>
        <v>27</v>
      </c>
      <c r="N29">
        <f t="shared" si="26"/>
        <v>2</v>
      </c>
      <c r="O29">
        <f t="shared" si="4"/>
        <v>300</v>
      </c>
      <c r="P29">
        <f t="shared" si="27"/>
        <v>0</v>
      </c>
      <c r="Q29">
        <f t="shared" si="28"/>
        <v>2</v>
      </c>
      <c r="R29">
        <f t="shared" si="5"/>
        <v>300</v>
      </c>
      <c r="S29">
        <f t="shared" si="29"/>
        <v>0</v>
      </c>
      <c r="T29">
        <f t="shared" si="30"/>
        <v>-1</v>
      </c>
      <c r="U29">
        <f t="shared" si="19"/>
        <v>0</v>
      </c>
      <c r="V29">
        <f t="shared" si="20"/>
        <v>1</v>
      </c>
      <c r="W29">
        <f t="shared" si="6"/>
        <v>0</v>
      </c>
      <c r="X29">
        <f t="shared" si="31"/>
        <v>27</v>
      </c>
      <c r="Y29">
        <f t="shared" si="7"/>
        <v>0</v>
      </c>
      <c r="Z29">
        <f t="shared" si="8"/>
        <v>0</v>
      </c>
      <c r="AA29">
        <f t="shared" si="9"/>
        <v>0</v>
      </c>
      <c r="AB29" s="29">
        <f t="shared" si="10"/>
        <v>0.74178816089935007</v>
      </c>
      <c r="AC29" s="25">
        <f t="shared" si="21"/>
        <v>207.49804426656831</v>
      </c>
      <c r="AD29" s="29">
        <f t="shared" si="11"/>
        <v>1.4710593633221953</v>
      </c>
      <c r="AE29" s="25">
        <f t="shared" si="22"/>
        <v>13.243681724743192</v>
      </c>
      <c r="AF29" s="25">
        <f t="shared" si="13"/>
        <v>13.243681724743192</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290.78918279358999</v>
      </c>
      <c r="AH29" s="25">
        <f t="shared" si="32"/>
        <v>0</v>
      </c>
      <c r="AI29" s="25">
        <f t="shared" si="33"/>
        <v>0</v>
      </c>
      <c r="AJ29" s="25">
        <f t="shared" si="34"/>
        <v>0</v>
      </c>
      <c r="AL29" t="b">
        <f>AND(Talents!O36="No",'Gear &amp; Buffs'!B136&gt;0)</f>
        <v>1</v>
      </c>
      <c r="AM29" t="s">
        <v>1331</v>
      </c>
      <c r="AR29">
        <f>80*AL29</f>
        <v>80</v>
      </c>
      <c r="AT29">
        <v>30</v>
      </c>
      <c r="AU29">
        <v>0</v>
      </c>
    </row>
    <row r="30" spans="1:49">
      <c r="A30">
        <f t="shared" si="14"/>
        <v>27</v>
      </c>
      <c r="B30">
        <f t="shared" si="23"/>
        <v>2</v>
      </c>
      <c r="C30">
        <f t="shared" si="0"/>
        <v>60</v>
      </c>
      <c r="D30">
        <f t="shared" si="15"/>
        <v>28</v>
      </c>
      <c r="E30">
        <f t="shared" si="35"/>
        <v>2</v>
      </c>
      <c r="F30">
        <f t="shared" si="1"/>
        <v>90</v>
      </c>
      <c r="G30">
        <f t="shared" si="16"/>
        <v>28</v>
      </c>
      <c r="H30">
        <f t="shared" si="24"/>
        <v>2</v>
      </c>
      <c r="I30">
        <f t="shared" si="2"/>
        <v>120</v>
      </c>
      <c r="J30">
        <f t="shared" si="17"/>
        <v>28</v>
      </c>
      <c r="K30">
        <f t="shared" si="25"/>
        <v>2</v>
      </c>
      <c r="L30">
        <f t="shared" si="3"/>
        <v>180</v>
      </c>
      <c r="M30">
        <f t="shared" si="18"/>
        <v>28</v>
      </c>
      <c r="N30">
        <f t="shared" si="26"/>
        <v>2</v>
      </c>
      <c r="O30">
        <f t="shared" si="4"/>
        <v>300</v>
      </c>
      <c r="P30">
        <f t="shared" si="27"/>
        <v>0</v>
      </c>
      <c r="Q30">
        <f t="shared" si="28"/>
        <v>2</v>
      </c>
      <c r="R30">
        <f t="shared" si="5"/>
        <v>300</v>
      </c>
      <c r="S30">
        <f t="shared" si="29"/>
        <v>0</v>
      </c>
      <c r="T30">
        <f t="shared" si="30"/>
        <v>-1</v>
      </c>
      <c r="U30">
        <f t="shared" si="19"/>
        <v>0</v>
      </c>
      <c r="V30">
        <f t="shared" si="20"/>
        <v>1</v>
      </c>
      <c r="W30">
        <f t="shared" si="6"/>
        <v>0</v>
      </c>
      <c r="X30">
        <f t="shared" si="31"/>
        <v>28</v>
      </c>
      <c r="Y30">
        <f t="shared" si="7"/>
        <v>0</v>
      </c>
      <c r="Z30">
        <f t="shared" si="8"/>
        <v>0</v>
      </c>
      <c r="AA30">
        <f t="shared" si="9"/>
        <v>0</v>
      </c>
      <c r="AB30" s="29">
        <f t="shared" si="10"/>
        <v>0.74178816089935007</v>
      </c>
      <c r="AC30" s="25">
        <f t="shared" si="21"/>
        <v>207.49804426656831</v>
      </c>
      <c r="AD30" s="29">
        <f t="shared" si="11"/>
        <v>1.4710593633221953</v>
      </c>
      <c r="AE30" s="25">
        <f t="shared" si="22"/>
        <v>13.243681724743192</v>
      </c>
      <c r="AF30" s="25">
        <f t="shared" si="13"/>
        <v>13.243681724743192</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290.78918279358999</v>
      </c>
      <c r="AH30" s="25">
        <f t="shared" si="32"/>
        <v>0</v>
      </c>
      <c r="AI30" s="25">
        <f t="shared" si="33"/>
        <v>0</v>
      </c>
      <c r="AJ30" s="25">
        <f t="shared" si="34"/>
        <v>0</v>
      </c>
      <c r="AL30" t="b">
        <f>AND(Talents!O36="No",'Gear &amp; Buffs'!B136=0,'Gear &amp; Buffs'!B137&gt;0)</f>
        <v>0</v>
      </c>
      <c r="AM30" t="s">
        <v>1330</v>
      </c>
      <c r="AP30">
        <f>60*AL30</f>
        <v>0</v>
      </c>
      <c r="AT30">
        <v>30</v>
      </c>
      <c r="AU30">
        <v>0</v>
      </c>
    </row>
    <row r="31" spans="1:49">
      <c r="A31">
        <f t="shared" si="14"/>
        <v>28</v>
      </c>
      <c r="B31">
        <f t="shared" si="23"/>
        <v>2</v>
      </c>
      <c r="C31">
        <f t="shared" si="0"/>
        <v>60</v>
      </c>
      <c r="D31">
        <f t="shared" si="15"/>
        <v>29</v>
      </c>
      <c r="E31">
        <f t="shared" si="35"/>
        <v>2</v>
      </c>
      <c r="F31">
        <f t="shared" si="1"/>
        <v>90</v>
      </c>
      <c r="G31">
        <f t="shared" si="16"/>
        <v>29</v>
      </c>
      <c r="H31">
        <f t="shared" si="24"/>
        <v>2</v>
      </c>
      <c r="I31">
        <f t="shared" si="2"/>
        <v>120</v>
      </c>
      <c r="J31">
        <f t="shared" si="17"/>
        <v>29</v>
      </c>
      <c r="K31">
        <f t="shared" si="25"/>
        <v>2</v>
      </c>
      <c r="L31">
        <f t="shared" si="3"/>
        <v>180</v>
      </c>
      <c r="M31">
        <f t="shared" si="18"/>
        <v>29</v>
      </c>
      <c r="N31">
        <f t="shared" si="26"/>
        <v>2</v>
      </c>
      <c r="O31">
        <f t="shared" si="4"/>
        <v>300</v>
      </c>
      <c r="P31">
        <f t="shared" si="27"/>
        <v>0</v>
      </c>
      <c r="Q31">
        <f t="shared" si="28"/>
        <v>2</v>
      </c>
      <c r="R31">
        <f t="shared" si="5"/>
        <v>300</v>
      </c>
      <c r="S31">
        <f t="shared" si="29"/>
        <v>0</v>
      </c>
      <c r="T31">
        <f t="shared" si="30"/>
        <v>-1</v>
      </c>
      <c r="U31">
        <f t="shared" si="19"/>
        <v>0</v>
      </c>
      <c r="V31">
        <f t="shared" si="20"/>
        <v>1</v>
      </c>
      <c r="W31">
        <f t="shared" si="6"/>
        <v>0</v>
      </c>
      <c r="X31">
        <f t="shared" si="31"/>
        <v>29</v>
      </c>
      <c r="Y31">
        <f t="shared" si="7"/>
        <v>0</v>
      </c>
      <c r="Z31">
        <f t="shared" si="8"/>
        <v>0</v>
      </c>
      <c r="AA31">
        <f t="shared" si="9"/>
        <v>0</v>
      </c>
      <c r="AB31" s="29">
        <f t="shared" si="10"/>
        <v>0.74178816089935007</v>
      </c>
      <c r="AC31" s="25">
        <f t="shared" si="21"/>
        <v>207.49804426656831</v>
      </c>
      <c r="AD31" s="29">
        <f t="shared" si="11"/>
        <v>1.4710593633221953</v>
      </c>
      <c r="AE31" s="25">
        <f t="shared" si="22"/>
        <v>13.243681724743192</v>
      </c>
      <c r="AF31" s="25">
        <f t="shared" si="13"/>
        <v>13.243681724743192</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290.78918279358999</v>
      </c>
      <c r="AH31" s="25">
        <f t="shared" si="32"/>
        <v>0</v>
      </c>
      <c r="AI31" s="25">
        <f t="shared" si="33"/>
        <v>0</v>
      </c>
      <c r="AJ31" s="25">
        <f t="shared" si="34"/>
        <v>0</v>
      </c>
    </row>
    <row r="32" spans="1:49">
      <c r="A32">
        <f t="shared" si="14"/>
        <v>29</v>
      </c>
      <c r="B32">
        <f t="shared" si="23"/>
        <v>2</v>
      </c>
      <c r="C32">
        <f t="shared" si="0"/>
        <v>60</v>
      </c>
      <c r="D32">
        <f t="shared" si="15"/>
        <v>30</v>
      </c>
      <c r="E32">
        <f t="shared" si="35"/>
        <v>2</v>
      </c>
      <c r="F32">
        <f t="shared" si="1"/>
        <v>90</v>
      </c>
      <c r="G32">
        <f t="shared" si="16"/>
        <v>30</v>
      </c>
      <c r="H32">
        <f t="shared" si="24"/>
        <v>2</v>
      </c>
      <c r="I32">
        <f t="shared" si="2"/>
        <v>120</v>
      </c>
      <c r="J32">
        <f t="shared" si="17"/>
        <v>30</v>
      </c>
      <c r="K32">
        <f t="shared" si="25"/>
        <v>2</v>
      </c>
      <c r="L32">
        <f t="shared" si="3"/>
        <v>180</v>
      </c>
      <c r="M32">
        <f t="shared" si="18"/>
        <v>30</v>
      </c>
      <c r="N32">
        <f t="shared" si="26"/>
        <v>2</v>
      </c>
      <c r="O32">
        <f t="shared" si="4"/>
        <v>300</v>
      </c>
      <c r="P32">
        <f t="shared" si="27"/>
        <v>0</v>
      </c>
      <c r="Q32">
        <f t="shared" si="28"/>
        <v>2</v>
      </c>
      <c r="R32">
        <f t="shared" si="5"/>
        <v>300</v>
      </c>
      <c r="S32">
        <f t="shared" si="29"/>
        <v>0</v>
      </c>
      <c r="T32">
        <f t="shared" si="30"/>
        <v>-1</v>
      </c>
      <c r="U32">
        <f t="shared" si="19"/>
        <v>0</v>
      </c>
      <c r="V32">
        <f t="shared" si="20"/>
        <v>1</v>
      </c>
      <c r="W32">
        <f t="shared" si="6"/>
        <v>0</v>
      </c>
      <c r="X32">
        <f t="shared" si="31"/>
        <v>30</v>
      </c>
      <c r="Y32">
        <f t="shared" si="7"/>
        <v>0</v>
      </c>
      <c r="Z32">
        <f t="shared" si="8"/>
        <v>0</v>
      </c>
      <c r="AA32">
        <f t="shared" si="9"/>
        <v>0</v>
      </c>
      <c r="AB32" s="29">
        <f t="shared" si="10"/>
        <v>0.74178816089935007</v>
      </c>
      <c r="AC32" s="25">
        <f t="shared" si="21"/>
        <v>207.49804426656831</v>
      </c>
      <c r="AD32" s="29">
        <f t="shared" si="11"/>
        <v>1.4710593633221953</v>
      </c>
      <c r="AE32" s="25">
        <f t="shared" si="22"/>
        <v>13.243681724743192</v>
      </c>
      <c r="AF32" s="25">
        <f t="shared" si="13"/>
        <v>13.243681724743192</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290.78918279358999</v>
      </c>
      <c r="AH32" s="25">
        <f t="shared" si="32"/>
        <v>0</v>
      </c>
      <c r="AI32" s="25">
        <f t="shared" si="33"/>
        <v>0</v>
      </c>
      <c r="AJ32" s="25">
        <f t="shared" si="34"/>
        <v>0</v>
      </c>
      <c r="AM32" s="891" t="s">
        <v>2918</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4"/>
        <v>30</v>
      </c>
      <c r="B33">
        <f t="shared" si="23"/>
        <v>2</v>
      </c>
      <c r="C33">
        <f t="shared" si="0"/>
        <v>60</v>
      </c>
      <c r="D33">
        <f t="shared" si="15"/>
        <v>0</v>
      </c>
      <c r="E33">
        <f t="shared" si="35"/>
        <v>2</v>
      </c>
      <c r="F33">
        <f t="shared" si="1"/>
        <v>90</v>
      </c>
      <c r="G33">
        <f t="shared" si="16"/>
        <v>0</v>
      </c>
      <c r="H33">
        <f t="shared" si="24"/>
        <v>2</v>
      </c>
      <c r="I33">
        <f t="shared" si="2"/>
        <v>120</v>
      </c>
      <c r="J33">
        <f t="shared" si="17"/>
        <v>0</v>
      </c>
      <c r="K33">
        <f t="shared" si="25"/>
        <v>2</v>
      </c>
      <c r="L33">
        <f t="shared" si="3"/>
        <v>180</v>
      </c>
      <c r="M33">
        <f t="shared" si="18"/>
        <v>0</v>
      </c>
      <c r="N33">
        <f t="shared" si="26"/>
        <v>2</v>
      </c>
      <c r="O33">
        <f t="shared" si="4"/>
        <v>300</v>
      </c>
      <c r="P33">
        <f t="shared" si="27"/>
        <v>0</v>
      </c>
      <c r="Q33">
        <f t="shared" si="28"/>
        <v>2</v>
      </c>
      <c r="R33">
        <f t="shared" si="5"/>
        <v>300</v>
      </c>
      <c r="S33">
        <f t="shared" si="29"/>
        <v>0</v>
      </c>
      <c r="T33">
        <f t="shared" si="30"/>
        <v>-1</v>
      </c>
      <c r="U33">
        <f t="shared" si="19"/>
        <v>0</v>
      </c>
      <c r="V33">
        <f t="shared" si="20"/>
        <v>1</v>
      </c>
      <c r="W33">
        <f t="shared" si="6"/>
        <v>0</v>
      </c>
      <c r="X33">
        <f t="shared" si="31"/>
        <v>31</v>
      </c>
      <c r="Y33">
        <f t="shared" si="7"/>
        <v>0</v>
      </c>
      <c r="Z33">
        <f t="shared" si="8"/>
        <v>0</v>
      </c>
      <c r="AA33">
        <f t="shared" si="9"/>
        <v>0</v>
      </c>
      <c r="AB33" s="29">
        <f t="shared" si="10"/>
        <v>0.74178816089935007</v>
      </c>
      <c r="AC33" s="25">
        <f t="shared" si="21"/>
        <v>127.49804426656831</v>
      </c>
      <c r="AD33" s="29">
        <f t="shared" si="11"/>
        <v>1.4051081438100002</v>
      </c>
      <c r="AE33" s="25">
        <f t="shared" si="22"/>
        <v>13.243681724743192</v>
      </c>
      <c r="AF33" s="25">
        <f t="shared" si="13"/>
        <v>13.243681724743192</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290.78918279358999</v>
      </c>
      <c r="AH33" s="25">
        <f t="shared" si="32"/>
        <v>0</v>
      </c>
      <c r="AI33" s="25">
        <f t="shared" si="33"/>
        <v>0</v>
      </c>
      <c r="AJ33" s="25">
        <f t="shared" si="34"/>
        <v>0</v>
      </c>
      <c r="AL33" t="b">
        <f>OR(trinket1=AM33, trinket2=AM33)</f>
        <v>0</v>
      </c>
      <c r="AM33" t="s">
        <v>2845</v>
      </c>
      <c r="AQ33" s="25">
        <f>MIN(Trinket!AG16*200, Trinket!AF17)*AL33</f>
        <v>0</v>
      </c>
      <c r="AT33">
        <v>30</v>
      </c>
      <c r="AU33">
        <v>0</v>
      </c>
    </row>
    <row r="34" spans="1:47">
      <c r="A34">
        <f t="shared" si="14"/>
        <v>31</v>
      </c>
      <c r="B34">
        <f t="shared" si="23"/>
        <v>2</v>
      </c>
      <c r="C34">
        <f t="shared" si="0"/>
        <v>60</v>
      </c>
      <c r="D34">
        <f t="shared" si="15"/>
        <v>0</v>
      </c>
      <c r="E34">
        <f t="shared" si="35"/>
        <v>2</v>
      </c>
      <c r="F34">
        <f t="shared" si="1"/>
        <v>90</v>
      </c>
      <c r="G34">
        <f t="shared" si="16"/>
        <v>0</v>
      </c>
      <c r="H34">
        <f t="shared" si="24"/>
        <v>2</v>
      </c>
      <c r="I34">
        <f t="shared" si="2"/>
        <v>120</v>
      </c>
      <c r="J34">
        <f t="shared" si="17"/>
        <v>0</v>
      </c>
      <c r="K34">
        <f t="shared" si="25"/>
        <v>2</v>
      </c>
      <c r="L34">
        <f t="shared" si="3"/>
        <v>180</v>
      </c>
      <c r="M34">
        <f t="shared" si="18"/>
        <v>0</v>
      </c>
      <c r="N34">
        <f t="shared" si="26"/>
        <v>2</v>
      </c>
      <c r="O34">
        <f t="shared" si="4"/>
        <v>300</v>
      </c>
      <c r="P34">
        <f t="shared" si="27"/>
        <v>0</v>
      </c>
      <c r="Q34">
        <f t="shared" si="28"/>
        <v>2</v>
      </c>
      <c r="R34">
        <f t="shared" si="5"/>
        <v>300</v>
      </c>
      <c r="S34">
        <f t="shared" si="29"/>
        <v>0</v>
      </c>
      <c r="T34">
        <f t="shared" si="30"/>
        <v>-1</v>
      </c>
      <c r="U34">
        <f t="shared" si="19"/>
        <v>0</v>
      </c>
      <c r="V34">
        <f t="shared" si="20"/>
        <v>1</v>
      </c>
      <c r="W34">
        <f t="shared" si="6"/>
        <v>0</v>
      </c>
      <c r="X34">
        <f t="shared" si="31"/>
        <v>32</v>
      </c>
      <c r="Y34">
        <f t="shared" si="7"/>
        <v>0</v>
      </c>
      <c r="Z34">
        <f t="shared" si="8"/>
        <v>0</v>
      </c>
      <c r="AA34">
        <f t="shared" si="9"/>
        <v>0</v>
      </c>
      <c r="AB34" s="29">
        <f t="shared" si="10"/>
        <v>0.74178816089935007</v>
      </c>
      <c r="AC34" s="25">
        <f t="shared" si="21"/>
        <v>127.49804426656831</v>
      </c>
      <c r="AD34" s="29">
        <f t="shared" si="11"/>
        <v>1.4051081438100002</v>
      </c>
      <c r="AE34" s="25">
        <f t="shared" si="22"/>
        <v>13.243681724743192</v>
      </c>
      <c r="AF34" s="25">
        <f t="shared" si="13"/>
        <v>13.243681724743192</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290.78918279358999</v>
      </c>
      <c r="AH34" s="25">
        <f t="shared" si="32"/>
        <v>0</v>
      </c>
      <c r="AI34" s="25">
        <f t="shared" si="33"/>
        <v>0</v>
      </c>
      <c r="AJ34" s="25">
        <f t="shared" si="34"/>
        <v>0</v>
      </c>
      <c r="AL34" t="b">
        <f>OR(trinket1=AM34, trinket2=AM34)</f>
        <v>0</v>
      </c>
      <c r="AM34" t="s">
        <v>1955</v>
      </c>
      <c r="AP34">
        <f>320*AL34</f>
        <v>0</v>
      </c>
      <c r="AT34">
        <v>12</v>
      </c>
      <c r="AU34">
        <f>12*AL34</f>
        <v>0</v>
      </c>
    </row>
    <row r="35" spans="1:47">
      <c r="A35">
        <f t="shared" si="14"/>
        <v>32</v>
      </c>
      <c r="B35">
        <f t="shared" si="23"/>
        <v>2</v>
      </c>
      <c r="C35">
        <f t="shared" si="0"/>
        <v>60</v>
      </c>
      <c r="D35">
        <f t="shared" si="15"/>
        <v>0</v>
      </c>
      <c r="E35">
        <f t="shared" si="35"/>
        <v>2</v>
      </c>
      <c r="F35">
        <f t="shared" si="1"/>
        <v>90</v>
      </c>
      <c r="G35">
        <f t="shared" si="16"/>
        <v>0</v>
      </c>
      <c r="H35">
        <f t="shared" si="24"/>
        <v>2</v>
      </c>
      <c r="I35">
        <f t="shared" si="2"/>
        <v>120</v>
      </c>
      <c r="J35">
        <f t="shared" si="17"/>
        <v>0</v>
      </c>
      <c r="K35">
        <f t="shared" si="25"/>
        <v>2</v>
      </c>
      <c r="L35">
        <f t="shared" si="3"/>
        <v>180</v>
      </c>
      <c r="M35">
        <f t="shared" si="18"/>
        <v>0</v>
      </c>
      <c r="N35">
        <f t="shared" si="26"/>
        <v>2</v>
      </c>
      <c r="O35">
        <f t="shared" si="4"/>
        <v>300</v>
      </c>
      <c r="P35">
        <f t="shared" si="27"/>
        <v>0</v>
      </c>
      <c r="Q35">
        <f t="shared" si="28"/>
        <v>2</v>
      </c>
      <c r="R35">
        <f t="shared" si="5"/>
        <v>300</v>
      </c>
      <c r="S35">
        <f t="shared" si="29"/>
        <v>0</v>
      </c>
      <c r="T35">
        <f t="shared" si="30"/>
        <v>-1</v>
      </c>
      <c r="U35">
        <f t="shared" si="19"/>
        <v>0</v>
      </c>
      <c r="V35">
        <f t="shared" si="20"/>
        <v>1</v>
      </c>
      <c r="W35">
        <f t="shared" si="6"/>
        <v>0</v>
      </c>
      <c r="X35">
        <f t="shared" si="31"/>
        <v>33</v>
      </c>
      <c r="Y35">
        <f t="shared" si="7"/>
        <v>0</v>
      </c>
      <c r="Z35">
        <f t="shared" si="8"/>
        <v>0</v>
      </c>
      <c r="AA35">
        <f t="shared" si="9"/>
        <v>0</v>
      </c>
      <c r="AB35" s="29">
        <f t="shared" si="10"/>
        <v>0.74178816089935007</v>
      </c>
      <c r="AC35" s="25">
        <f t="shared" si="21"/>
        <v>127.49804426656831</v>
      </c>
      <c r="AD35" s="29">
        <f t="shared" si="11"/>
        <v>1.4051081438100002</v>
      </c>
      <c r="AE35" s="25">
        <f t="shared" si="22"/>
        <v>13.243681724743192</v>
      </c>
      <c r="AF35" s="25">
        <f t="shared" si="13"/>
        <v>13.243681724743192</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290.78918279358999</v>
      </c>
      <c r="AH35" s="25">
        <f t="shared" si="32"/>
        <v>0</v>
      </c>
      <c r="AI35" s="25">
        <f t="shared" si="33"/>
        <v>0</v>
      </c>
      <c r="AJ35" s="25">
        <f t="shared" si="34"/>
        <v>0</v>
      </c>
      <c r="AL35" t="b">
        <f>AND(includeracials,CharRace="Troll")</f>
        <v>0</v>
      </c>
      <c r="AM35" t="s">
        <v>2919</v>
      </c>
      <c r="AS35">
        <f>MIN(10+ 33*(1-berserkinghp), 30)*AL35</f>
        <v>0</v>
      </c>
      <c r="AT35">
        <v>10</v>
      </c>
      <c r="AU35">
        <v>0</v>
      </c>
    </row>
    <row r="36" spans="1:47">
      <c r="A36">
        <f t="shared" si="14"/>
        <v>33</v>
      </c>
      <c r="B36">
        <f t="shared" si="23"/>
        <v>2</v>
      </c>
      <c r="C36">
        <f t="shared" si="0"/>
        <v>60</v>
      </c>
      <c r="D36">
        <f t="shared" si="15"/>
        <v>0</v>
      </c>
      <c r="E36">
        <f t="shared" si="35"/>
        <v>2</v>
      </c>
      <c r="F36">
        <f t="shared" si="1"/>
        <v>90</v>
      </c>
      <c r="G36">
        <f t="shared" si="16"/>
        <v>0</v>
      </c>
      <c r="H36">
        <f t="shared" si="24"/>
        <v>2</v>
      </c>
      <c r="I36">
        <f t="shared" si="2"/>
        <v>120</v>
      </c>
      <c r="J36">
        <f t="shared" si="17"/>
        <v>0</v>
      </c>
      <c r="K36">
        <f t="shared" si="25"/>
        <v>2</v>
      </c>
      <c r="L36">
        <f t="shared" si="3"/>
        <v>180</v>
      </c>
      <c r="M36">
        <f t="shared" si="18"/>
        <v>0</v>
      </c>
      <c r="N36">
        <f t="shared" si="26"/>
        <v>2</v>
      </c>
      <c r="O36">
        <f t="shared" si="4"/>
        <v>300</v>
      </c>
      <c r="P36">
        <f t="shared" si="27"/>
        <v>0</v>
      </c>
      <c r="Q36">
        <f t="shared" si="28"/>
        <v>2</v>
      </c>
      <c r="R36">
        <f t="shared" si="5"/>
        <v>300</v>
      </c>
      <c r="S36">
        <f t="shared" si="29"/>
        <v>0</v>
      </c>
      <c r="T36">
        <f t="shared" si="30"/>
        <v>-1</v>
      </c>
      <c r="U36">
        <f t="shared" si="19"/>
        <v>0</v>
      </c>
      <c r="V36">
        <f t="shared" si="20"/>
        <v>1</v>
      </c>
      <c r="W36">
        <f t="shared" si="6"/>
        <v>0</v>
      </c>
      <c r="X36">
        <f t="shared" si="31"/>
        <v>34</v>
      </c>
      <c r="Y36">
        <f t="shared" si="7"/>
        <v>0</v>
      </c>
      <c r="Z36">
        <f t="shared" si="8"/>
        <v>0</v>
      </c>
      <c r="AA36">
        <f t="shared" si="9"/>
        <v>0</v>
      </c>
      <c r="AB36" s="29">
        <f t="shared" si="10"/>
        <v>0.74178816089935007</v>
      </c>
      <c r="AC36" s="25">
        <f t="shared" si="21"/>
        <v>127.49804426656831</v>
      </c>
      <c r="AD36" s="29">
        <f t="shared" si="11"/>
        <v>1.4051081438100002</v>
      </c>
      <c r="AE36" s="25">
        <f t="shared" si="22"/>
        <v>13.243681724743192</v>
      </c>
      <c r="AF36" s="25">
        <f t="shared" si="13"/>
        <v>13.243681724743192</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290.78918279358999</v>
      </c>
      <c r="AH36" s="25">
        <f t="shared" si="32"/>
        <v>0</v>
      </c>
      <c r="AI36" s="25">
        <f t="shared" si="33"/>
        <v>0</v>
      </c>
      <c r="AJ36" s="25">
        <f t="shared" si="34"/>
        <v>0</v>
      </c>
    </row>
    <row r="37" spans="1:47">
      <c r="A37">
        <f t="shared" si="14"/>
        <v>34</v>
      </c>
      <c r="B37">
        <f t="shared" si="23"/>
        <v>2</v>
      </c>
      <c r="C37">
        <f t="shared" si="0"/>
        <v>60</v>
      </c>
      <c r="D37">
        <f t="shared" si="15"/>
        <v>0</v>
      </c>
      <c r="E37">
        <f t="shared" si="35"/>
        <v>2</v>
      </c>
      <c r="F37">
        <f t="shared" si="1"/>
        <v>90</v>
      </c>
      <c r="G37">
        <f t="shared" si="16"/>
        <v>0</v>
      </c>
      <c r="H37">
        <f t="shared" si="24"/>
        <v>2</v>
      </c>
      <c r="I37">
        <f t="shared" si="2"/>
        <v>120</v>
      </c>
      <c r="J37">
        <f t="shared" si="17"/>
        <v>0</v>
      </c>
      <c r="K37">
        <f t="shared" si="25"/>
        <v>2</v>
      </c>
      <c r="L37">
        <f t="shared" si="3"/>
        <v>180</v>
      </c>
      <c r="M37">
        <f t="shared" si="18"/>
        <v>0</v>
      </c>
      <c r="N37">
        <f t="shared" si="26"/>
        <v>2</v>
      </c>
      <c r="O37">
        <f t="shared" si="4"/>
        <v>300</v>
      </c>
      <c r="P37">
        <f t="shared" si="27"/>
        <v>0</v>
      </c>
      <c r="Q37">
        <f t="shared" si="28"/>
        <v>2</v>
      </c>
      <c r="R37">
        <f t="shared" si="5"/>
        <v>300</v>
      </c>
      <c r="S37">
        <f t="shared" si="29"/>
        <v>0</v>
      </c>
      <c r="T37">
        <f t="shared" si="30"/>
        <v>-1</v>
      </c>
      <c r="U37">
        <f t="shared" si="19"/>
        <v>0</v>
      </c>
      <c r="V37">
        <f t="shared" si="20"/>
        <v>1</v>
      </c>
      <c r="W37">
        <f t="shared" si="6"/>
        <v>0</v>
      </c>
      <c r="X37">
        <f t="shared" si="31"/>
        <v>35</v>
      </c>
      <c r="Y37">
        <f t="shared" si="7"/>
        <v>0</v>
      </c>
      <c r="Z37">
        <f t="shared" si="8"/>
        <v>0</v>
      </c>
      <c r="AA37">
        <f t="shared" si="9"/>
        <v>0</v>
      </c>
      <c r="AB37" s="29">
        <f t="shared" si="10"/>
        <v>0.74178816089935007</v>
      </c>
      <c r="AC37" s="25">
        <f t="shared" si="21"/>
        <v>127.49804426656831</v>
      </c>
      <c r="AD37" s="29">
        <f t="shared" si="11"/>
        <v>1.4051081438100002</v>
      </c>
      <c r="AE37" s="25">
        <f t="shared" si="22"/>
        <v>13.243681724743192</v>
      </c>
      <c r="AF37" s="25">
        <f t="shared" si="13"/>
        <v>13.243681724743192</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290.78918279358999</v>
      </c>
      <c r="AH37" s="25">
        <f t="shared" si="32"/>
        <v>0</v>
      </c>
      <c r="AI37" s="25">
        <f t="shared" si="33"/>
        <v>0</v>
      </c>
      <c r="AJ37" s="25">
        <f t="shared" si="34"/>
        <v>0</v>
      </c>
      <c r="AL37" t="b">
        <f>arush&gt;0</f>
        <v>1</v>
      </c>
      <c r="AM37" t="s">
        <v>751</v>
      </c>
      <c r="AN37" s="897">
        <f>10-MAX(0,10/(instcost*Cycles!N43+evicost)*evicost)</f>
        <v>8.346860480808159</v>
      </c>
    </row>
    <row r="38" spans="1:47">
      <c r="A38">
        <f t="shared" si="14"/>
        <v>35</v>
      </c>
      <c r="B38">
        <f t="shared" si="23"/>
        <v>2</v>
      </c>
      <c r="C38">
        <f t="shared" si="0"/>
        <v>60</v>
      </c>
      <c r="D38">
        <f t="shared" si="15"/>
        <v>0</v>
      </c>
      <c r="E38">
        <f t="shared" si="35"/>
        <v>2</v>
      </c>
      <c r="F38">
        <f t="shared" si="1"/>
        <v>90</v>
      </c>
      <c r="G38">
        <f t="shared" si="16"/>
        <v>0</v>
      </c>
      <c r="H38">
        <f t="shared" si="24"/>
        <v>2</v>
      </c>
      <c r="I38">
        <f t="shared" si="2"/>
        <v>120</v>
      </c>
      <c r="J38">
        <f t="shared" si="17"/>
        <v>0</v>
      </c>
      <c r="K38">
        <f t="shared" si="25"/>
        <v>2</v>
      </c>
      <c r="L38">
        <f t="shared" si="3"/>
        <v>180</v>
      </c>
      <c r="M38">
        <f t="shared" si="18"/>
        <v>0</v>
      </c>
      <c r="N38">
        <f t="shared" si="26"/>
        <v>2</v>
      </c>
      <c r="O38">
        <f t="shared" si="4"/>
        <v>300</v>
      </c>
      <c r="P38">
        <f t="shared" si="27"/>
        <v>0</v>
      </c>
      <c r="Q38">
        <f t="shared" si="28"/>
        <v>2</v>
      </c>
      <c r="R38">
        <f t="shared" si="5"/>
        <v>300</v>
      </c>
      <c r="S38">
        <f t="shared" si="29"/>
        <v>0</v>
      </c>
      <c r="T38">
        <f t="shared" si="30"/>
        <v>-1</v>
      </c>
      <c r="U38">
        <f t="shared" si="19"/>
        <v>0</v>
      </c>
      <c r="V38">
        <f t="shared" si="20"/>
        <v>1</v>
      </c>
      <c r="W38">
        <f t="shared" si="6"/>
        <v>0</v>
      </c>
      <c r="X38">
        <f t="shared" si="31"/>
        <v>36</v>
      </c>
      <c r="Y38">
        <f t="shared" si="7"/>
        <v>0</v>
      </c>
      <c r="Z38">
        <f t="shared" si="8"/>
        <v>0</v>
      </c>
      <c r="AA38">
        <f t="shared" si="9"/>
        <v>0</v>
      </c>
      <c r="AB38" s="29">
        <f t="shared" si="10"/>
        <v>0.74178816089935007</v>
      </c>
      <c r="AC38" s="25">
        <f t="shared" si="21"/>
        <v>127.49804426656831</v>
      </c>
      <c r="AD38" s="29">
        <f t="shared" si="11"/>
        <v>1.4051081438100002</v>
      </c>
      <c r="AE38" s="25">
        <f t="shared" si="22"/>
        <v>13.243681724743192</v>
      </c>
      <c r="AF38" s="25">
        <f t="shared" si="13"/>
        <v>13.243681724743192</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290.78918279358999</v>
      </c>
      <c r="AH38" s="25">
        <f t="shared" si="32"/>
        <v>0</v>
      </c>
      <c r="AI38" s="25">
        <f t="shared" si="33"/>
        <v>0</v>
      </c>
      <c r="AJ38" s="25">
        <f t="shared" si="34"/>
        <v>0</v>
      </c>
      <c r="AL38" t="b">
        <f>AND(Talents!O36="No", 'Gear &amp; Buffs'!B138&gt;0)</f>
        <v>1</v>
      </c>
      <c r="AM38" t="s">
        <v>1334</v>
      </c>
    </row>
    <row r="39" spans="1:47">
      <c r="A39">
        <f t="shared" si="14"/>
        <v>36</v>
      </c>
      <c r="B39">
        <f t="shared" si="23"/>
        <v>2</v>
      </c>
      <c r="C39">
        <f t="shared" si="0"/>
        <v>60</v>
      </c>
      <c r="D39">
        <f t="shared" si="15"/>
        <v>0</v>
      </c>
      <c r="E39">
        <f t="shared" si="35"/>
        <v>2</v>
      </c>
      <c r="F39">
        <f t="shared" si="1"/>
        <v>90</v>
      </c>
      <c r="G39">
        <f t="shared" si="16"/>
        <v>0</v>
      </c>
      <c r="H39">
        <f t="shared" si="24"/>
        <v>2</v>
      </c>
      <c r="I39">
        <f t="shared" si="2"/>
        <v>120</v>
      </c>
      <c r="J39">
        <f t="shared" si="17"/>
        <v>0</v>
      </c>
      <c r="K39">
        <f t="shared" si="25"/>
        <v>2</v>
      </c>
      <c r="L39">
        <f t="shared" si="3"/>
        <v>180</v>
      </c>
      <c r="M39">
        <f t="shared" si="18"/>
        <v>0</v>
      </c>
      <c r="N39">
        <f t="shared" si="26"/>
        <v>2</v>
      </c>
      <c r="O39">
        <f t="shared" si="4"/>
        <v>300</v>
      </c>
      <c r="P39">
        <f t="shared" si="27"/>
        <v>0</v>
      </c>
      <c r="Q39">
        <f t="shared" si="28"/>
        <v>2</v>
      </c>
      <c r="R39">
        <f t="shared" si="5"/>
        <v>300</v>
      </c>
      <c r="S39">
        <f t="shared" si="29"/>
        <v>0</v>
      </c>
      <c r="T39">
        <f t="shared" si="30"/>
        <v>-1</v>
      </c>
      <c r="U39">
        <f t="shared" si="19"/>
        <v>0</v>
      </c>
      <c r="V39">
        <f t="shared" si="20"/>
        <v>1</v>
      </c>
      <c r="W39">
        <f t="shared" si="6"/>
        <v>0</v>
      </c>
      <c r="X39">
        <f t="shared" si="31"/>
        <v>37</v>
      </c>
      <c r="Y39">
        <f t="shared" si="7"/>
        <v>0</v>
      </c>
      <c r="Z39">
        <f t="shared" si="8"/>
        <v>0</v>
      </c>
      <c r="AA39">
        <f t="shared" si="9"/>
        <v>0</v>
      </c>
      <c r="AB39" s="29">
        <f t="shared" si="10"/>
        <v>0.74178816089935007</v>
      </c>
      <c r="AC39" s="25">
        <f t="shared" si="21"/>
        <v>127.49804426656831</v>
      </c>
      <c r="AD39" s="29">
        <f t="shared" si="11"/>
        <v>1.4051081438100002</v>
      </c>
      <c r="AE39" s="25">
        <f t="shared" si="22"/>
        <v>13.243681724743192</v>
      </c>
      <c r="AF39" s="25">
        <f t="shared" si="13"/>
        <v>13.243681724743192</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290.78918279358999</v>
      </c>
      <c r="AH39" s="25">
        <f t="shared" si="32"/>
        <v>0</v>
      </c>
      <c r="AI39" s="25">
        <f t="shared" si="33"/>
        <v>0</v>
      </c>
      <c r="AJ39" s="25">
        <f t="shared" si="34"/>
        <v>0</v>
      </c>
      <c r="AL39" t="b">
        <f>AND(includeracials,CharRace="Blood Elf",hasmana)</f>
        <v>0</v>
      </c>
      <c r="AM39" t="s">
        <v>2999</v>
      </c>
    </row>
    <row r="40" spans="1:47">
      <c r="A40">
        <f t="shared" si="14"/>
        <v>37</v>
      </c>
      <c r="B40">
        <f t="shared" si="23"/>
        <v>2</v>
      </c>
      <c r="C40">
        <f t="shared" si="0"/>
        <v>60</v>
      </c>
      <c r="D40">
        <f t="shared" si="15"/>
        <v>0</v>
      </c>
      <c r="E40">
        <f t="shared" si="35"/>
        <v>2</v>
      </c>
      <c r="F40">
        <f t="shared" si="1"/>
        <v>90</v>
      </c>
      <c r="G40">
        <f t="shared" si="16"/>
        <v>0</v>
      </c>
      <c r="H40">
        <f t="shared" si="24"/>
        <v>2</v>
      </c>
      <c r="I40">
        <f t="shared" si="2"/>
        <v>120</v>
      </c>
      <c r="J40">
        <f t="shared" si="17"/>
        <v>0</v>
      </c>
      <c r="K40">
        <f t="shared" si="25"/>
        <v>2</v>
      </c>
      <c r="L40">
        <f t="shared" si="3"/>
        <v>180</v>
      </c>
      <c r="M40">
        <f t="shared" si="18"/>
        <v>0</v>
      </c>
      <c r="N40">
        <f t="shared" si="26"/>
        <v>2</v>
      </c>
      <c r="O40">
        <f t="shared" si="4"/>
        <v>300</v>
      </c>
      <c r="P40">
        <f t="shared" si="27"/>
        <v>0</v>
      </c>
      <c r="Q40">
        <f t="shared" si="28"/>
        <v>2</v>
      </c>
      <c r="R40">
        <f t="shared" si="5"/>
        <v>300</v>
      </c>
      <c r="S40">
        <f t="shared" si="29"/>
        <v>0</v>
      </c>
      <c r="T40">
        <f t="shared" si="30"/>
        <v>-1</v>
      </c>
      <c r="U40">
        <f t="shared" si="19"/>
        <v>0</v>
      </c>
      <c r="V40">
        <f t="shared" si="20"/>
        <v>1</v>
      </c>
      <c r="W40">
        <f t="shared" si="6"/>
        <v>0</v>
      </c>
      <c r="X40">
        <f t="shared" si="31"/>
        <v>38</v>
      </c>
      <c r="Y40">
        <f t="shared" si="7"/>
        <v>0</v>
      </c>
      <c r="Z40">
        <f t="shared" si="8"/>
        <v>0</v>
      </c>
      <c r="AA40">
        <f t="shared" si="9"/>
        <v>0</v>
      </c>
      <c r="AB40" s="29">
        <f t="shared" si="10"/>
        <v>0.74178816089935007</v>
      </c>
      <c r="AC40" s="25">
        <f t="shared" si="21"/>
        <v>127.49804426656831</v>
      </c>
      <c r="AD40" s="29">
        <f t="shared" si="11"/>
        <v>1.4051081438100002</v>
      </c>
      <c r="AE40" s="25">
        <f t="shared" si="22"/>
        <v>13.243681724743192</v>
      </c>
      <c r="AF40" s="25">
        <f t="shared" si="13"/>
        <v>13.243681724743192</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290.78918279358999</v>
      </c>
      <c r="AH40" s="25">
        <f t="shared" si="32"/>
        <v>0</v>
      </c>
      <c r="AI40" s="25">
        <f t="shared" si="33"/>
        <v>0</v>
      </c>
      <c r="AJ40" s="25">
        <f t="shared" si="34"/>
        <v>0</v>
      </c>
    </row>
    <row r="41" spans="1:47">
      <c r="A41">
        <f t="shared" si="14"/>
        <v>38</v>
      </c>
      <c r="B41">
        <f t="shared" si="23"/>
        <v>2</v>
      </c>
      <c r="C41">
        <f t="shared" si="0"/>
        <v>60</v>
      </c>
      <c r="D41">
        <f t="shared" si="15"/>
        <v>0</v>
      </c>
      <c r="E41">
        <f t="shared" si="35"/>
        <v>2</v>
      </c>
      <c r="F41">
        <f t="shared" si="1"/>
        <v>90</v>
      </c>
      <c r="G41">
        <f t="shared" si="16"/>
        <v>0</v>
      </c>
      <c r="H41">
        <f t="shared" si="24"/>
        <v>2</v>
      </c>
      <c r="I41">
        <f t="shared" si="2"/>
        <v>120</v>
      </c>
      <c r="J41">
        <f t="shared" si="17"/>
        <v>0</v>
      </c>
      <c r="K41">
        <f t="shared" si="25"/>
        <v>2</v>
      </c>
      <c r="L41">
        <f t="shared" si="3"/>
        <v>180</v>
      </c>
      <c r="M41">
        <f t="shared" si="18"/>
        <v>0</v>
      </c>
      <c r="N41">
        <f t="shared" si="26"/>
        <v>2</v>
      </c>
      <c r="O41">
        <f t="shared" si="4"/>
        <v>300</v>
      </c>
      <c r="P41">
        <f t="shared" si="27"/>
        <v>0</v>
      </c>
      <c r="Q41">
        <f t="shared" si="28"/>
        <v>2</v>
      </c>
      <c r="R41">
        <f t="shared" si="5"/>
        <v>300</v>
      </c>
      <c r="S41">
        <f t="shared" si="29"/>
        <v>0</v>
      </c>
      <c r="T41">
        <f t="shared" si="30"/>
        <v>-1</v>
      </c>
      <c r="U41">
        <f t="shared" si="19"/>
        <v>0</v>
      </c>
      <c r="V41">
        <f t="shared" si="20"/>
        <v>1</v>
      </c>
      <c r="W41">
        <f t="shared" si="6"/>
        <v>0</v>
      </c>
      <c r="X41">
        <f t="shared" si="31"/>
        <v>39</v>
      </c>
      <c r="Y41">
        <f t="shared" si="7"/>
        <v>0</v>
      </c>
      <c r="Z41">
        <f t="shared" si="8"/>
        <v>0</v>
      </c>
      <c r="AA41">
        <f t="shared" si="9"/>
        <v>0</v>
      </c>
      <c r="AB41" s="29">
        <f t="shared" si="10"/>
        <v>0.74178816089935007</v>
      </c>
      <c r="AC41" s="25">
        <f t="shared" si="21"/>
        <v>127.49804426656831</v>
      </c>
      <c r="AD41" s="29">
        <f t="shared" si="11"/>
        <v>1.4051081438100002</v>
      </c>
      <c r="AE41" s="25">
        <f t="shared" si="22"/>
        <v>13.243681724743192</v>
      </c>
      <c r="AF41" s="25">
        <f t="shared" si="13"/>
        <v>13.243681724743192</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290.78918279358999</v>
      </c>
      <c r="AH41" s="25">
        <f t="shared" si="32"/>
        <v>0</v>
      </c>
      <c r="AI41" s="25">
        <f t="shared" si="33"/>
        <v>0</v>
      </c>
      <c r="AJ41" s="25">
        <f t="shared" si="34"/>
        <v>0</v>
      </c>
      <c r="AL41" t="b">
        <f>AND(Talents!O36="No", 'Gear &amp; Buffs'!B107&gt;0)</f>
        <v>1</v>
      </c>
      <c r="AM41" t="s">
        <v>2952</v>
      </c>
    </row>
    <row r="42" spans="1:47">
      <c r="A42">
        <f t="shared" si="14"/>
        <v>39</v>
      </c>
      <c r="B42">
        <f t="shared" si="23"/>
        <v>2</v>
      </c>
      <c r="C42">
        <f t="shared" si="0"/>
        <v>60</v>
      </c>
      <c r="D42">
        <f t="shared" si="15"/>
        <v>0</v>
      </c>
      <c r="E42">
        <f t="shared" si="35"/>
        <v>2</v>
      </c>
      <c r="F42">
        <f t="shared" si="1"/>
        <v>90</v>
      </c>
      <c r="G42">
        <f t="shared" si="16"/>
        <v>0</v>
      </c>
      <c r="H42">
        <f t="shared" si="24"/>
        <v>2</v>
      </c>
      <c r="I42">
        <f t="shared" si="2"/>
        <v>120</v>
      </c>
      <c r="J42">
        <f t="shared" si="17"/>
        <v>0</v>
      </c>
      <c r="K42">
        <f t="shared" si="25"/>
        <v>2</v>
      </c>
      <c r="L42">
        <f t="shared" si="3"/>
        <v>180</v>
      </c>
      <c r="M42">
        <f t="shared" si="18"/>
        <v>0</v>
      </c>
      <c r="N42">
        <f t="shared" si="26"/>
        <v>2</v>
      </c>
      <c r="O42">
        <f t="shared" si="4"/>
        <v>300</v>
      </c>
      <c r="P42">
        <f t="shared" si="27"/>
        <v>0</v>
      </c>
      <c r="Q42">
        <f t="shared" si="28"/>
        <v>2</v>
      </c>
      <c r="R42">
        <f t="shared" si="5"/>
        <v>300</v>
      </c>
      <c r="S42">
        <f t="shared" si="29"/>
        <v>0</v>
      </c>
      <c r="T42">
        <f t="shared" si="30"/>
        <v>-1</v>
      </c>
      <c r="U42">
        <f t="shared" si="19"/>
        <v>0</v>
      </c>
      <c r="V42">
        <f t="shared" si="20"/>
        <v>1</v>
      </c>
      <c r="W42">
        <f t="shared" si="6"/>
        <v>0</v>
      </c>
      <c r="X42">
        <f t="shared" si="31"/>
        <v>40</v>
      </c>
      <c r="Y42">
        <f t="shared" si="7"/>
        <v>0</v>
      </c>
      <c r="Z42">
        <f t="shared" si="8"/>
        <v>0</v>
      </c>
      <c r="AA42">
        <f t="shared" si="9"/>
        <v>0</v>
      </c>
      <c r="AB42" s="29">
        <f t="shared" si="10"/>
        <v>0.74178816089935007</v>
      </c>
      <c r="AC42" s="25">
        <f t="shared" si="21"/>
        <v>127.49804426656831</v>
      </c>
      <c r="AD42" s="29">
        <f t="shared" si="11"/>
        <v>1.4051081438100002</v>
      </c>
      <c r="AE42" s="25">
        <f t="shared" si="22"/>
        <v>13.243681724743192</v>
      </c>
      <c r="AF42" s="25">
        <f t="shared" si="13"/>
        <v>13.243681724743192</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290.78918279358999</v>
      </c>
      <c r="AH42" s="25">
        <f t="shared" si="32"/>
        <v>0</v>
      </c>
      <c r="AI42" s="25">
        <f t="shared" si="33"/>
        <v>0</v>
      </c>
      <c r="AJ42" s="25">
        <f t="shared" si="34"/>
        <v>0</v>
      </c>
    </row>
    <row r="43" spans="1:47">
      <c r="A43">
        <f t="shared" si="14"/>
        <v>40</v>
      </c>
      <c r="B43">
        <f t="shared" si="23"/>
        <v>2</v>
      </c>
      <c r="C43">
        <f t="shared" si="0"/>
        <v>60</v>
      </c>
      <c r="D43">
        <f t="shared" si="15"/>
        <v>0</v>
      </c>
      <c r="E43">
        <f t="shared" si="35"/>
        <v>2</v>
      </c>
      <c r="F43">
        <f t="shared" si="1"/>
        <v>90</v>
      </c>
      <c r="G43">
        <f t="shared" si="16"/>
        <v>0</v>
      </c>
      <c r="H43">
        <f t="shared" si="24"/>
        <v>2</v>
      </c>
      <c r="I43">
        <f t="shared" si="2"/>
        <v>120</v>
      </c>
      <c r="J43">
        <f t="shared" si="17"/>
        <v>0</v>
      </c>
      <c r="K43">
        <f t="shared" si="25"/>
        <v>2</v>
      </c>
      <c r="L43">
        <f t="shared" si="3"/>
        <v>180</v>
      </c>
      <c r="M43">
        <f t="shared" si="18"/>
        <v>0</v>
      </c>
      <c r="N43">
        <f t="shared" si="26"/>
        <v>2</v>
      </c>
      <c r="O43">
        <f t="shared" si="4"/>
        <v>300</v>
      </c>
      <c r="P43">
        <f t="shared" si="27"/>
        <v>0</v>
      </c>
      <c r="Q43">
        <f t="shared" si="28"/>
        <v>2</v>
      </c>
      <c r="R43">
        <f t="shared" si="5"/>
        <v>300</v>
      </c>
      <c r="S43">
        <f t="shared" si="29"/>
        <v>0</v>
      </c>
      <c r="T43">
        <f t="shared" si="30"/>
        <v>-1</v>
      </c>
      <c r="U43">
        <f t="shared" si="19"/>
        <v>0</v>
      </c>
      <c r="V43">
        <f t="shared" si="20"/>
        <v>1</v>
      </c>
      <c r="W43">
        <f t="shared" si="6"/>
        <v>0</v>
      </c>
      <c r="X43">
        <f t="shared" si="31"/>
        <v>0</v>
      </c>
      <c r="Y43">
        <f t="shared" si="7"/>
        <v>0</v>
      </c>
      <c r="Z43">
        <f t="shared" si="8"/>
        <v>0</v>
      </c>
      <c r="AA43">
        <f t="shared" si="9"/>
        <v>0</v>
      </c>
      <c r="AB43" s="29">
        <f t="shared" si="10"/>
        <v>0.74178816089935007</v>
      </c>
      <c r="AC43" s="25">
        <f t="shared" si="21"/>
        <v>127.49804426656831</v>
      </c>
      <c r="AD43" s="29">
        <f t="shared" si="11"/>
        <v>1.0808524183153847</v>
      </c>
      <c r="AE43" s="25">
        <f t="shared" si="22"/>
        <v>13.243681724743192</v>
      </c>
      <c r="AF43" s="25">
        <f t="shared" si="13"/>
        <v>13.243681724743192</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290.78918279358999</v>
      </c>
      <c r="AH43" s="25">
        <f t="shared" si="32"/>
        <v>0</v>
      </c>
      <c r="AI43" s="25">
        <f t="shared" si="33"/>
        <v>0</v>
      </c>
      <c r="AJ43" s="25">
        <f t="shared" si="34"/>
        <v>0</v>
      </c>
      <c r="AM43" t="s">
        <v>2920</v>
      </c>
      <c r="AN43" s="892">
        <f>'Gear &amp; Buffs'!P143</f>
        <v>127.49804426656831</v>
      </c>
    </row>
    <row r="44" spans="1:47">
      <c r="A44">
        <f t="shared" si="14"/>
        <v>41</v>
      </c>
      <c r="B44">
        <f t="shared" si="23"/>
        <v>2</v>
      </c>
      <c r="C44">
        <f t="shared" si="0"/>
        <v>60</v>
      </c>
      <c r="D44">
        <f t="shared" si="15"/>
        <v>0</v>
      </c>
      <c r="E44">
        <f t="shared" si="35"/>
        <v>2</v>
      </c>
      <c r="F44">
        <f t="shared" si="1"/>
        <v>90</v>
      </c>
      <c r="G44">
        <f t="shared" si="16"/>
        <v>0</v>
      </c>
      <c r="H44">
        <f t="shared" si="24"/>
        <v>2</v>
      </c>
      <c r="I44">
        <f t="shared" si="2"/>
        <v>120</v>
      </c>
      <c r="J44">
        <f t="shared" si="17"/>
        <v>0</v>
      </c>
      <c r="K44">
        <f t="shared" si="25"/>
        <v>2</v>
      </c>
      <c r="L44">
        <f t="shared" si="3"/>
        <v>180</v>
      </c>
      <c r="M44">
        <f t="shared" si="18"/>
        <v>0</v>
      </c>
      <c r="N44">
        <f t="shared" si="26"/>
        <v>2</v>
      </c>
      <c r="O44">
        <f t="shared" si="4"/>
        <v>300</v>
      </c>
      <c r="P44">
        <f t="shared" si="27"/>
        <v>0</v>
      </c>
      <c r="Q44">
        <f t="shared" si="28"/>
        <v>2</v>
      </c>
      <c r="R44">
        <f t="shared" si="5"/>
        <v>300</v>
      </c>
      <c r="S44">
        <f t="shared" si="29"/>
        <v>0</v>
      </c>
      <c r="T44">
        <f t="shared" si="30"/>
        <v>-1</v>
      </c>
      <c r="U44">
        <f t="shared" si="19"/>
        <v>0</v>
      </c>
      <c r="V44">
        <f t="shared" si="20"/>
        <v>1</v>
      </c>
      <c r="W44">
        <f t="shared" si="6"/>
        <v>0</v>
      </c>
      <c r="X44">
        <f t="shared" si="31"/>
        <v>0</v>
      </c>
      <c r="Y44">
        <f t="shared" si="7"/>
        <v>0</v>
      </c>
      <c r="Z44">
        <f t="shared" si="8"/>
        <v>0</v>
      </c>
      <c r="AA44">
        <f t="shared" si="9"/>
        <v>0</v>
      </c>
      <c r="AB44" s="29">
        <f t="shared" si="10"/>
        <v>0.74178816089935007</v>
      </c>
      <c r="AC44" s="25">
        <f t="shared" si="21"/>
        <v>127.49804426656831</v>
      </c>
      <c r="AD44" s="29">
        <f t="shared" si="11"/>
        <v>1.0808524183153847</v>
      </c>
      <c r="AE44" s="25">
        <f t="shared" si="22"/>
        <v>13.243681724743192</v>
      </c>
      <c r="AF44" s="25">
        <f t="shared" si="13"/>
        <v>13.243681724743192</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290.78918279358999</v>
      </c>
      <c r="AH44" s="25">
        <f t="shared" si="32"/>
        <v>0</v>
      </c>
      <c r="AI44" s="25">
        <f t="shared" si="33"/>
        <v>0</v>
      </c>
      <c r="AJ44" s="25">
        <f t="shared" si="34"/>
        <v>0</v>
      </c>
      <c r="AM44" t="s">
        <v>1473</v>
      </c>
      <c r="AN44" s="25">
        <f>'Damage Calc'!Q43</f>
        <v>3675</v>
      </c>
    </row>
    <row r="45" spans="1:47">
      <c r="A45">
        <f t="shared" si="14"/>
        <v>42</v>
      </c>
      <c r="B45">
        <f t="shared" si="23"/>
        <v>2</v>
      </c>
      <c r="C45">
        <f t="shared" si="0"/>
        <v>60</v>
      </c>
      <c r="D45">
        <f t="shared" si="15"/>
        <v>0</v>
      </c>
      <c r="E45">
        <f t="shared" si="35"/>
        <v>2</v>
      </c>
      <c r="F45">
        <f t="shared" si="1"/>
        <v>90</v>
      </c>
      <c r="G45">
        <f t="shared" si="16"/>
        <v>0</v>
      </c>
      <c r="H45">
        <f t="shared" si="24"/>
        <v>2</v>
      </c>
      <c r="I45">
        <f t="shared" si="2"/>
        <v>120</v>
      </c>
      <c r="J45">
        <f t="shared" si="17"/>
        <v>0</v>
      </c>
      <c r="K45">
        <f t="shared" si="25"/>
        <v>2</v>
      </c>
      <c r="L45">
        <f t="shared" si="3"/>
        <v>180</v>
      </c>
      <c r="M45">
        <f t="shared" si="18"/>
        <v>0</v>
      </c>
      <c r="N45">
        <f t="shared" si="26"/>
        <v>2</v>
      </c>
      <c r="O45">
        <f t="shared" si="4"/>
        <v>300</v>
      </c>
      <c r="P45">
        <f t="shared" si="27"/>
        <v>0</v>
      </c>
      <c r="Q45">
        <f t="shared" si="28"/>
        <v>2</v>
      </c>
      <c r="R45">
        <f t="shared" si="5"/>
        <v>300</v>
      </c>
      <c r="S45">
        <f t="shared" si="29"/>
        <v>0</v>
      </c>
      <c r="T45">
        <f t="shared" si="30"/>
        <v>-1</v>
      </c>
      <c r="U45">
        <f t="shared" si="19"/>
        <v>0</v>
      </c>
      <c r="V45">
        <f t="shared" si="20"/>
        <v>1</v>
      </c>
      <c r="W45">
        <f t="shared" si="6"/>
        <v>0</v>
      </c>
      <c r="X45">
        <f t="shared" si="31"/>
        <v>0</v>
      </c>
      <c r="Y45">
        <f t="shared" si="7"/>
        <v>0</v>
      </c>
      <c r="Z45">
        <f t="shared" si="8"/>
        <v>0</v>
      </c>
      <c r="AA45">
        <f t="shared" si="9"/>
        <v>0</v>
      </c>
      <c r="AB45" s="29">
        <f t="shared" si="10"/>
        <v>0.74178816089935007</v>
      </c>
      <c r="AC45" s="25">
        <f t="shared" si="21"/>
        <v>127.49804426656831</v>
      </c>
      <c r="AD45" s="29">
        <f t="shared" si="11"/>
        <v>1.0808524183153847</v>
      </c>
      <c r="AE45" s="25">
        <f t="shared" si="22"/>
        <v>13.243681724743192</v>
      </c>
      <c r="AF45" s="25">
        <f t="shared" si="13"/>
        <v>13.243681724743192</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290.78918279358999</v>
      </c>
      <c r="AH45" s="25">
        <f t="shared" si="32"/>
        <v>0</v>
      </c>
      <c r="AI45" s="25">
        <f t="shared" si="33"/>
        <v>0</v>
      </c>
      <c r="AJ45" s="25">
        <f t="shared" si="34"/>
        <v>0</v>
      </c>
      <c r="AM45" t="s">
        <v>320</v>
      </c>
      <c r="AN45" s="897">
        <f>(sndeec+AO45)*AR45+(eec+AO45)*(1-AR45)</f>
        <v>13.243681724743192</v>
      </c>
      <c r="AO45">
        <f>MAX(25/120*blfl-'Damage Calc'!Q47+IF(AND(includeracials,'Gear &amp; Buffs'!B74="troll"),10/180,0)-IF(AND(includeracials,'Gear &amp; Buffs'!B74="Blood Elf",hasmana),30/120,0), 0)</f>
        <v>7.5000000000000011E-2</v>
      </c>
      <c r="AQ45" t="s">
        <v>3027</v>
      </c>
      <c r="AR45" s="29">
        <f>VLOOKUP(Cycles!$X$2,CHOOSE({1,2},Cycles!$AG$56:$AG$284,Cycles!U56:U284),2,FALSE)</f>
        <v>1</v>
      </c>
      <c r="AT45" s="25"/>
    </row>
    <row r="46" spans="1:47">
      <c r="A46">
        <f t="shared" si="14"/>
        <v>43</v>
      </c>
      <c r="B46">
        <f t="shared" si="23"/>
        <v>2</v>
      </c>
      <c r="C46">
        <f t="shared" si="0"/>
        <v>60</v>
      </c>
      <c r="D46">
        <f t="shared" si="15"/>
        <v>0</v>
      </c>
      <c r="E46">
        <f t="shared" si="35"/>
        <v>2</v>
      </c>
      <c r="F46">
        <f t="shared" si="1"/>
        <v>90</v>
      </c>
      <c r="G46">
        <f t="shared" si="16"/>
        <v>0</v>
      </c>
      <c r="H46">
        <f t="shared" si="24"/>
        <v>2</v>
      </c>
      <c r="I46">
        <f t="shared" si="2"/>
        <v>120</v>
      </c>
      <c r="J46">
        <f t="shared" si="17"/>
        <v>0</v>
      </c>
      <c r="K46">
        <f t="shared" si="25"/>
        <v>2</v>
      </c>
      <c r="L46">
        <f t="shared" si="3"/>
        <v>180</v>
      </c>
      <c r="M46">
        <f t="shared" si="18"/>
        <v>0</v>
      </c>
      <c r="N46">
        <f t="shared" si="26"/>
        <v>2</v>
      </c>
      <c r="O46">
        <f t="shared" si="4"/>
        <v>300</v>
      </c>
      <c r="P46">
        <f t="shared" si="27"/>
        <v>0</v>
      </c>
      <c r="Q46">
        <f t="shared" si="28"/>
        <v>2</v>
      </c>
      <c r="R46">
        <f t="shared" si="5"/>
        <v>300</v>
      </c>
      <c r="S46">
        <f t="shared" si="29"/>
        <v>0</v>
      </c>
      <c r="T46">
        <f t="shared" si="30"/>
        <v>-1</v>
      </c>
      <c r="U46">
        <f t="shared" si="19"/>
        <v>0</v>
      </c>
      <c r="V46">
        <f t="shared" si="20"/>
        <v>1</v>
      </c>
      <c r="W46">
        <f t="shared" si="6"/>
        <v>0</v>
      </c>
      <c r="X46">
        <f t="shared" si="31"/>
        <v>0</v>
      </c>
      <c r="Y46">
        <f t="shared" si="7"/>
        <v>0</v>
      </c>
      <c r="Z46">
        <f t="shared" si="8"/>
        <v>0</v>
      </c>
      <c r="AA46">
        <f t="shared" si="9"/>
        <v>0</v>
      </c>
      <c r="AB46" s="29">
        <f t="shared" si="10"/>
        <v>0.74178816089935007</v>
      </c>
      <c r="AC46" s="25">
        <f t="shared" si="21"/>
        <v>127.49804426656831</v>
      </c>
      <c r="AD46" s="29">
        <f t="shared" si="11"/>
        <v>1.0808524183153847</v>
      </c>
      <c r="AE46" s="25">
        <f t="shared" si="22"/>
        <v>13.243681724743192</v>
      </c>
      <c r="AF46" s="25">
        <f t="shared" si="13"/>
        <v>13.243681724743192</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290.78918279358999</v>
      </c>
      <c r="AH46" s="25">
        <f t="shared" si="32"/>
        <v>0</v>
      </c>
      <c r="AI46" s="25">
        <f t="shared" si="33"/>
        <v>0</v>
      </c>
      <c r="AJ46" s="25">
        <f t="shared" si="34"/>
        <v>0</v>
      </c>
      <c r="AM46" t="s">
        <v>2995</v>
      </c>
      <c r="AN46" s="25">
        <f>avginst*fwfactor*bGlobDam*(1+DDmult)*armor</f>
        <v>1014.2539107837594</v>
      </c>
    </row>
    <row r="47" spans="1:47">
      <c r="A47">
        <f t="shared" si="14"/>
        <v>44</v>
      </c>
      <c r="B47">
        <f t="shared" si="23"/>
        <v>2</v>
      </c>
      <c r="C47">
        <f t="shared" si="0"/>
        <v>60</v>
      </c>
      <c r="D47">
        <f t="shared" si="15"/>
        <v>0</v>
      </c>
      <c r="E47">
        <f t="shared" si="35"/>
        <v>2</v>
      </c>
      <c r="F47">
        <f t="shared" si="1"/>
        <v>90</v>
      </c>
      <c r="G47">
        <f t="shared" si="16"/>
        <v>0</v>
      </c>
      <c r="H47">
        <f t="shared" si="24"/>
        <v>2</v>
      </c>
      <c r="I47">
        <f t="shared" si="2"/>
        <v>120</v>
      </c>
      <c r="J47">
        <f t="shared" si="17"/>
        <v>0</v>
      </c>
      <c r="K47">
        <f t="shared" si="25"/>
        <v>2</v>
      </c>
      <c r="L47">
        <f t="shared" si="3"/>
        <v>180</v>
      </c>
      <c r="M47">
        <f t="shared" si="18"/>
        <v>0</v>
      </c>
      <c r="N47">
        <f t="shared" si="26"/>
        <v>2</v>
      </c>
      <c r="O47">
        <f t="shared" si="4"/>
        <v>300</v>
      </c>
      <c r="P47">
        <f t="shared" si="27"/>
        <v>0</v>
      </c>
      <c r="Q47">
        <f t="shared" si="28"/>
        <v>2</v>
      </c>
      <c r="R47">
        <f t="shared" si="5"/>
        <v>300</v>
      </c>
      <c r="S47">
        <f t="shared" si="29"/>
        <v>0</v>
      </c>
      <c r="T47">
        <f t="shared" si="30"/>
        <v>-1</v>
      </c>
      <c r="U47">
        <f t="shared" si="19"/>
        <v>0</v>
      </c>
      <c r="V47">
        <f t="shared" si="20"/>
        <v>1</v>
      </c>
      <c r="W47">
        <f t="shared" si="6"/>
        <v>0</v>
      </c>
      <c r="X47">
        <f t="shared" si="31"/>
        <v>0</v>
      </c>
      <c r="Y47">
        <f t="shared" si="7"/>
        <v>0</v>
      </c>
      <c r="Z47">
        <f t="shared" si="8"/>
        <v>0</v>
      </c>
      <c r="AA47">
        <f t="shared" si="9"/>
        <v>0</v>
      </c>
      <c r="AB47" s="29">
        <f t="shared" si="10"/>
        <v>0.74178816089935007</v>
      </c>
      <c r="AC47" s="25">
        <f t="shared" si="21"/>
        <v>127.49804426656831</v>
      </c>
      <c r="AD47" s="29">
        <f t="shared" si="11"/>
        <v>1.0808524183153847</v>
      </c>
      <c r="AE47" s="25">
        <f t="shared" si="22"/>
        <v>13.243681724743192</v>
      </c>
      <c r="AF47" s="25">
        <f t="shared" si="13"/>
        <v>13.243681724743192</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290.78918279358999</v>
      </c>
      <c r="AH47" s="25">
        <f t="shared" si="32"/>
        <v>0</v>
      </c>
      <c r="AI47" s="25">
        <f t="shared" si="33"/>
        <v>0</v>
      </c>
      <c r="AJ47" s="25">
        <f t="shared" si="34"/>
        <v>0</v>
      </c>
    </row>
    <row r="48" spans="1:47">
      <c r="A48">
        <f t="shared" si="14"/>
        <v>45</v>
      </c>
      <c r="B48">
        <f t="shared" si="23"/>
        <v>2</v>
      </c>
      <c r="C48">
        <f t="shared" si="0"/>
        <v>60</v>
      </c>
      <c r="D48">
        <f t="shared" si="15"/>
        <v>0</v>
      </c>
      <c r="E48">
        <f t="shared" si="35"/>
        <v>2</v>
      </c>
      <c r="F48">
        <f t="shared" si="1"/>
        <v>90</v>
      </c>
      <c r="G48">
        <f t="shared" si="16"/>
        <v>0</v>
      </c>
      <c r="H48">
        <f t="shared" si="24"/>
        <v>2</v>
      </c>
      <c r="I48">
        <f t="shared" si="2"/>
        <v>120</v>
      </c>
      <c r="J48">
        <f t="shared" si="17"/>
        <v>0</v>
      </c>
      <c r="K48">
        <f t="shared" si="25"/>
        <v>2</v>
      </c>
      <c r="L48">
        <f t="shared" si="3"/>
        <v>180</v>
      </c>
      <c r="M48">
        <f t="shared" si="18"/>
        <v>0</v>
      </c>
      <c r="N48">
        <f t="shared" si="26"/>
        <v>2</v>
      </c>
      <c r="O48">
        <f t="shared" si="4"/>
        <v>300</v>
      </c>
      <c r="P48">
        <f t="shared" si="27"/>
        <v>0</v>
      </c>
      <c r="Q48">
        <f t="shared" si="28"/>
        <v>2</v>
      </c>
      <c r="R48">
        <f t="shared" si="5"/>
        <v>300</v>
      </c>
      <c r="S48">
        <f t="shared" si="29"/>
        <v>0</v>
      </c>
      <c r="T48">
        <f t="shared" si="30"/>
        <v>-1</v>
      </c>
      <c r="U48">
        <f t="shared" si="19"/>
        <v>0</v>
      </c>
      <c r="V48">
        <f t="shared" si="20"/>
        <v>1</v>
      </c>
      <c r="W48">
        <f t="shared" si="6"/>
        <v>0</v>
      </c>
      <c r="X48">
        <f t="shared" si="31"/>
        <v>0</v>
      </c>
      <c r="Y48">
        <f t="shared" si="7"/>
        <v>0</v>
      </c>
      <c r="Z48">
        <f t="shared" si="8"/>
        <v>0</v>
      </c>
      <c r="AA48">
        <f t="shared" si="9"/>
        <v>0</v>
      </c>
      <c r="AB48" s="29">
        <f t="shared" si="10"/>
        <v>0.74178816089935007</v>
      </c>
      <c r="AC48" s="25">
        <f t="shared" si="21"/>
        <v>127.49804426656831</v>
      </c>
      <c r="AD48" s="29">
        <f t="shared" si="11"/>
        <v>1.0808524183153847</v>
      </c>
      <c r="AE48" s="25">
        <f t="shared" si="22"/>
        <v>13.243681724743192</v>
      </c>
      <c r="AF48" s="25">
        <f t="shared" si="13"/>
        <v>13.243681724743192</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290.78918279358999</v>
      </c>
      <c r="AH48" s="25">
        <f t="shared" si="32"/>
        <v>0</v>
      </c>
      <c r="AI48" s="25">
        <f t="shared" si="33"/>
        <v>0</v>
      </c>
      <c r="AJ48" s="25">
        <f t="shared" si="34"/>
        <v>0</v>
      </c>
    </row>
    <row r="49" spans="1:39">
      <c r="A49">
        <f t="shared" si="14"/>
        <v>46</v>
      </c>
      <c r="B49">
        <f t="shared" si="23"/>
        <v>2</v>
      </c>
      <c r="C49">
        <f t="shared" si="0"/>
        <v>60</v>
      </c>
      <c r="D49">
        <f t="shared" si="15"/>
        <v>0</v>
      </c>
      <c r="E49">
        <f t="shared" si="35"/>
        <v>2</v>
      </c>
      <c r="F49">
        <f t="shared" si="1"/>
        <v>90</v>
      </c>
      <c r="G49">
        <f t="shared" si="16"/>
        <v>0</v>
      </c>
      <c r="H49">
        <f t="shared" si="24"/>
        <v>2</v>
      </c>
      <c r="I49">
        <f t="shared" si="2"/>
        <v>120</v>
      </c>
      <c r="J49">
        <f t="shared" si="17"/>
        <v>0</v>
      </c>
      <c r="K49">
        <f t="shared" si="25"/>
        <v>2</v>
      </c>
      <c r="L49">
        <f t="shared" si="3"/>
        <v>180</v>
      </c>
      <c r="M49">
        <f t="shared" si="18"/>
        <v>0</v>
      </c>
      <c r="N49">
        <f t="shared" si="26"/>
        <v>2</v>
      </c>
      <c r="O49">
        <f t="shared" si="4"/>
        <v>300</v>
      </c>
      <c r="P49">
        <f t="shared" si="27"/>
        <v>0</v>
      </c>
      <c r="Q49">
        <f t="shared" si="28"/>
        <v>2</v>
      </c>
      <c r="R49">
        <f t="shared" si="5"/>
        <v>300</v>
      </c>
      <c r="S49">
        <f t="shared" si="29"/>
        <v>0</v>
      </c>
      <c r="T49">
        <f t="shared" si="30"/>
        <v>-1</v>
      </c>
      <c r="U49">
        <f t="shared" si="19"/>
        <v>0</v>
      </c>
      <c r="V49">
        <f t="shared" si="20"/>
        <v>1</v>
      </c>
      <c r="W49">
        <f t="shared" si="6"/>
        <v>0</v>
      </c>
      <c r="X49">
        <f t="shared" si="31"/>
        <v>0</v>
      </c>
      <c r="Y49">
        <f t="shared" si="7"/>
        <v>0</v>
      </c>
      <c r="Z49">
        <f t="shared" si="8"/>
        <v>0</v>
      </c>
      <c r="AA49">
        <f t="shared" si="9"/>
        <v>0</v>
      </c>
      <c r="AB49" s="29">
        <f t="shared" si="10"/>
        <v>0.74178816089935007</v>
      </c>
      <c r="AC49" s="25">
        <f t="shared" si="21"/>
        <v>127.49804426656831</v>
      </c>
      <c r="AD49" s="29">
        <f t="shared" si="11"/>
        <v>1.0808524183153847</v>
      </c>
      <c r="AE49" s="25">
        <f t="shared" si="22"/>
        <v>13.243681724743192</v>
      </c>
      <c r="AF49" s="25">
        <f t="shared" si="13"/>
        <v>13.243681724743192</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290.78918279358999</v>
      </c>
      <c r="AH49" s="25">
        <f t="shared" si="32"/>
        <v>0</v>
      </c>
      <c r="AI49" s="25">
        <f t="shared" si="33"/>
        <v>0</v>
      </c>
      <c r="AJ49" s="25">
        <f t="shared" si="34"/>
        <v>0</v>
      </c>
      <c r="AL49" s="25"/>
      <c r="AM49" s="898"/>
    </row>
    <row r="50" spans="1:39">
      <c r="A50">
        <f t="shared" si="14"/>
        <v>47</v>
      </c>
      <c r="B50">
        <f t="shared" si="23"/>
        <v>2</v>
      </c>
      <c r="C50">
        <f t="shared" si="0"/>
        <v>60</v>
      </c>
      <c r="D50">
        <f t="shared" si="15"/>
        <v>0</v>
      </c>
      <c r="E50">
        <f t="shared" si="35"/>
        <v>2</v>
      </c>
      <c r="F50">
        <f t="shared" si="1"/>
        <v>90</v>
      </c>
      <c r="G50">
        <f t="shared" si="16"/>
        <v>0</v>
      </c>
      <c r="H50">
        <f t="shared" si="24"/>
        <v>2</v>
      </c>
      <c r="I50">
        <f t="shared" si="2"/>
        <v>120</v>
      </c>
      <c r="J50">
        <f t="shared" si="17"/>
        <v>0</v>
      </c>
      <c r="K50">
        <f t="shared" si="25"/>
        <v>2</v>
      </c>
      <c r="L50">
        <f t="shared" si="3"/>
        <v>180</v>
      </c>
      <c r="M50">
        <f t="shared" si="18"/>
        <v>0</v>
      </c>
      <c r="N50">
        <f t="shared" si="26"/>
        <v>2</v>
      </c>
      <c r="O50">
        <f t="shared" si="4"/>
        <v>300</v>
      </c>
      <c r="P50">
        <f t="shared" si="27"/>
        <v>0</v>
      </c>
      <c r="Q50">
        <f t="shared" si="28"/>
        <v>2</v>
      </c>
      <c r="R50">
        <f t="shared" si="5"/>
        <v>300</v>
      </c>
      <c r="S50">
        <f t="shared" si="29"/>
        <v>0</v>
      </c>
      <c r="T50">
        <f t="shared" si="30"/>
        <v>-1</v>
      </c>
      <c r="U50">
        <f t="shared" si="19"/>
        <v>0</v>
      </c>
      <c r="V50">
        <f t="shared" si="20"/>
        <v>1</v>
      </c>
      <c r="W50">
        <f t="shared" si="6"/>
        <v>0</v>
      </c>
      <c r="X50">
        <f t="shared" si="31"/>
        <v>0</v>
      </c>
      <c r="Y50">
        <f t="shared" si="7"/>
        <v>0</v>
      </c>
      <c r="Z50">
        <f t="shared" si="8"/>
        <v>0</v>
      </c>
      <c r="AA50">
        <f t="shared" si="9"/>
        <v>0</v>
      </c>
      <c r="AB50" s="29">
        <f t="shared" si="10"/>
        <v>0.74178816089935007</v>
      </c>
      <c r="AC50" s="25">
        <f t="shared" si="21"/>
        <v>127.49804426656831</v>
      </c>
      <c r="AD50" s="29">
        <f t="shared" si="11"/>
        <v>1.0808524183153847</v>
      </c>
      <c r="AE50" s="25">
        <f t="shared" si="22"/>
        <v>13.243681724743192</v>
      </c>
      <c r="AF50" s="25">
        <f t="shared" si="13"/>
        <v>13.243681724743192</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290.78918279358999</v>
      </c>
      <c r="AH50" s="25">
        <f t="shared" si="32"/>
        <v>0</v>
      </c>
      <c r="AI50" s="25">
        <f t="shared" si="33"/>
        <v>0</v>
      </c>
      <c r="AJ50" s="25">
        <f t="shared" si="34"/>
        <v>0</v>
      </c>
    </row>
    <row r="51" spans="1:39">
      <c r="A51">
        <f t="shared" si="14"/>
        <v>48</v>
      </c>
      <c r="B51">
        <f t="shared" si="23"/>
        <v>2</v>
      </c>
      <c r="C51">
        <f t="shared" si="0"/>
        <v>60</v>
      </c>
      <c r="D51">
        <f t="shared" si="15"/>
        <v>0</v>
      </c>
      <c r="E51">
        <f t="shared" si="35"/>
        <v>2</v>
      </c>
      <c r="F51">
        <f t="shared" si="1"/>
        <v>90</v>
      </c>
      <c r="G51">
        <f t="shared" si="16"/>
        <v>0</v>
      </c>
      <c r="H51">
        <f t="shared" si="24"/>
        <v>2</v>
      </c>
      <c r="I51">
        <f t="shared" si="2"/>
        <v>120</v>
      </c>
      <c r="J51">
        <f t="shared" si="17"/>
        <v>0</v>
      </c>
      <c r="K51">
        <f t="shared" si="25"/>
        <v>2</v>
      </c>
      <c r="L51">
        <f t="shared" si="3"/>
        <v>180</v>
      </c>
      <c r="M51">
        <f t="shared" si="18"/>
        <v>0</v>
      </c>
      <c r="N51">
        <f t="shared" si="26"/>
        <v>2</v>
      </c>
      <c r="O51">
        <f t="shared" si="4"/>
        <v>300</v>
      </c>
      <c r="P51">
        <f t="shared" si="27"/>
        <v>0</v>
      </c>
      <c r="Q51">
        <f t="shared" si="28"/>
        <v>2</v>
      </c>
      <c r="R51">
        <f t="shared" si="5"/>
        <v>300</v>
      </c>
      <c r="S51">
        <f t="shared" si="29"/>
        <v>0</v>
      </c>
      <c r="T51">
        <f t="shared" si="30"/>
        <v>-1</v>
      </c>
      <c r="U51">
        <f t="shared" si="19"/>
        <v>0</v>
      </c>
      <c r="V51">
        <f t="shared" si="20"/>
        <v>1</v>
      </c>
      <c r="W51">
        <f t="shared" si="6"/>
        <v>0</v>
      </c>
      <c r="X51">
        <f t="shared" si="31"/>
        <v>0</v>
      </c>
      <c r="Y51">
        <f t="shared" si="7"/>
        <v>0</v>
      </c>
      <c r="Z51">
        <f t="shared" si="8"/>
        <v>0</v>
      </c>
      <c r="AA51">
        <f t="shared" si="9"/>
        <v>0</v>
      </c>
      <c r="AB51" s="29">
        <f t="shared" si="10"/>
        <v>0.74178816089935007</v>
      </c>
      <c r="AC51" s="25">
        <f t="shared" si="21"/>
        <v>127.49804426656831</v>
      </c>
      <c r="AD51" s="29">
        <f t="shared" si="11"/>
        <v>1.0808524183153847</v>
      </c>
      <c r="AE51" s="25">
        <f t="shared" si="22"/>
        <v>13.243681724743192</v>
      </c>
      <c r="AF51" s="25">
        <f t="shared" si="13"/>
        <v>13.243681724743192</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290.78918279358999</v>
      </c>
      <c r="AH51" s="25">
        <f t="shared" si="32"/>
        <v>0</v>
      </c>
      <c r="AI51" s="25">
        <f t="shared" si="33"/>
        <v>0</v>
      </c>
      <c r="AJ51" s="25">
        <f t="shared" si="34"/>
        <v>0</v>
      </c>
    </row>
    <row r="52" spans="1:39">
      <c r="A52">
        <f t="shared" si="14"/>
        <v>49</v>
      </c>
      <c r="B52">
        <f t="shared" si="23"/>
        <v>2</v>
      </c>
      <c r="C52">
        <f t="shared" si="0"/>
        <v>60</v>
      </c>
      <c r="D52">
        <f t="shared" si="15"/>
        <v>0</v>
      </c>
      <c r="E52">
        <f t="shared" si="35"/>
        <v>2</v>
      </c>
      <c r="F52">
        <f t="shared" si="1"/>
        <v>90</v>
      </c>
      <c r="G52">
        <f t="shared" si="16"/>
        <v>0</v>
      </c>
      <c r="H52">
        <f t="shared" si="24"/>
        <v>2</v>
      </c>
      <c r="I52">
        <f t="shared" si="2"/>
        <v>120</v>
      </c>
      <c r="J52">
        <f t="shared" si="17"/>
        <v>0</v>
      </c>
      <c r="K52">
        <f t="shared" si="25"/>
        <v>2</v>
      </c>
      <c r="L52">
        <f t="shared" si="3"/>
        <v>180</v>
      </c>
      <c r="M52">
        <f t="shared" si="18"/>
        <v>0</v>
      </c>
      <c r="N52">
        <f t="shared" si="26"/>
        <v>2</v>
      </c>
      <c r="O52">
        <f t="shared" si="4"/>
        <v>300</v>
      </c>
      <c r="P52">
        <f t="shared" si="27"/>
        <v>0</v>
      </c>
      <c r="Q52">
        <f t="shared" si="28"/>
        <v>2</v>
      </c>
      <c r="R52">
        <f t="shared" si="5"/>
        <v>300</v>
      </c>
      <c r="S52">
        <f t="shared" si="29"/>
        <v>0</v>
      </c>
      <c r="T52">
        <f t="shared" si="30"/>
        <v>-1</v>
      </c>
      <c r="U52">
        <f t="shared" si="19"/>
        <v>0</v>
      </c>
      <c r="V52">
        <f t="shared" si="20"/>
        <v>1</v>
      </c>
      <c r="W52">
        <f t="shared" si="6"/>
        <v>0</v>
      </c>
      <c r="X52">
        <f t="shared" si="31"/>
        <v>0</v>
      </c>
      <c r="Y52">
        <f t="shared" si="7"/>
        <v>0</v>
      </c>
      <c r="Z52">
        <f t="shared" si="8"/>
        <v>0</v>
      </c>
      <c r="AA52">
        <f t="shared" si="9"/>
        <v>0</v>
      </c>
      <c r="AB52" s="29">
        <f t="shared" si="10"/>
        <v>0.74178816089935007</v>
      </c>
      <c r="AC52" s="25">
        <f t="shared" si="21"/>
        <v>127.49804426656831</v>
      </c>
      <c r="AD52" s="29">
        <f t="shared" si="11"/>
        <v>1.0808524183153847</v>
      </c>
      <c r="AE52" s="25">
        <f t="shared" si="22"/>
        <v>13.243681724743192</v>
      </c>
      <c r="AF52" s="25">
        <f t="shared" si="13"/>
        <v>13.243681724743192</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290.78918279358999</v>
      </c>
      <c r="AH52" s="25">
        <f t="shared" si="32"/>
        <v>0</v>
      </c>
      <c r="AI52" s="25">
        <f t="shared" si="33"/>
        <v>0</v>
      </c>
      <c r="AJ52" s="25">
        <f t="shared" si="34"/>
        <v>0</v>
      </c>
    </row>
    <row r="53" spans="1:39">
      <c r="A53">
        <f t="shared" si="14"/>
        <v>50</v>
      </c>
      <c r="B53">
        <f t="shared" si="23"/>
        <v>2</v>
      </c>
      <c r="C53">
        <f t="shared" si="0"/>
        <v>60</v>
      </c>
      <c r="D53">
        <f t="shared" si="15"/>
        <v>0</v>
      </c>
      <c r="E53">
        <f t="shared" si="35"/>
        <v>2</v>
      </c>
      <c r="F53">
        <f t="shared" si="1"/>
        <v>90</v>
      </c>
      <c r="G53">
        <f t="shared" si="16"/>
        <v>0</v>
      </c>
      <c r="H53">
        <f t="shared" si="24"/>
        <v>2</v>
      </c>
      <c r="I53">
        <f t="shared" si="2"/>
        <v>120</v>
      </c>
      <c r="J53">
        <f t="shared" si="17"/>
        <v>0</v>
      </c>
      <c r="K53">
        <f t="shared" si="25"/>
        <v>2</v>
      </c>
      <c r="L53">
        <f t="shared" si="3"/>
        <v>180</v>
      </c>
      <c r="M53">
        <f t="shared" si="18"/>
        <v>0</v>
      </c>
      <c r="N53">
        <f t="shared" si="26"/>
        <v>2</v>
      </c>
      <c r="O53">
        <f t="shared" si="4"/>
        <v>300</v>
      </c>
      <c r="P53">
        <f t="shared" si="27"/>
        <v>0</v>
      </c>
      <c r="Q53">
        <f t="shared" si="28"/>
        <v>2</v>
      </c>
      <c r="R53">
        <f t="shared" si="5"/>
        <v>300</v>
      </c>
      <c r="S53">
        <f t="shared" si="29"/>
        <v>0</v>
      </c>
      <c r="T53">
        <f t="shared" si="30"/>
        <v>-1</v>
      </c>
      <c r="U53">
        <f t="shared" si="19"/>
        <v>0</v>
      </c>
      <c r="V53">
        <f t="shared" si="20"/>
        <v>1</v>
      </c>
      <c r="W53">
        <f t="shared" si="6"/>
        <v>0</v>
      </c>
      <c r="X53">
        <f t="shared" si="31"/>
        <v>0</v>
      </c>
      <c r="Y53">
        <f t="shared" si="7"/>
        <v>0</v>
      </c>
      <c r="Z53">
        <f t="shared" si="8"/>
        <v>0</v>
      </c>
      <c r="AA53">
        <f t="shared" si="9"/>
        <v>0</v>
      </c>
      <c r="AB53" s="29">
        <f t="shared" si="10"/>
        <v>0.74178816089935007</v>
      </c>
      <c r="AC53" s="25">
        <f t="shared" si="21"/>
        <v>127.49804426656831</v>
      </c>
      <c r="AD53" s="29">
        <f t="shared" si="11"/>
        <v>1.0808524183153847</v>
      </c>
      <c r="AE53" s="25">
        <f t="shared" si="22"/>
        <v>13.243681724743192</v>
      </c>
      <c r="AF53" s="25">
        <f t="shared" si="13"/>
        <v>13.243681724743192</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290.78918279358999</v>
      </c>
      <c r="AH53" s="25">
        <f t="shared" si="32"/>
        <v>0</v>
      </c>
      <c r="AI53" s="25">
        <f t="shared" si="33"/>
        <v>0</v>
      </c>
      <c r="AJ53" s="25">
        <f t="shared" si="34"/>
        <v>0</v>
      </c>
    </row>
    <row r="54" spans="1:39">
      <c r="A54">
        <f t="shared" si="14"/>
        <v>51</v>
      </c>
      <c r="B54">
        <f t="shared" si="23"/>
        <v>2</v>
      </c>
      <c r="C54">
        <f t="shared" si="0"/>
        <v>60</v>
      </c>
      <c r="D54">
        <f t="shared" si="15"/>
        <v>0</v>
      </c>
      <c r="E54">
        <f t="shared" si="35"/>
        <v>2</v>
      </c>
      <c r="F54">
        <f t="shared" si="1"/>
        <v>90</v>
      </c>
      <c r="G54">
        <f t="shared" si="16"/>
        <v>0</v>
      </c>
      <c r="H54">
        <f t="shared" si="24"/>
        <v>2</v>
      </c>
      <c r="I54">
        <f t="shared" si="2"/>
        <v>120</v>
      </c>
      <c r="J54">
        <f t="shared" si="17"/>
        <v>0</v>
      </c>
      <c r="K54">
        <f t="shared" si="25"/>
        <v>2</v>
      </c>
      <c r="L54">
        <f t="shared" si="3"/>
        <v>180</v>
      </c>
      <c r="M54">
        <f t="shared" si="18"/>
        <v>0</v>
      </c>
      <c r="N54">
        <f t="shared" si="26"/>
        <v>2</v>
      </c>
      <c r="O54">
        <f t="shared" si="4"/>
        <v>300</v>
      </c>
      <c r="P54">
        <f t="shared" si="27"/>
        <v>0</v>
      </c>
      <c r="Q54">
        <f t="shared" si="28"/>
        <v>2</v>
      </c>
      <c r="R54">
        <f t="shared" si="5"/>
        <v>300</v>
      </c>
      <c r="S54">
        <f t="shared" si="29"/>
        <v>0</v>
      </c>
      <c r="T54">
        <f t="shared" si="30"/>
        <v>-1</v>
      </c>
      <c r="U54">
        <f t="shared" si="19"/>
        <v>0</v>
      </c>
      <c r="V54">
        <f t="shared" si="20"/>
        <v>1</v>
      </c>
      <c r="W54">
        <f t="shared" si="6"/>
        <v>0</v>
      </c>
      <c r="X54">
        <f t="shared" si="31"/>
        <v>0</v>
      </c>
      <c r="Y54">
        <f t="shared" si="7"/>
        <v>0</v>
      </c>
      <c r="Z54">
        <f t="shared" si="8"/>
        <v>0</v>
      </c>
      <c r="AA54">
        <f t="shared" si="9"/>
        <v>0</v>
      </c>
      <c r="AB54" s="29">
        <f t="shared" si="10"/>
        <v>0.74178816089935007</v>
      </c>
      <c r="AC54" s="25">
        <f t="shared" si="21"/>
        <v>127.49804426656831</v>
      </c>
      <c r="AD54" s="29">
        <f t="shared" si="11"/>
        <v>1.0808524183153847</v>
      </c>
      <c r="AE54" s="25">
        <f t="shared" si="22"/>
        <v>13.243681724743192</v>
      </c>
      <c r="AF54" s="25">
        <f t="shared" si="13"/>
        <v>13.243681724743192</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290.78918279358999</v>
      </c>
      <c r="AH54" s="25">
        <f t="shared" si="32"/>
        <v>0</v>
      </c>
      <c r="AI54" s="25">
        <f t="shared" si="33"/>
        <v>0</v>
      </c>
      <c r="AJ54" s="25">
        <f t="shared" si="34"/>
        <v>0</v>
      </c>
    </row>
    <row r="55" spans="1:39">
      <c r="A55">
        <f t="shared" si="14"/>
        <v>52</v>
      </c>
      <c r="B55">
        <f t="shared" si="23"/>
        <v>2</v>
      </c>
      <c r="C55">
        <f t="shared" si="0"/>
        <v>60</v>
      </c>
      <c r="D55">
        <f t="shared" si="15"/>
        <v>0</v>
      </c>
      <c r="E55">
        <f t="shared" si="35"/>
        <v>2</v>
      </c>
      <c r="F55">
        <f t="shared" si="1"/>
        <v>90</v>
      </c>
      <c r="G55">
        <f t="shared" si="16"/>
        <v>0</v>
      </c>
      <c r="H55">
        <f t="shared" si="24"/>
        <v>2</v>
      </c>
      <c r="I55">
        <f t="shared" si="2"/>
        <v>120</v>
      </c>
      <c r="J55">
        <f t="shared" si="17"/>
        <v>0</v>
      </c>
      <c r="K55">
        <f t="shared" si="25"/>
        <v>2</v>
      </c>
      <c r="L55">
        <f t="shared" si="3"/>
        <v>180</v>
      </c>
      <c r="M55">
        <f t="shared" si="18"/>
        <v>0</v>
      </c>
      <c r="N55">
        <f t="shared" si="26"/>
        <v>2</v>
      </c>
      <c r="O55">
        <f t="shared" si="4"/>
        <v>300</v>
      </c>
      <c r="P55">
        <f t="shared" si="27"/>
        <v>0</v>
      </c>
      <c r="Q55">
        <f t="shared" si="28"/>
        <v>2</v>
      </c>
      <c r="R55">
        <f t="shared" si="5"/>
        <v>300</v>
      </c>
      <c r="S55">
        <f t="shared" si="29"/>
        <v>0</v>
      </c>
      <c r="T55">
        <f t="shared" si="30"/>
        <v>-1</v>
      </c>
      <c r="U55">
        <f t="shared" si="19"/>
        <v>0</v>
      </c>
      <c r="V55">
        <f t="shared" si="20"/>
        <v>1</v>
      </c>
      <c r="W55">
        <f t="shared" si="6"/>
        <v>0</v>
      </c>
      <c r="X55">
        <f t="shared" si="31"/>
        <v>0</v>
      </c>
      <c r="Y55">
        <f t="shared" si="7"/>
        <v>0</v>
      </c>
      <c r="Z55">
        <f t="shared" si="8"/>
        <v>0</v>
      </c>
      <c r="AA55">
        <f t="shared" si="9"/>
        <v>0</v>
      </c>
      <c r="AB55" s="29">
        <f t="shared" si="10"/>
        <v>0.74178816089935007</v>
      </c>
      <c r="AC55" s="25">
        <f t="shared" si="21"/>
        <v>127.49804426656831</v>
      </c>
      <c r="AD55" s="29">
        <f t="shared" si="11"/>
        <v>1.0808524183153847</v>
      </c>
      <c r="AE55" s="25">
        <f t="shared" si="22"/>
        <v>13.243681724743192</v>
      </c>
      <c r="AF55" s="25">
        <f t="shared" si="13"/>
        <v>13.243681724743192</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290.78918279358999</v>
      </c>
      <c r="AH55" s="25">
        <f t="shared" si="32"/>
        <v>0</v>
      </c>
      <c r="AI55" s="25">
        <f t="shared" si="33"/>
        <v>0</v>
      </c>
      <c r="AJ55" s="25">
        <f t="shared" si="34"/>
        <v>0</v>
      </c>
    </row>
    <row r="56" spans="1:39">
      <c r="A56">
        <f t="shared" si="14"/>
        <v>53</v>
      </c>
      <c r="B56">
        <f t="shared" si="23"/>
        <v>2</v>
      </c>
      <c r="C56">
        <f t="shared" si="0"/>
        <v>60</v>
      </c>
      <c r="D56">
        <f t="shared" si="15"/>
        <v>0</v>
      </c>
      <c r="E56">
        <f t="shared" si="35"/>
        <v>2</v>
      </c>
      <c r="F56">
        <f t="shared" si="1"/>
        <v>90</v>
      </c>
      <c r="G56">
        <f t="shared" si="16"/>
        <v>0</v>
      </c>
      <c r="H56">
        <f t="shared" si="24"/>
        <v>2</v>
      </c>
      <c r="I56">
        <f t="shared" si="2"/>
        <v>120</v>
      </c>
      <c r="J56">
        <f t="shared" si="17"/>
        <v>0</v>
      </c>
      <c r="K56">
        <f t="shared" si="25"/>
        <v>2</v>
      </c>
      <c r="L56">
        <f t="shared" si="3"/>
        <v>180</v>
      </c>
      <c r="M56">
        <f t="shared" si="18"/>
        <v>0</v>
      </c>
      <c r="N56">
        <f t="shared" si="26"/>
        <v>2</v>
      </c>
      <c r="O56">
        <f t="shared" si="4"/>
        <v>300</v>
      </c>
      <c r="P56">
        <f t="shared" si="27"/>
        <v>0</v>
      </c>
      <c r="Q56">
        <f t="shared" si="28"/>
        <v>2</v>
      </c>
      <c r="R56">
        <f t="shared" si="5"/>
        <v>300</v>
      </c>
      <c r="S56">
        <f t="shared" si="29"/>
        <v>0</v>
      </c>
      <c r="T56">
        <f t="shared" si="30"/>
        <v>-1</v>
      </c>
      <c r="U56">
        <f t="shared" si="19"/>
        <v>0</v>
      </c>
      <c r="V56">
        <f t="shared" si="20"/>
        <v>1</v>
      </c>
      <c r="W56">
        <f t="shared" si="6"/>
        <v>0</v>
      </c>
      <c r="X56">
        <f t="shared" si="31"/>
        <v>0</v>
      </c>
      <c r="Y56">
        <f t="shared" si="7"/>
        <v>0</v>
      </c>
      <c r="Z56">
        <f t="shared" si="8"/>
        <v>0</v>
      </c>
      <c r="AA56">
        <f t="shared" si="9"/>
        <v>0</v>
      </c>
      <c r="AB56" s="29">
        <f t="shared" si="10"/>
        <v>0.74178816089935007</v>
      </c>
      <c r="AC56" s="25">
        <f t="shared" si="21"/>
        <v>127.49804426656831</v>
      </c>
      <c r="AD56" s="29">
        <f t="shared" si="11"/>
        <v>1.0808524183153847</v>
      </c>
      <c r="AE56" s="25">
        <f t="shared" si="22"/>
        <v>13.243681724743192</v>
      </c>
      <c r="AF56" s="25">
        <f t="shared" si="13"/>
        <v>13.243681724743192</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290.78918279358999</v>
      </c>
      <c r="AH56" s="25">
        <f t="shared" si="32"/>
        <v>0</v>
      </c>
      <c r="AI56" s="25">
        <f t="shared" si="33"/>
        <v>0</v>
      </c>
      <c r="AJ56" s="25">
        <f t="shared" si="34"/>
        <v>0</v>
      </c>
    </row>
    <row r="57" spans="1:39">
      <c r="A57">
        <f t="shared" si="14"/>
        <v>54</v>
      </c>
      <c r="B57">
        <f t="shared" si="23"/>
        <v>2</v>
      </c>
      <c r="C57">
        <f t="shared" si="0"/>
        <v>60</v>
      </c>
      <c r="D57">
        <f t="shared" si="15"/>
        <v>0</v>
      </c>
      <c r="E57">
        <f t="shared" si="35"/>
        <v>2</v>
      </c>
      <c r="F57">
        <f t="shared" si="1"/>
        <v>90</v>
      </c>
      <c r="G57">
        <f t="shared" si="16"/>
        <v>0</v>
      </c>
      <c r="H57">
        <f t="shared" si="24"/>
        <v>2</v>
      </c>
      <c r="I57">
        <f t="shared" si="2"/>
        <v>120</v>
      </c>
      <c r="J57">
        <f t="shared" si="17"/>
        <v>0</v>
      </c>
      <c r="K57">
        <f t="shared" si="25"/>
        <v>2</v>
      </c>
      <c r="L57">
        <f t="shared" si="3"/>
        <v>180</v>
      </c>
      <c r="M57">
        <f t="shared" si="18"/>
        <v>0</v>
      </c>
      <c r="N57">
        <f t="shared" si="26"/>
        <v>2</v>
      </c>
      <c r="O57">
        <f t="shared" si="4"/>
        <v>300</v>
      </c>
      <c r="P57">
        <f t="shared" si="27"/>
        <v>0</v>
      </c>
      <c r="Q57">
        <f t="shared" si="28"/>
        <v>2</v>
      </c>
      <c r="R57">
        <f t="shared" si="5"/>
        <v>300</v>
      </c>
      <c r="S57">
        <f t="shared" si="29"/>
        <v>0</v>
      </c>
      <c r="T57">
        <f t="shared" si="30"/>
        <v>-1</v>
      </c>
      <c r="U57">
        <f t="shared" si="19"/>
        <v>0</v>
      </c>
      <c r="V57">
        <f t="shared" si="20"/>
        <v>1</v>
      </c>
      <c r="W57">
        <f t="shared" si="6"/>
        <v>0</v>
      </c>
      <c r="X57">
        <f t="shared" si="31"/>
        <v>0</v>
      </c>
      <c r="Y57">
        <f t="shared" si="7"/>
        <v>0</v>
      </c>
      <c r="Z57">
        <f t="shared" si="8"/>
        <v>0</v>
      </c>
      <c r="AA57">
        <f t="shared" si="9"/>
        <v>0</v>
      </c>
      <c r="AB57" s="29">
        <f t="shared" si="10"/>
        <v>0.74178816089935007</v>
      </c>
      <c r="AC57" s="25">
        <f t="shared" si="21"/>
        <v>127.49804426656831</v>
      </c>
      <c r="AD57" s="29">
        <f t="shared" si="11"/>
        <v>1.0808524183153847</v>
      </c>
      <c r="AE57" s="25">
        <f t="shared" si="22"/>
        <v>13.243681724743192</v>
      </c>
      <c r="AF57" s="25">
        <f t="shared" si="13"/>
        <v>13.243681724743192</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290.78918279358999</v>
      </c>
      <c r="AH57" s="25">
        <f t="shared" si="32"/>
        <v>0</v>
      </c>
      <c r="AI57" s="25">
        <f t="shared" si="33"/>
        <v>0</v>
      </c>
      <c r="AJ57" s="25">
        <f t="shared" si="34"/>
        <v>0</v>
      </c>
    </row>
    <row r="58" spans="1:39">
      <c r="A58">
        <f t="shared" si="14"/>
        <v>55</v>
      </c>
      <c r="B58">
        <f t="shared" si="23"/>
        <v>2</v>
      </c>
      <c r="C58">
        <f t="shared" si="0"/>
        <v>60</v>
      </c>
      <c r="D58">
        <f t="shared" si="15"/>
        <v>0</v>
      </c>
      <c r="E58">
        <f t="shared" si="35"/>
        <v>2</v>
      </c>
      <c r="F58">
        <f t="shared" si="1"/>
        <v>90</v>
      </c>
      <c r="G58">
        <f t="shared" si="16"/>
        <v>0</v>
      </c>
      <c r="H58">
        <f t="shared" si="24"/>
        <v>2</v>
      </c>
      <c r="I58">
        <f t="shared" si="2"/>
        <v>120</v>
      </c>
      <c r="J58">
        <f t="shared" si="17"/>
        <v>0</v>
      </c>
      <c r="K58">
        <f t="shared" si="25"/>
        <v>2</v>
      </c>
      <c r="L58">
        <f t="shared" si="3"/>
        <v>180</v>
      </c>
      <c r="M58">
        <f t="shared" si="18"/>
        <v>0</v>
      </c>
      <c r="N58">
        <f t="shared" si="26"/>
        <v>2</v>
      </c>
      <c r="O58">
        <f t="shared" si="4"/>
        <v>300</v>
      </c>
      <c r="P58">
        <f t="shared" si="27"/>
        <v>0</v>
      </c>
      <c r="Q58">
        <f t="shared" si="28"/>
        <v>2</v>
      </c>
      <c r="R58">
        <f t="shared" si="5"/>
        <v>300</v>
      </c>
      <c r="S58">
        <f t="shared" si="29"/>
        <v>0</v>
      </c>
      <c r="T58">
        <f t="shared" si="30"/>
        <v>-1</v>
      </c>
      <c r="U58">
        <f t="shared" si="19"/>
        <v>0</v>
      </c>
      <c r="V58">
        <f t="shared" si="20"/>
        <v>1</v>
      </c>
      <c r="W58">
        <f t="shared" si="6"/>
        <v>0</v>
      </c>
      <c r="X58">
        <f t="shared" si="31"/>
        <v>0</v>
      </c>
      <c r="Y58">
        <f t="shared" si="7"/>
        <v>0</v>
      </c>
      <c r="Z58">
        <f t="shared" si="8"/>
        <v>0</v>
      </c>
      <c r="AA58">
        <f t="shared" si="9"/>
        <v>0</v>
      </c>
      <c r="AB58" s="29">
        <f t="shared" si="10"/>
        <v>0.74178816089935007</v>
      </c>
      <c r="AC58" s="25">
        <f t="shared" si="21"/>
        <v>127.49804426656831</v>
      </c>
      <c r="AD58" s="29">
        <f t="shared" si="11"/>
        <v>1.0808524183153847</v>
      </c>
      <c r="AE58" s="25">
        <f t="shared" si="22"/>
        <v>13.243681724743192</v>
      </c>
      <c r="AF58" s="25">
        <f t="shared" si="13"/>
        <v>13.243681724743192</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290.78918279358999</v>
      </c>
      <c r="AH58" s="25">
        <f t="shared" si="32"/>
        <v>0</v>
      </c>
      <c r="AI58" s="25">
        <f t="shared" si="33"/>
        <v>0</v>
      </c>
      <c r="AJ58" s="25">
        <f t="shared" si="34"/>
        <v>0</v>
      </c>
    </row>
    <row r="59" spans="1:39">
      <c r="A59">
        <f t="shared" si="14"/>
        <v>56</v>
      </c>
      <c r="B59">
        <f t="shared" si="23"/>
        <v>2</v>
      </c>
      <c r="C59">
        <f t="shared" si="0"/>
        <v>60</v>
      </c>
      <c r="D59">
        <f t="shared" si="15"/>
        <v>0</v>
      </c>
      <c r="E59">
        <f t="shared" si="35"/>
        <v>2</v>
      </c>
      <c r="F59">
        <f t="shared" si="1"/>
        <v>90</v>
      </c>
      <c r="G59">
        <f t="shared" si="16"/>
        <v>0</v>
      </c>
      <c r="H59">
        <f t="shared" si="24"/>
        <v>2</v>
      </c>
      <c r="I59">
        <f t="shared" si="2"/>
        <v>120</v>
      </c>
      <c r="J59">
        <f t="shared" si="17"/>
        <v>0</v>
      </c>
      <c r="K59">
        <f t="shared" si="25"/>
        <v>2</v>
      </c>
      <c r="L59">
        <f t="shared" si="3"/>
        <v>180</v>
      </c>
      <c r="M59">
        <f t="shared" si="18"/>
        <v>0</v>
      </c>
      <c r="N59">
        <f t="shared" si="26"/>
        <v>2</v>
      </c>
      <c r="O59">
        <f t="shared" si="4"/>
        <v>300</v>
      </c>
      <c r="P59">
        <f t="shared" si="27"/>
        <v>0</v>
      </c>
      <c r="Q59">
        <f t="shared" si="28"/>
        <v>2</v>
      </c>
      <c r="R59">
        <f t="shared" si="5"/>
        <v>300</v>
      </c>
      <c r="S59">
        <f t="shared" si="29"/>
        <v>0</v>
      </c>
      <c r="T59">
        <f t="shared" si="30"/>
        <v>-1</v>
      </c>
      <c r="U59">
        <f t="shared" si="19"/>
        <v>0</v>
      </c>
      <c r="V59">
        <f t="shared" si="20"/>
        <v>1</v>
      </c>
      <c r="W59">
        <f t="shared" si="6"/>
        <v>0</v>
      </c>
      <c r="X59">
        <f t="shared" si="31"/>
        <v>0</v>
      </c>
      <c r="Y59">
        <f t="shared" si="7"/>
        <v>0</v>
      </c>
      <c r="Z59">
        <f t="shared" si="8"/>
        <v>0</v>
      </c>
      <c r="AA59">
        <f t="shared" si="9"/>
        <v>0</v>
      </c>
      <c r="AB59" s="29">
        <f t="shared" si="10"/>
        <v>0.74178816089935007</v>
      </c>
      <c r="AC59" s="25">
        <f t="shared" si="21"/>
        <v>127.49804426656831</v>
      </c>
      <c r="AD59" s="29">
        <f t="shared" si="11"/>
        <v>1.0808524183153847</v>
      </c>
      <c r="AE59" s="25">
        <f t="shared" si="22"/>
        <v>13.243681724743192</v>
      </c>
      <c r="AF59" s="25">
        <f t="shared" si="13"/>
        <v>13.243681724743192</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290.78918279358999</v>
      </c>
      <c r="AH59" s="25">
        <f t="shared" si="32"/>
        <v>0</v>
      </c>
      <c r="AI59" s="25">
        <f t="shared" si="33"/>
        <v>0</v>
      </c>
      <c r="AJ59" s="25">
        <f t="shared" si="34"/>
        <v>0</v>
      </c>
    </row>
    <row r="60" spans="1:39">
      <c r="A60">
        <f t="shared" si="14"/>
        <v>57</v>
      </c>
      <c r="B60">
        <f t="shared" si="23"/>
        <v>2</v>
      </c>
      <c r="C60">
        <f t="shared" si="0"/>
        <v>60</v>
      </c>
      <c r="D60">
        <f t="shared" si="15"/>
        <v>0</v>
      </c>
      <c r="E60">
        <f t="shared" si="35"/>
        <v>2</v>
      </c>
      <c r="F60">
        <f t="shared" si="1"/>
        <v>90</v>
      </c>
      <c r="G60">
        <f t="shared" si="16"/>
        <v>0</v>
      </c>
      <c r="H60">
        <f t="shared" si="24"/>
        <v>2</v>
      </c>
      <c r="I60">
        <f t="shared" si="2"/>
        <v>120</v>
      </c>
      <c r="J60">
        <f t="shared" si="17"/>
        <v>0</v>
      </c>
      <c r="K60">
        <f t="shared" si="25"/>
        <v>2</v>
      </c>
      <c r="L60">
        <f t="shared" si="3"/>
        <v>180</v>
      </c>
      <c r="M60">
        <f t="shared" si="18"/>
        <v>0</v>
      </c>
      <c r="N60">
        <f t="shared" si="26"/>
        <v>2</v>
      </c>
      <c r="O60">
        <f t="shared" si="4"/>
        <v>300</v>
      </c>
      <c r="P60">
        <f t="shared" si="27"/>
        <v>0</v>
      </c>
      <c r="Q60">
        <f t="shared" si="28"/>
        <v>2</v>
      </c>
      <c r="R60">
        <f t="shared" si="5"/>
        <v>300</v>
      </c>
      <c r="S60">
        <f t="shared" si="29"/>
        <v>0</v>
      </c>
      <c r="T60">
        <f t="shared" si="30"/>
        <v>-1</v>
      </c>
      <c r="U60">
        <f t="shared" si="19"/>
        <v>0</v>
      </c>
      <c r="V60">
        <f t="shared" si="20"/>
        <v>1</v>
      </c>
      <c r="W60">
        <f t="shared" si="6"/>
        <v>0</v>
      </c>
      <c r="X60">
        <f t="shared" si="31"/>
        <v>0</v>
      </c>
      <c r="Y60">
        <f t="shared" si="7"/>
        <v>0</v>
      </c>
      <c r="Z60">
        <f t="shared" si="8"/>
        <v>0</v>
      </c>
      <c r="AA60">
        <f t="shared" si="9"/>
        <v>0</v>
      </c>
      <c r="AB60" s="29">
        <f t="shared" si="10"/>
        <v>0.74178816089935007</v>
      </c>
      <c r="AC60" s="25">
        <f t="shared" si="21"/>
        <v>127.49804426656831</v>
      </c>
      <c r="AD60" s="29">
        <f t="shared" si="11"/>
        <v>1.0808524183153847</v>
      </c>
      <c r="AE60" s="25">
        <f t="shared" si="22"/>
        <v>13.243681724743192</v>
      </c>
      <c r="AF60" s="25">
        <f t="shared" si="13"/>
        <v>13.243681724743192</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290.78918279358999</v>
      </c>
      <c r="AH60" s="25">
        <f t="shared" si="32"/>
        <v>0</v>
      </c>
      <c r="AI60" s="25">
        <f t="shared" si="33"/>
        <v>0</v>
      </c>
      <c r="AJ60" s="25">
        <f t="shared" si="34"/>
        <v>0</v>
      </c>
    </row>
    <row r="61" spans="1:39">
      <c r="A61">
        <f t="shared" si="14"/>
        <v>58</v>
      </c>
      <c r="B61">
        <f t="shared" si="23"/>
        <v>2</v>
      </c>
      <c r="C61">
        <f t="shared" si="0"/>
        <v>60</v>
      </c>
      <c r="D61">
        <f t="shared" si="15"/>
        <v>0</v>
      </c>
      <c r="E61">
        <f t="shared" si="35"/>
        <v>2</v>
      </c>
      <c r="F61">
        <f t="shared" si="1"/>
        <v>90</v>
      </c>
      <c r="G61">
        <f t="shared" si="16"/>
        <v>0</v>
      </c>
      <c r="H61">
        <f t="shared" si="24"/>
        <v>2</v>
      </c>
      <c r="I61">
        <f t="shared" si="2"/>
        <v>120</v>
      </c>
      <c r="J61">
        <f t="shared" si="17"/>
        <v>0</v>
      </c>
      <c r="K61">
        <f t="shared" si="25"/>
        <v>2</v>
      </c>
      <c r="L61">
        <f t="shared" si="3"/>
        <v>180</v>
      </c>
      <c r="M61">
        <f t="shared" si="18"/>
        <v>0</v>
      </c>
      <c r="N61">
        <f t="shared" si="26"/>
        <v>2</v>
      </c>
      <c r="O61">
        <f t="shared" si="4"/>
        <v>300</v>
      </c>
      <c r="P61">
        <f t="shared" si="27"/>
        <v>0</v>
      </c>
      <c r="Q61">
        <f t="shared" si="28"/>
        <v>2</v>
      </c>
      <c r="R61">
        <f t="shared" si="5"/>
        <v>300</v>
      </c>
      <c r="S61">
        <f t="shared" si="29"/>
        <v>0</v>
      </c>
      <c r="T61">
        <f t="shared" si="30"/>
        <v>-1</v>
      </c>
      <c r="U61">
        <f t="shared" si="19"/>
        <v>0</v>
      </c>
      <c r="V61">
        <f t="shared" si="20"/>
        <v>1</v>
      </c>
      <c r="W61">
        <f t="shared" si="6"/>
        <v>0</v>
      </c>
      <c r="X61">
        <f t="shared" si="31"/>
        <v>0</v>
      </c>
      <c r="Y61">
        <f t="shared" si="7"/>
        <v>0</v>
      </c>
      <c r="Z61">
        <f t="shared" si="8"/>
        <v>0</v>
      </c>
      <c r="AA61">
        <f t="shared" si="9"/>
        <v>0</v>
      </c>
      <c r="AB61" s="29">
        <f t="shared" si="10"/>
        <v>0.74178816089935007</v>
      </c>
      <c r="AC61" s="25">
        <f t="shared" si="21"/>
        <v>127.49804426656831</v>
      </c>
      <c r="AD61" s="29">
        <f t="shared" si="11"/>
        <v>1.0808524183153847</v>
      </c>
      <c r="AE61" s="25">
        <f t="shared" si="22"/>
        <v>13.243681724743192</v>
      </c>
      <c r="AF61" s="25">
        <f t="shared" si="13"/>
        <v>13.243681724743192</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290.78918279358999</v>
      </c>
      <c r="AH61" s="25">
        <f t="shared" si="32"/>
        <v>0</v>
      </c>
      <c r="AI61" s="25">
        <f t="shared" si="33"/>
        <v>0</v>
      </c>
      <c r="AJ61" s="25">
        <f t="shared" si="34"/>
        <v>0</v>
      </c>
    </row>
    <row r="62" spans="1:39">
      <c r="A62">
        <f t="shared" si="14"/>
        <v>59</v>
      </c>
      <c r="B62">
        <f t="shared" si="23"/>
        <v>2</v>
      </c>
      <c r="C62">
        <f t="shared" si="0"/>
        <v>60</v>
      </c>
      <c r="D62">
        <f t="shared" si="15"/>
        <v>0</v>
      </c>
      <c r="E62">
        <f t="shared" si="35"/>
        <v>2</v>
      </c>
      <c r="F62">
        <f t="shared" si="1"/>
        <v>90</v>
      </c>
      <c r="G62">
        <f t="shared" si="16"/>
        <v>0</v>
      </c>
      <c r="H62">
        <f t="shared" si="24"/>
        <v>2</v>
      </c>
      <c r="I62">
        <f t="shared" si="2"/>
        <v>120</v>
      </c>
      <c r="J62">
        <f t="shared" si="17"/>
        <v>0</v>
      </c>
      <c r="K62">
        <f t="shared" si="25"/>
        <v>2</v>
      </c>
      <c r="L62">
        <f t="shared" si="3"/>
        <v>180</v>
      </c>
      <c r="M62">
        <f t="shared" si="18"/>
        <v>0</v>
      </c>
      <c r="N62">
        <f t="shared" si="26"/>
        <v>2</v>
      </c>
      <c r="O62">
        <f t="shared" si="4"/>
        <v>300</v>
      </c>
      <c r="P62">
        <f t="shared" si="27"/>
        <v>0</v>
      </c>
      <c r="Q62">
        <f t="shared" si="28"/>
        <v>2</v>
      </c>
      <c r="R62">
        <f t="shared" si="5"/>
        <v>300</v>
      </c>
      <c r="S62">
        <f t="shared" si="29"/>
        <v>0</v>
      </c>
      <c r="T62">
        <f t="shared" si="30"/>
        <v>-1</v>
      </c>
      <c r="U62">
        <f t="shared" si="19"/>
        <v>0</v>
      </c>
      <c r="V62">
        <f t="shared" si="20"/>
        <v>1</v>
      </c>
      <c r="W62">
        <f t="shared" si="6"/>
        <v>0</v>
      </c>
      <c r="X62">
        <f t="shared" si="31"/>
        <v>0</v>
      </c>
      <c r="Y62">
        <f t="shared" si="7"/>
        <v>0</v>
      </c>
      <c r="Z62">
        <f t="shared" si="8"/>
        <v>0</v>
      </c>
      <c r="AA62">
        <f t="shared" si="9"/>
        <v>0</v>
      </c>
      <c r="AB62" s="29">
        <f t="shared" si="10"/>
        <v>0.74178816089935007</v>
      </c>
      <c r="AC62" s="25">
        <f t="shared" si="21"/>
        <v>127.49804426656831</v>
      </c>
      <c r="AD62" s="29">
        <f t="shared" si="11"/>
        <v>1.0808524183153847</v>
      </c>
      <c r="AE62" s="25">
        <f t="shared" si="22"/>
        <v>13.243681724743192</v>
      </c>
      <c r="AF62" s="25">
        <f t="shared" si="13"/>
        <v>13.243681724743192</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290.78918279358999</v>
      </c>
      <c r="AH62" s="25">
        <f t="shared" si="32"/>
        <v>0</v>
      </c>
      <c r="AI62" s="25">
        <f t="shared" si="33"/>
        <v>0</v>
      </c>
      <c r="AJ62" s="25">
        <f t="shared" si="34"/>
        <v>0</v>
      </c>
    </row>
    <row r="63" spans="1:39">
      <c r="A63">
        <f t="shared" si="14"/>
        <v>60</v>
      </c>
      <c r="B63">
        <f t="shared" si="23"/>
        <v>2</v>
      </c>
      <c r="C63">
        <f t="shared" si="0"/>
        <v>60</v>
      </c>
      <c r="D63">
        <f t="shared" si="15"/>
        <v>1</v>
      </c>
      <c r="E63">
        <f t="shared" si="35"/>
        <v>2</v>
      </c>
      <c r="F63">
        <f t="shared" si="1"/>
        <v>90</v>
      </c>
      <c r="G63">
        <f t="shared" si="16"/>
        <v>0</v>
      </c>
      <c r="H63">
        <f t="shared" si="24"/>
        <v>2</v>
      </c>
      <c r="I63">
        <f t="shared" si="2"/>
        <v>120</v>
      </c>
      <c r="J63">
        <f t="shared" si="17"/>
        <v>0</v>
      </c>
      <c r="K63">
        <f t="shared" si="25"/>
        <v>2</v>
      </c>
      <c r="L63">
        <f t="shared" si="3"/>
        <v>180</v>
      </c>
      <c r="M63">
        <f t="shared" si="18"/>
        <v>0</v>
      </c>
      <c r="N63">
        <f t="shared" si="26"/>
        <v>2</v>
      </c>
      <c r="O63">
        <f t="shared" si="4"/>
        <v>300</v>
      </c>
      <c r="P63">
        <f t="shared" si="27"/>
        <v>0</v>
      </c>
      <c r="Q63">
        <f t="shared" si="28"/>
        <v>2</v>
      </c>
      <c r="R63">
        <f t="shared" si="5"/>
        <v>300</v>
      </c>
      <c r="S63">
        <f t="shared" si="29"/>
        <v>0</v>
      </c>
      <c r="T63">
        <f t="shared" si="30"/>
        <v>-1</v>
      </c>
      <c r="U63">
        <f t="shared" si="19"/>
        <v>0</v>
      </c>
      <c r="V63">
        <f t="shared" si="20"/>
        <v>1</v>
      </c>
      <c r="W63">
        <f t="shared" si="6"/>
        <v>0</v>
      </c>
      <c r="X63">
        <f t="shared" si="31"/>
        <v>0</v>
      </c>
      <c r="Y63">
        <f t="shared" si="7"/>
        <v>0</v>
      </c>
      <c r="Z63">
        <f t="shared" si="8"/>
        <v>0</v>
      </c>
      <c r="AA63">
        <f t="shared" si="9"/>
        <v>0</v>
      </c>
      <c r="AB63" s="29">
        <f t="shared" si="10"/>
        <v>0.74178816089935007</v>
      </c>
      <c r="AC63" s="25">
        <f t="shared" si="21"/>
        <v>127.49804426656831</v>
      </c>
      <c r="AD63" s="29">
        <f t="shared" si="11"/>
        <v>1.0808524183153847</v>
      </c>
      <c r="AE63" s="25">
        <f t="shared" si="22"/>
        <v>13.243681724743192</v>
      </c>
      <c r="AF63" s="25">
        <f t="shared" si="13"/>
        <v>13.243681724743192</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290.78918279358999</v>
      </c>
      <c r="AH63" s="25">
        <f t="shared" si="32"/>
        <v>0</v>
      </c>
      <c r="AI63" s="25">
        <f t="shared" si="33"/>
        <v>0</v>
      </c>
      <c r="AJ63" s="25">
        <f t="shared" si="34"/>
        <v>0</v>
      </c>
    </row>
    <row r="64" spans="1:39">
      <c r="A64">
        <f t="shared" si="14"/>
        <v>61</v>
      </c>
      <c r="B64">
        <f t="shared" si="23"/>
        <v>3</v>
      </c>
      <c r="C64">
        <f t="shared" si="0"/>
        <v>120</v>
      </c>
      <c r="D64">
        <f t="shared" si="15"/>
        <v>2</v>
      </c>
      <c r="E64">
        <f t="shared" si="35"/>
        <v>2</v>
      </c>
      <c r="F64">
        <f t="shared" si="1"/>
        <v>90</v>
      </c>
      <c r="G64">
        <f t="shared" si="16"/>
        <v>0</v>
      </c>
      <c r="H64">
        <f t="shared" si="24"/>
        <v>2</v>
      </c>
      <c r="I64">
        <f t="shared" si="2"/>
        <v>120</v>
      </c>
      <c r="J64">
        <f t="shared" si="17"/>
        <v>0</v>
      </c>
      <c r="K64">
        <f t="shared" si="25"/>
        <v>2</v>
      </c>
      <c r="L64">
        <f t="shared" si="3"/>
        <v>180</v>
      </c>
      <c r="M64">
        <f t="shared" si="18"/>
        <v>0</v>
      </c>
      <c r="N64">
        <f t="shared" si="26"/>
        <v>2</v>
      </c>
      <c r="O64">
        <f t="shared" si="4"/>
        <v>300</v>
      </c>
      <c r="P64">
        <f t="shared" si="27"/>
        <v>0</v>
      </c>
      <c r="Q64">
        <f t="shared" si="28"/>
        <v>2</v>
      </c>
      <c r="R64">
        <f t="shared" si="5"/>
        <v>300</v>
      </c>
      <c r="S64">
        <f t="shared" si="29"/>
        <v>0</v>
      </c>
      <c r="T64">
        <f t="shared" si="30"/>
        <v>-1</v>
      </c>
      <c r="U64">
        <f t="shared" si="19"/>
        <v>0</v>
      </c>
      <c r="V64">
        <f t="shared" si="20"/>
        <v>1</v>
      </c>
      <c r="W64">
        <f t="shared" si="6"/>
        <v>0</v>
      </c>
      <c r="X64">
        <f t="shared" si="31"/>
        <v>0</v>
      </c>
      <c r="Y64">
        <f t="shared" si="7"/>
        <v>0</v>
      </c>
      <c r="Z64">
        <f t="shared" si="8"/>
        <v>0</v>
      </c>
      <c r="AA64">
        <f t="shared" si="9"/>
        <v>0</v>
      </c>
      <c r="AB64" s="29">
        <f t="shared" si="10"/>
        <v>0.74178816089935007</v>
      </c>
      <c r="AC64" s="25">
        <f t="shared" si="21"/>
        <v>127.49804426656831</v>
      </c>
      <c r="AD64" s="29">
        <f t="shared" si="11"/>
        <v>1.0808524183153847</v>
      </c>
      <c r="AE64" s="25">
        <f t="shared" si="22"/>
        <v>13.243681724743192</v>
      </c>
      <c r="AF64" s="25">
        <f t="shared" si="13"/>
        <v>13.243681724743192</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290.78918279358999</v>
      </c>
      <c r="AH64" s="25">
        <f t="shared" si="32"/>
        <v>0</v>
      </c>
      <c r="AI64" s="25">
        <f t="shared" si="33"/>
        <v>0</v>
      </c>
      <c r="AJ64" s="25">
        <f t="shared" si="34"/>
        <v>0</v>
      </c>
    </row>
    <row r="65" spans="1:36">
      <c r="A65">
        <f t="shared" si="14"/>
        <v>62</v>
      </c>
      <c r="B65">
        <f t="shared" si="23"/>
        <v>3</v>
      </c>
      <c r="C65">
        <f t="shared" si="0"/>
        <v>120</v>
      </c>
      <c r="D65">
        <f t="shared" si="15"/>
        <v>3</v>
      </c>
      <c r="E65">
        <f t="shared" si="35"/>
        <v>2</v>
      </c>
      <c r="F65">
        <f t="shared" si="1"/>
        <v>90</v>
      </c>
      <c r="G65">
        <f t="shared" si="16"/>
        <v>0</v>
      </c>
      <c r="H65">
        <f t="shared" si="24"/>
        <v>2</v>
      </c>
      <c r="I65">
        <f t="shared" si="2"/>
        <v>120</v>
      </c>
      <c r="J65">
        <f t="shared" si="17"/>
        <v>0</v>
      </c>
      <c r="K65">
        <f t="shared" si="25"/>
        <v>2</v>
      </c>
      <c r="L65">
        <f t="shared" si="3"/>
        <v>180</v>
      </c>
      <c r="M65">
        <f t="shared" si="18"/>
        <v>0</v>
      </c>
      <c r="N65">
        <f t="shared" si="26"/>
        <v>2</v>
      </c>
      <c r="O65">
        <f t="shared" si="4"/>
        <v>300</v>
      </c>
      <c r="P65">
        <f t="shared" si="27"/>
        <v>0</v>
      </c>
      <c r="Q65">
        <f t="shared" si="28"/>
        <v>2</v>
      </c>
      <c r="R65">
        <f t="shared" si="5"/>
        <v>300</v>
      </c>
      <c r="S65">
        <f t="shared" si="29"/>
        <v>0</v>
      </c>
      <c r="T65">
        <f t="shared" si="30"/>
        <v>-1</v>
      </c>
      <c r="U65">
        <f t="shared" si="19"/>
        <v>0</v>
      </c>
      <c r="V65">
        <f t="shared" si="20"/>
        <v>1</v>
      </c>
      <c r="W65">
        <f t="shared" si="6"/>
        <v>0</v>
      </c>
      <c r="X65">
        <f t="shared" si="31"/>
        <v>0</v>
      </c>
      <c r="Y65">
        <f t="shared" si="7"/>
        <v>0</v>
      </c>
      <c r="Z65">
        <f t="shared" si="8"/>
        <v>0</v>
      </c>
      <c r="AA65">
        <f t="shared" si="9"/>
        <v>0</v>
      </c>
      <c r="AB65" s="29">
        <f t="shared" si="10"/>
        <v>0.74178816089935007</v>
      </c>
      <c r="AC65" s="25">
        <f t="shared" si="21"/>
        <v>127.49804426656831</v>
      </c>
      <c r="AD65" s="29">
        <f t="shared" si="11"/>
        <v>1.0808524183153847</v>
      </c>
      <c r="AE65" s="25">
        <f t="shared" si="22"/>
        <v>13.243681724743192</v>
      </c>
      <c r="AF65" s="25">
        <f t="shared" si="13"/>
        <v>13.243681724743192</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290.78918279358999</v>
      </c>
      <c r="AH65" s="25">
        <f t="shared" si="32"/>
        <v>0</v>
      </c>
      <c r="AI65" s="25">
        <f t="shared" si="33"/>
        <v>0</v>
      </c>
      <c r="AJ65" s="25">
        <f t="shared" si="34"/>
        <v>0</v>
      </c>
    </row>
    <row r="66" spans="1:36">
      <c r="A66">
        <f t="shared" si="14"/>
        <v>63</v>
      </c>
      <c r="B66">
        <f t="shared" si="23"/>
        <v>3</v>
      </c>
      <c r="C66">
        <f t="shared" si="0"/>
        <v>120</v>
      </c>
      <c r="D66">
        <f t="shared" si="15"/>
        <v>4</v>
      </c>
      <c r="E66">
        <f t="shared" si="35"/>
        <v>2</v>
      </c>
      <c r="F66">
        <f t="shared" si="1"/>
        <v>90</v>
      </c>
      <c r="G66">
        <f t="shared" si="16"/>
        <v>0</v>
      </c>
      <c r="H66">
        <f t="shared" si="24"/>
        <v>2</v>
      </c>
      <c r="I66">
        <f t="shared" si="2"/>
        <v>120</v>
      </c>
      <c r="J66">
        <f t="shared" si="17"/>
        <v>0</v>
      </c>
      <c r="K66">
        <f t="shared" si="25"/>
        <v>2</v>
      </c>
      <c r="L66">
        <f t="shared" si="3"/>
        <v>180</v>
      </c>
      <c r="M66">
        <f t="shared" si="18"/>
        <v>0</v>
      </c>
      <c r="N66">
        <f t="shared" si="26"/>
        <v>2</v>
      </c>
      <c r="O66">
        <f t="shared" si="4"/>
        <v>300</v>
      </c>
      <c r="P66">
        <f t="shared" si="27"/>
        <v>0</v>
      </c>
      <c r="Q66">
        <f t="shared" si="28"/>
        <v>2</v>
      </c>
      <c r="R66">
        <f t="shared" si="5"/>
        <v>300</v>
      </c>
      <c r="S66">
        <f t="shared" si="29"/>
        <v>0</v>
      </c>
      <c r="T66">
        <f t="shared" si="30"/>
        <v>-1</v>
      </c>
      <c r="U66">
        <f t="shared" si="19"/>
        <v>0</v>
      </c>
      <c r="V66">
        <f t="shared" si="20"/>
        <v>1</v>
      </c>
      <c r="W66">
        <f t="shared" si="6"/>
        <v>0</v>
      </c>
      <c r="X66">
        <f t="shared" si="31"/>
        <v>0</v>
      </c>
      <c r="Y66">
        <f t="shared" si="7"/>
        <v>0</v>
      </c>
      <c r="Z66">
        <f t="shared" si="8"/>
        <v>0</v>
      </c>
      <c r="AA66">
        <f t="shared" si="9"/>
        <v>0</v>
      </c>
      <c r="AB66" s="29">
        <f t="shared" si="10"/>
        <v>0.74178816089935007</v>
      </c>
      <c r="AC66" s="25">
        <f t="shared" si="21"/>
        <v>127.49804426656831</v>
      </c>
      <c r="AD66" s="29">
        <f t="shared" si="11"/>
        <v>1.0808524183153847</v>
      </c>
      <c r="AE66" s="25">
        <f t="shared" si="22"/>
        <v>13.243681724743192</v>
      </c>
      <c r="AF66" s="25">
        <f t="shared" si="13"/>
        <v>13.243681724743192</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290.78918279358999</v>
      </c>
      <c r="AH66" s="25">
        <f t="shared" si="32"/>
        <v>0</v>
      </c>
      <c r="AI66" s="25">
        <f t="shared" si="33"/>
        <v>0</v>
      </c>
      <c r="AJ66" s="25">
        <f t="shared" si="34"/>
        <v>0</v>
      </c>
    </row>
    <row r="67" spans="1:36">
      <c r="A67">
        <f t="shared" si="14"/>
        <v>64</v>
      </c>
      <c r="B67">
        <f t="shared" si="23"/>
        <v>3</v>
      </c>
      <c r="C67">
        <f t="shared" ref="C67:C130" si="39">IF(AND(cdspec60,cdspec60plus),CHOOSE($B67,cdspec601,cdspec602,cdspec603,cdspec604,cdspec605,cdspec606,cdspec607,cdspec608,cdspec609,cdspec6010),($B67-1)*60+IF(cdspec60,cdspec601,0))</f>
        <v>120</v>
      </c>
      <c r="D67">
        <f t="shared" si="15"/>
        <v>5</v>
      </c>
      <c r="E67">
        <f t="shared" si="35"/>
        <v>2</v>
      </c>
      <c r="F67">
        <f t="shared" ref="F67:F130" si="40">IF(AND(cdspec90,cdspec90plus),CHOOSE(E67,cdspec901,cdspec902,cdspec903,cdspec904,cdspec905,cdspec906),(E67-1)*IF(cdtreat90as120,120,90)+IF(cdspec90,cdspec901,0))</f>
        <v>90</v>
      </c>
      <c r="G67">
        <f t="shared" si="16"/>
        <v>0</v>
      </c>
      <c r="H67">
        <f t="shared" si="24"/>
        <v>2</v>
      </c>
      <c r="I67">
        <f t="shared" ref="I67:I130" si="41">IF(AND(cdspec120,cdspec120plus),CHOOSE(H67,cdspec1201,cdspec1202,cdspec1203,cdspec1204,cdspec1205),(H67-1)*120+IF(cdspec120,cdspec1201,0))</f>
        <v>120</v>
      </c>
      <c r="J67">
        <f t="shared" si="17"/>
        <v>0</v>
      </c>
      <c r="K67">
        <f t="shared" si="25"/>
        <v>2</v>
      </c>
      <c r="L67">
        <f t="shared" ref="L67:L130" si="42">IF(AND(cdspec180,cdspec180plus),CHOOSE(K67,cdspec1801,cdspec1802,cdspec1803,cdspec1804),(K67-1)*IF(cdtreat180as240,240,180)+IF(cdspec180,cdspec1801,0))</f>
        <v>180</v>
      </c>
      <c r="M67">
        <f t="shared" si="18"/>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19"/>
        <v>0</v>
      </c>
      <c r="V67">
        <f t="shared" si="20"/>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si="21"/>
        <v>127.49804426656831</v>
      </c>
      <c r="AD67" s="29">
        <f t="shared" ref="AD67:AD130" si="50">IF($A67&lt;0,0,(1+$AC67/(hasterate*100))*(1+$AS$26/100*AND($J67&gt;0,$J67&lt;=$AT$26))*(1+$AS$35/100*AND($M67&gt;0,$M67&lt;=$AT$35))*(1+0.3*($X67&gt;0)))</f>
        <v>1.0808524183153847</v>
      </c>
      <c r="AE67" s="25">
        <f t="shared" si="22"/>
        <v>13.243681724743192</v>
      </c>
      <c r="AF67" s="25">
        <f t="shared" ref="AF67:AF130" si="51">MIN(instcost,AE67)</f>
        <v>13.243681724743192</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290.78918279358999</v>
      </c>
      <c r="AH67" s="25">
        <f t="shared" si="32"/>
        <v>0</v>
      </c>
      <c r="AI67" s="25">
        <f t="shared" si="33"/>
        <v>0</v>
      </c>
      <c r="AJ67" s="25">
        <f t="shared" si="34"/>
        <v>0</v>
      </c>
    </row>
    <row r="68" spans="1:36">
      <c r="A68">
        <f t="shared" ref="A68:A131" si="52">IF(A67&lt;0,-1,IF(A67+1&gt;=time,-1,A67+1))</f>
        <v>65</v>
      </c>
      <c r="B68">
        <f t="shared" si="23"/>
        <v>3</v>
      </c>
      <c r="C68">
        <f t="shared" si="39"/>
        <v>120</v>
      </c>
      <c r="D68">
        <f t="shared" ref="D68:D131" si="53">IF($A68=$C68,1,IF(AND($D67&gt;0,$D67&lt;30),$D67+1,0))</f>
        <v>6</v>
      </c>
      <c r="E68">
        <f t="shared" si="35"/>
        <v>2</v>
      </c>
      <c r="F68">
        <f t="shared" si="40"/>
        <v>90</v>
      </c>
      <c r="G68">
        <f t="shared" ref="G68:G131" si="54">IF($A68=F68,1,IF(AND(G67&gt;0,G67&lt;30),G67+1,0))</f>
        <v>0</v>
      </c>
      <c r="H68">
        <f t="shared" si="24"/>
        <v>2</v>
      </c>
      <c r="I68">
        <f t="shared" si="41"/>
        <v>120</v>
      </c>
      <c r="J68">
        <f t="shared" ref="J68:J131" si="55">IF($A68=I68,1,IF(AND(J67&gt;0,J67&lt;30),J67+1,0))</f>
        <v>0</v>
      </c>
      <c r="K68">
        <f t="shared" si="25"/>
        <v>2</v>
      </c>
      <c r="L68">
        <f t="shared" si="42"/>
        <v>180</v>
      </c>
      <c r="M68">
        <f t="shared" ref="M68:M131" si="56">IF($A68=L68,1,IF(AND(M67&gt;0,M67&lt;30),M67+1,0))</f>
        <v>0</v>
      </c>
      <c r="N68">
        <f t="shared" si="26"/>
        <v>2</v>
      </c>
      <c r="O68">
        <f t="shared" si="43"/>
        <v>300</v>
      </c>
      <c r="P68">
        <f t="shared" si="27"/>
        <v>0</v>
      </c>
      <c r="Q68">
        <f t="shared" si="28"/>
        <v>2</v>
      </c>
      <c r="R68">
        <f t="shared" si="44"/>
        <v>300</v>
      </c>
      <c r="S68">
        <f t="shared" si="29"/>
        <v>0</v>
      </c>
      <c r="T68">
        <f t="shared" si="30"/>
        <v>-1</v>
      </c>
      <c r="U68">
        <f t="shared" ref="U68:U131" si="57">IF($A68=T68,1,IF(AND(U67&gt;0,U67&lt;$AT$3),U67+1,0))</f>
        <v>0</v>
      </c>
      <c r="V68">
        <f t="shared" ref="V68:V131" si="58">MIN(IF(X67=1,V67+1,V67),blustcount)</f>
        <v>1</v>
      </c>
      <c r="W68">
        <f t="shared" si="45"/>
        <v>0</v>
      </c>
      <c r="X68">
        <f t="shared" si="31"/>
        <v>0</v>
      </c>
      <c r="Y68">
        <f t="shared" si="46"/>
        <v>0</v>
      </c>
      <c r="Z68">
        <f t="shared" si="47"/>
        <v>0</v>
      </c>
      <c r="AA68">
        <f t="shared" si="48"/>
        <v>0</v>
      </c>
      <c r="AB68" s="29">
        <f t="shared" si="49"/>
        <v>0.74178816089935007</v>
      </c>
      <c r="AC68" s="25">
        <f t="shared" ref="AC68:AC131" si="59">IF($A68&lt;0,0,$AN$43+IF($J68=0, 0, $AR$15*($J68&lt;=$AT$15)+$AR$22*($J68&lt;=$AT$22)+$AR$28*($J68&lt;=$AT$28)+$AR$29*($J68&lt;=$AT$29)-IF($AW$14, $AR$3*($J68&lt;=$AT$3)))+IF($U68=0,0,$AR$3))</f>
        <v>127.49804426656831</v>
      </c>
      <c r="AD68" s="29">
        <f t="shared" si="50"/>
        <v>1.0808524183153847</v>
      </c>
      <c r="AE68" s="25">
        <f t="shared" ref="AE68:AE131" si="60">IF($A68&lt;0,0,$AN$45+IF($P68&gt;0,$AN$37*$AL$37,0)+$S68*(60-IF(CharLevel&gt;60,(CharLevel-60)*2,0))*$AL$38+IF($J68=1,$AL$26*-25+IF($AL$39, 30, 0),0)+IF($M68=1,$AL$35*-10,0)+IF(AE67&gt;instcost,AE67-instcost,0))</f>
        <v>13.243681724743192</v>
      </c>
      <c r="AF68" s="25">
        <f t="shared" si="51"/>
        <v>13.243681724743192</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290.78918279358999</v>
      </c>
      <c r="AH68" s="25">
        <f t="shared" si="32"/>
        <v>0</v>
      </c>
      <c r="AI68" s="25">
        <f t="shared" si="33"/>
        <v>0</v>
      </c>
      <c r="AJ68" s="25">
        <f t="shared" si="34"/>
        <v>0</v>
      </c>
    </row>
    <row r="69" spans="1:36">
      <c r="A69">
        <f t="shared" si="52"/>
        <v>66</v>
      </c>
      <c r="B69">
        <f t="shared" ref="B69:B132" si="61">MIN(IF(D68=1,B68+1,B68),10)</f>
        <v>3</v>
      </c>
      <c r="C69">
        <f t="shared" si="39"/>
        <v>120</v>
      </c>
      <c r="D69">
        <f t="shared" si="53"/>
        <v>7</v>
      </c>
      <c r="E69">
        <f t="shared" si="35"/>
        <v>2</v>
      </c>
      <c r="F69">
        <f t="shared" si="40"/>
        <v>90</v>
      </c>
      <c r="G69">
        <f t="shared" si="54"/>
        <v>0</v>
      </c>
      <c r="H69">
        <f t="shared" ref="H69:H132" si="62">MIN(IF(J68=1,H68+1,H68),5)</f>
        <v>2</v>
      </c>
      <c r="I69">
        <f t="shared" si="41"/>
        <v>120</v>
      </c>
      <c r="J69">
        <f t="shared" si="55"/>
        <v>0</v>
      </c>
      <c r="K69">
        <f t="shared" ref="K69:K132" si="63">MIN(IF(M68=1,K68+1,K68),4)</f>
        <v>2</v>
      </c>
      <c r="L69">
        <f t="shared" si="42"/>
        <v>180</v>
      </c>
      <c r="M69">
        <f t="shared" si="56"/>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7"/>
        <v>0</v>
      </c>
      <c r="V69">
        <f t="shared" si="58"/>
        <v>1</v>
      </c>
      <c r="W69">
        <f t="shared" si="45"/>
        <v>0</v>
      </c>
      <c r="X69">
        <f t="shared" ref="X69:X132" si="69">IF($A69=W69,1,IF(AND(X68&gt;0,X68&lt;40),X68+1,0))</f>
        <v>0</v>
      </c>
      <c r="Y69">
        <f t="shared" si="46"/>
        <v>0</v>
      </c>
      <c r="Z69">
        <f t="shared" si="47"/>
        <v>0</v>
      </c>
      <c r="AA69">
        <f t="shared" si="48"/>
        <v>0</v>
      </c>
      <c r="AB69" s="29">
        <f t="shared" si="49"/>
        <v>0.74178816089935007</v>
      </c>
      <c r="AC69" s="25">
        <f t="shared" si="59"/>
        <v>127.49804426656831</v>
      </c>
      <c r="AD69" s="29">
        <f t="shared" si="50"/>
        <v>1.0808524183153847</v>
      </c>
      <c r="AE69" s="25">
        <f t="shared" si="60"/>
        <v>13.243681724743192</v>
      </c>
      <c r="AF69" s="25">
        <f t="shared" si="51"/>
        <v>13.243681724743192</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290.78918279358999</v>
      </c>
      <c r="AH69" s="25">
        <f t="shared" ref="AH69:AH132" si="70">IF(AH68-$AF69&lt;0,0,AH68-$AF69)</f>
        <v>0</v>
      </c>
      <c r="AI69" s="25">
        <f t="shared" ref="AI69:AI132" si="71">IF(AI68-AF69&lt;0,0,AI68-AF69)</f>
        <v>0</v>
      </c>
      <c r="AJ69" s="25">
        <f t="shared" ref="AJ69:AJ132" si="72">IF(AJ68-$AF69&lt;0,0,AJ68-$AF69)</f>
        <v>0</v>
      </c>
    </row>
    <row r="70" spans="1:36">
      <c r="A70">
        <f t="shared" si="52"/>
        <v>67</v>
      </c>
      <c r="B70">
        <f t="shared" si="61"/>
        <v>3</v>
      </c>
      <c r="C70">
        <f t="shared" si="39"/>
        <v>120</v>
      </c>
      <c r="D70">
        <f t="shared" si="53"/>
        <v>8</v>
      </c>
      <c r="E70">
        <f t="shared" ref="E70:E133" si="73">MIN(IF(G69=1,E69+1,E69),6)</f>
        <v>2</v>
      </c>
      <c r="F70">
        <f t="shared" si="40"/>
        <v>90</v>
      </c>
      <c r="G70">
        <f t="shared" si="54"/>
        <v>0</v>
      </c>
      <c r="H70">
        <f t="shared" si="62"/>
        <v>2</v>
      </c>
      <c r="I70">
        <f t="shared" si="41"/>
        <v>120</v>
      </c>
      <c r="J70">
        <f t="shared" si="55"/>
        <v>0</v>
      </c>
      <c r="K70">
        <f t="shared" si="63"/>
        <v>2</v>
      </c>
      <c r="L70">
        <f t="shared" si="42"/>
        <v>180</v>
      </c>
      <c r="M70">
        <f t="shared" si="56"/>
        <v>0</v>
      </c>
      <c r="N70">
        <f t="shared" si="64"/>
        <v>2</v>
      </c>
      <c r="O70">
        <f t="shared" si="43"/>
        <v>300</v>
      </c>
      <c r="P70">
        <f t="shared" si="65"/>
        <v>0</v>
      </c>
      <c r="Q70">
        <f t="shared" si="66"/>
        <v>2</v>
      </c>
      <c r="R70">
        <f t="shared" si="44"/>
        <v>300</v>
      </c>
      <c r="S70">
        <f t="shared" si="67"/>
        <v>0</v>
      </c>
      <c r="T70">
        <f t="shared" si="68"/>
        <v>-1</v>
      </c>
      <c r="U70">
        <f t="shared" si="57"/>
        <v>0</v>
      </c>
      <c r="V70">
        <f t="shared" si="58"/>
        <v>1</v>
      </c>
      <c r="W70">
        <f t="shared" si="45"/>
        <v>0</v>
      </c>
      <c r="X70">
        <f t="shared" si="69"/>
        <v>0</v>
      </c>
      <c r="Y70">
        <f t="shared" si="46"/>
        <v>0</v>
      </c>
      <c r="Z70">
        <f t="shared" si="47"/>
        <v>0</v>
      </c>
      <c r="AA70">
        <f t="shared" si="48"/>
        <v>0</v>
      </c>
      <c r="AB70" s="29">
        <f t="shared" si="49"/>
        <v>0.74178816089935007</v>
      </c>
      <c r="AC70" s="25">
        <f t="shared" si="59"/>
        <v>127.49804426656831</v>
      </c>
      <c r="AD70" s="29">
        <f t="shared" si="50"/>
        <v>1.0808524183153847</v>
      </c>
      <c r="AE70" s="25">
        <f t="shared" si="60"/>
        <v>13.243681724743192</v>
      </c>
      <c r="AF70" s="25">
        <f t="shared" si="51"/>
        <v>13.243681724743192</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290.78918279358999</v>
      </c>
      <c r="AH70" s="25">
        <f t="shared" si="70"/>
        <v>0</v>
      </c>
      <c r="AI70" s="25">
        <f t="shared" si="71"/>
        <v>0</v>
      </c>
      <c r="AJ70" s="25">
        <f t="shared" si="72"/>
        <v>0</v>
      </c>
    </row>
    <row r="71" spans="1:36">
      <c r="A71">
        <f t="shared" si="52"/>
        <v>68</v>
      </c>
      <c r="B71">
        <f t="shared" si="61"/>
        <v>3</v>
      </c>
      <c r="C71">
        <f t="shared" si="39"/>
        <v>120</v>
      </c>
      <c r="D71">
        <f t="shared" si="53"/>
        <v>9</v>
      </c>
      <c r="E71">
        <f t="shared" si="73"/>
        <v>2</v>
      </c>
      <c r="F71">
        <f t="shared" si="40"/>
        <v>90</v>
      </c>
      <c r="G71">
        <f t="shared" si="54"/>
        <v>0</v>
      </c>
      <c r="H71">
        <f t="shared" si="62"/>
        <v>2</v>
      </c>
      <c r="I71">
        <f t="shared" si="41"/>
        <v>120</v>
      </c>
      <c r="J71">
        <f t="shared" si="55"/>
        <v>0</v>
      </c>
      <c r="K71">
        <f t="shared" si="63"/>
        <v>2</v>
      </c>
      <c r="L71">
        <f t="shared" si="42"/>
        <v>180</v>
      </c>
      <c r="M71">
        <f t="shared" si="56"/>
        <v>0</v>
      </c>
      <c r="N71">
        <f t="shared" si="64"/>
        <v>2</v>
      </c>
      <c r="O71">
        <f t="shared" si="43"/>
        <v>300</v>
      </c>
      <c r="P71">
        <f t="shared" si="65"/>
        <v>0</v>
      </c>
      <c r="Q71">
        <f t="shared" si="66"/>
        <v>2</v>
      </c>
      <c r="R71">
        <f t="shared" si="44"/>
        <v>300</v>
      </c>
      <c r="S71">
        <f t="shared" si="67"/>
        <v>0</v>
      </c>
      <c r="T71">
        <f t="shared" si="68"/>
        <v>-1</v>
      </c>
      <c r="U71">
        <f t="shared" si="57"/>
        <v>0</v>
      </c>
      <c r="V71">
        <f t="shared" si="58"/>
        <v>1</v>
      </c>
      <c r="W71">
        <f t="shared" si="45"/>
        <v>0</v>
      </c>
      <c r="X71">
        <f t="shared" si="69"/>
        <v>0</v>
      </c>
      <c r="Y71">
        <f t="shared" si="46"/>
        <v>0</v>
      </c>
      <c r="Z71">
        <f t="shared" si="47"/>
        <v>0</v>
      </c>
      <c r="AA71">
        <f t="shared" si="48"/>
        <v>0</v>
      </c>
      <c r="AB71" s="29">
        <f t="shared" si="49"/>
        <v>0.74178816089935007</v>
      </c>
      <c r="AC71" s="25">
        <f t="shared" si="59"/>
        <v>127.49804426656831</v>
      </c>
      <c r="AD71" s="29">
        <f t="shared" si="50"/>
        <v>1.0808524183153847</v>
      </c>
      <c r="AE71" s="25">
        <f t="shared" si="60"/>
        <v>13.243681724743192</v>
      </c>
      <c r="AF71" s="25">
        <f t="shared" si="51"/>
        <v>13.243681724743192</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290.78918279358999</v>
      </c>
      <c r="AH71" s="25">
        <f t="shared" si="70"/>
        <v>0</v>
      </c>
      <c r="AI71" s="25">
        <f t="shared" si="71"/>
        <v>0</v>
      </c>
      <c r="AJ71" s="25">
        <f t="shared" si="72"/>
        <v>0</v>
      </c>
    </row>
    <row r="72" spans="1:36">
      <c r="A72">
        <f t="shared" si="52"/>
        <v>69</v>
      </c>
      <c r="B72">
        <f t="shared" si="61"/>
        <v>3</v>
      </c>
      <c r="C72">
        <f t="shared" si="39"/>
        <v>120</v>
      </c>
      <c r="D72">
        <f t="shared" si="53"/>
        <v>10</v>
      </c>
      <c r="E72">
        <f t="shared" si="73"/>
        <v>2</v>
      </c>
      <c r="F72">
        <f t="shared" si="40"/>
        <v>90</v>
      </c>
      <c r="G72">
        <f t="shared" si="54"/>
        <v>0</v>
      </c>
      <c r="H72">
        <f t="shared" si="62"/>
        <v>2</v>
      </c>
      <c r="I72">
        <f t="shared" si="41"/>
        <v>120</v>
      </c>
      <c r="J72">
        <f t="shared" si="55"/>
        <v>0</v>
      </c>
      <c r="K72">
        <f t="shared" si="63"/>
        <v>2</v>
      </c>
      <c r="L72">
        <f t="shared" si="42"/>
        <v>180</v>
      </c>
      <c r="M72">
        <f t="shared" si="56"/>
        <v>0</v>
      </c>
      <c r="N72">
        <f t="shared" si="64"/>
        <v>2</v>
      </c>
      <c r="O72">
        <f t="shared" si="43"/>
        <v>300</v>
      </c>
      <c r="P72">
        <f t="shared" si="65"/>
        <v>0</v>
      </c>
      <c r="Q72">
        <f t="shared" si="66"/>
        <v>2</v>
      </c>
      <c r="R72">
        <f t="shared" si="44"/>
        <v>300</v>
      </c>
      <c r="S72">
        <f t="shared" si="67"/>
        <v>0</v>
      </c>
      <c r="T72">
        <f t="shared" si="68"/>
        <v>-1</v>
      </c>
      <c r="U72">
        <f t="shared" si="57"/>
        <v>0</v>
      </c>
      <c r="V72">
        <f t="shared" si="58"/>
        <v>1</v>
      </c>
      <c r="W72">
        <f t="shared" si="45"/>
        <v>0</v>
      </c>
      <c r="X72">
        <f t="shared" si="69"/>
        <v>0</v>
      </c>
      <c r="Y72">
        <f t="shared" si="46"/>
        <v>0</v>
      </c>
      <c r="Z72">
        <f t="shared" si="47"/>
        <v>0</v>
      </c>
      <c r="AA72">
        <f t="shared" si="48"/>
        <v>0</v>
      </c>
      <c r="AB72" s="29">
        <f t="shared" si="49"/>
        <v>0.74178816089935007</v>
      </c>
      <c r="AC72" s="25">
        <f t="shared" si="59"/>
        <v>127.49804426656831</v>
      </c>
      <c r="AD72" s="29">
        <f t="shared" si="50"/>
        <v>1.0808524183153847</v>
      </c>
      <c r="AE72" s="25">
        <f t="shared" si="60"/>
        <v>13.243681724743192</v>
      </c>
      <c r="AF72" s="25">
        <f t="shared" si="51"/>
        <v>13.243681724743192</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290.78918279358999</v>
      </c>
      <c r="AH72" s="25">
        <f t="shared" si="70"/>
        <v>0</v>
      </c>
      <c r="AI72" s="25">
        <f t="shared" si="71"/>
        <v>0</v>
      </c>
      <c r="AJ72" s="25">
        <f t="shared" si="72"/>
        <v>0</v>
      </c>
    </row>
    <row r="73" spans="1:36">
      <c r="A73">
        <f t="shared" si="52"/>
        <v>70</v>
      </c>
      <c r="B73">
        <f t="shared" si="61"/>
        <v>3</v>
      </c>
      <c r="C73">
        <f t="shared" si="39"/>
        <v>120</v>
      </c>
      <c r="D73">
        <f t="shared" si="53"/>
        <v>11</v>
      </c>
      <c r="E73">
        <f t="shared" si="73"/>
        <v>2</v>
      </c>
      <c r="F73">
        <f t="shared" si="40"/>
        <v>90</v>
      </c>
      <c r="G73">
        <f t="shared" si="54"/>
        <v>0</v>
      </c>
      <c r="H73">
        <f t="shared" si="62"/>
        <v>2</v>
      </c>
      <c r="I73">
        <f t="shared" si="41"/>
        <v>120</v>
      </c>
      <c r="J73">
        <f t="shared" si="55"/>
        <v>0</v>
      </c>
      <c r="K73">
        <f t="shared" si="63"/>
        <v>2</v>
      </c>
      <c r="L73">
        <f t="shared" si="42"/>
        <v>180</v>
      </c>
      <c r="M73">
        <f t="shared" si="56"/>
        <v>0</v>
      </c>
      <c r="N73">
        <f t="shared" si="64"/>
        <v>2</v>
      </c>
      <c r="O73">
        <f t="shared" si="43"/>
        <v>300</v>
      </c>
      <c r="P73">
        <f t="shared" si="65"/>
        <v>0</v>
      </c>
      <c r="Q73">
        <f t="shared" si="66"/>
        <v>2</v>
      </c>
      <c r="R73">
        <f t="shared" si="44"/>
        <v>300</v>
      </c>
      <c r="S73">
        <f t="shared" si="67"/>
        <v>0</v>
      </c>
      <c r="T73">
        <f t="shared" si="68"/>
        <v>-1</v>
      </c>
      <c r="U73">
        <f t="shared" si="57"/>
        <v>0</v>
      </c>
      <c r="V73">
        <f t="shared" si="58"/>
        <v>1</v>
      </c>
      <c r="W73">
        <f t="shared" si="45"/>
        <v>0</v>
      </c>
      <c r="X73">
        <f t="shared" si="69"/>
        <v>0</v>
      </c>
      <c r="Y73">
        <f t="shared" si="46"/>
        <v>0</v>
      </c>
      <c r="Z73">
        <f t="shared" si="47"/>
        <v>0</v>
      </c>
      <c r="AA73">
        <f t="shared" si="48"/>
        <v>0</v>
      </c>
      <c r="AB73" s="29">
        <f t="shared" si="49"/>
        <v>0.74178816089935007</v>
      </c>
      <c r="AC73" s="25">
        <f t="shared" si="59"/>
        <v>127.49804426656831</v>
      </c>
      <c r="AD73" s="29">
        <f t="shared" si="50"/>
        <v>1.0808524183153847</v>
      </c>
      <c r="AE73" s="25">
        <f t="shared" si="60"/>
        <v>13.243681724743192</v>
      </c>
      <c r="AF73" s="25">
        <f t="shared" si="51"/>
        <v>13.243681724743192</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290.78918279358999</v>
      </c>
      <c r="AH73" s="25">
        <f t="shared" si="70"/>
        <v>0</v>
      </c>
      <c r="AI73" s="25">
        <f t="shared" si="71"/>
        <v>0</v>
      </c>
      <c r="AJ73" s="25">
        <f t="shared" si="72"/>
        <v>0</v>
      </c>
    </row>
    <row r="74" spans="1:36">
      <c r="A74">
        <f t="shared" si="52"/>
        <v>71</v>
      </c>
      <c r="B74">
        <f t="shared" si="61"/>
        <v>3</v>
      </c>
      <c r="C74">
        <f t="shared" si="39"/>
        <v>120</v>
      </c>
      <c r="D74">
        <f t="shared" si="53"/>
        <v>12</v>
      </c>
      <c r="E74">
        <f t="shared" si="73"/>
        <v>2</v>
      </c>
      <c r="F74">
        <f t="shared" si="40"/>
        <v>90</v>
      </c>
      <c r="G74">
        <f t="shared" si="54"/>
        <v>0</v>
      </c>
      <c r="H74">
        <f t="shared" si="62"/>
        <v>2</v>
      </c>
      <c r="I74">
        <f t="shared" si="41"/>
        <v>120</v>
      </c>
      <c r="J74">
        <f t="shared" si="55"/>
        <v>0</v>
      </c>
      <c r="K74">
        <f t="shared" si="63"/>
        <v>2</v>
      </c>
      <c r="L74">
        <f t="shared" si="42"/>
        <v>180</v>
      </c>
      <c r="M74">
        <f t="shared" si="56"/>
        <v>0</v>
      </c>
      <c r="N74">
        <f t="shared" si="64"/>
        <v>2</v>
      </c>
      <c r="O74">
        <f t="shared" si="43"/>
        <v>300</v>
      </c>
      <c r="P74">
        <f t="shared" si="65"/>
        <v>0</v>
      </c>
      <c r="Q74">
        <f t="shared" si="66"/>
        <v>2</v>
      </c>
      <c r="R74">
        <f t="shared" si="44"/>
        <v>300</v>
      </c>
      <c r="S74">
        <f t="shared" si="67"/>
        <v>0</v>
      </c>
      <c r="T74">
        <f t="shared" si="68"/>
        <v>-1</v>
      </c>
      <c r="U74">
        <f t="shared" si="57"/>
        <v>0</v>
      </c>
      <c r="V74">
        <f t="shared" si="58"/>
        <v>1</v>
      </c>
      <c r="W74">
        <f t="shared" si="45"/>
        <v>0</v>
      </c>
      <c r="X74">
        <f t="shared" si="69"/>
        <v>0</v>
      </c>
      <c r="Y74">
        <f t="shared" si="46"/>
        <v>0</v>
      </c>
      <c r="Z74">
        <f t="shared" si="47"/>
        <v>0</v>
      </c>
      <c r="AA74">
        <f t="shared" si="48"/>
        <v>0</v>
      </c>
      <c r="AB74" s="29">
        <f t="shared" si="49"/>
        <v>0.74178816089935007</v>
      </c>
      <c r="AC74" s="25">
        <f t="shared" si="59"/>
        <v>127.49804426656831</v>
      </c>
      <c r="AD74" s="29">
        <f t="shared" si="50"/>
        <v>1.0808524183153847</v>
      </c>
      <c r="AE74" s="25">
        <f t="shared" si="60"/>
        <v>13.243681724743192</v>
      </c>
      <c r="AF74" s="25">
        <f t="shared" si="51"/>
        <v>13.243681724743192</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290.78918279358999</v>
      </c>
      <c r="AH74" s="25">
        <f t="shared" si="70"/>
        <v>0</v>
      </c>
      <c r="AI74" s="25">
        <f t="shared" si="71"/>
        <v>0</v>
      </c>
      <c r="AJ74" s="25">
        <f t="shared" si="72"/>
        <v>0</v>
      </c>
    </row>
    <row r="75" spans="1:36">
      <c r="A75">
        <f t="shared" si="52"/>
        <v>72</v>
      </c>
      <c r="B75">
        <f t="shared" si="61"/>
        <v>3</v>
      </c>
      <c r="C75">
        <f t="shared" si="39"/>
        <v>120</v>
      </c>
      <c r="D75">
        <f t="shared" si="53"/>
        <v>13</v>
      </c>
      <c r="E75">
        <f t="shared" si="73"/>
        <v>2</v>
      </c>
      <c r="F75">
        <f t="shared" si="40"/>
        <v>90</v>
      </c>
      <c r="G75">
        <f t="shared" si="54"/>
        <v>0</v>
      </c>
      <c r="H75">
        <f t="shared" si="62"/>
        <v>2</v>
      </c>
      <c r="I75">
        <f t="shared" si="41"/>
        <v>120</v>
      </c>
      <c r="J75">
        <f t="shared" si="55"/>
        <v>0</v>
      </c>
      <c r="K75">
        <f t="shared" si="63"/>
        <v>2</v>
      </c>
      <c r="L75">
        <f t="shared" si="42"/>
        <v>180</v>
      </c>
      <c r="M75">
        <f t="shared" si="56"/>
        <v>0</v>
      </c>
      <c r="N75">
        <f t="shared" si="64"/>
        <v>2</v>
      </c>
      <c r="O75">
        <f t="shared" si="43"/>
        <v>300</v>
      </c>
      <c r="P75">
        <f t="shared" si="65"/>
        <v>0</v>
      </c>
      <c r="Q75">
        <f t="shared" si="66"/>
        <v>2</v>
      </c>
      <c r="R75">
        <f t="shared" si="44"/>
        <v>300</v>
      </c>
      <c r="S75">
        <f t="shared" si="67"/>
        <v>0</v>
      </c>
      <c r="T75">
        <f t="shared" si="68"/>
        <v>-1</v>
      </c>
      <c r="U75">
        <f t="shared" si="57"/>
        <v>0</v>
      </c>
      <c r="V75">
        <f t="shared" si="58"/>
        <v>1</v>
      </c>
      <c r="W75">
        <f t="shared" si="45"/>
        <v>0</v>
      </c>
      <c r="X75">
        <f t="shared" si="69"/>
        <v>0</v>
      </c>
      <c r="Y75">
        <f t="shared" si="46"/>
        <v>0</v>
      </c>
      <c r="Z75">
        <f t="shared" si="47"/>
        <v>0</v>
      </c>
      <c r="AA75">
        <f t="shared" si="48"/>
        <v>0</v>
      </c>
      <c r="AB75" s="29">
        <f t="shared" si="49"/>
        <v>0.74178816089935007</v>
      </c>
      <c r="AC75" s="25">
        <f t="shared" si="59"/>
        <v>127.49804426656831</v>
      </c>
      <c r="AD75" s="29">
        <f t="shared" si="50"/>
        <v>1.0808524183153847</v>
      </c>
      <c r="AE75" s="25">
        <f t="shared" si="60"/>
        <v>13.243681724743192</v>
      </c>
      <c r="AF75" s="25">
        <f t="shared" si="51"/>
        <v>13.243681724743192</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290.78918279358999</v>
      </c>
      <c r="AH75" s="25">
        <f t="shared" si="70"/>
        <v>0</v>
      </c>
      <c r="AI75" s="25">
        <f t="shared" si="71"/>
        <v>0</v>
      </c>
      <c r="AJ75" s="25">
        <f t="shared" si="72"/>
        <v>0</v>
      </c>
    </row>
    <row r="76" spans="1:36">
      <c r="A76">
        <f t="shared" si="52"/>
        <v>73</v>
      </c>
      <c r="B76">
        <f t="shared" si="61"/>
        <v>3</v>
      </c>
      <c r="C76">
        <f t="shared" si="39"/>
        <v>120</v>
      </c>
      <c r="D76">
        <f t="shared" si="53"/>
        <v>14</v>
      </c>
      <c r="E76">
        <f t="shared" si="73"/>
        <v>2</v>
      </c>
      <c r="F76">
        <f t="shared" si="40"/>
        <v>90</v>
      </c>
      <c r="G76">
        <f t="shared" si="54"/>
        <v>0</v>
      </c>
      <c r="H76">
        <f t="shared" si="62"/>
        <v>2</v>
      </c>
      <c r="I76">
        <f t="shared" si="41"/>
        <v>120</v>
      </c>
      <c r="J76">
        <f t="shared" si="55"/>
        <v>0</v>
      </c>
      <c r="K76">
        <f t="shared" si="63"/>
        <v>2</v>
      </c>
      <c r="L76">
        <f t="shared" si="42"/>
        <v>180</v>
      </c>
      <c r="M76">
        <f t="shared" si="56"/>
        <v>0</v>
      </c>
      <c r="N76">
        <f t="shared" si="64"/>
        <v>2</v>
      </c>
      <c r="O76">
        <f t="shared" si="43"/>
        <v>300</v>
      </c>
      <c r="P76">
        <f t="shared" si="65"/>
        <v>0</v>
      </c>
      <c r="Q76">
        <f t="shared" si="66"/>
        <v>2</v>
      </c>
      <c r="R76">
        <f t="shared" si="44"/>
        <v>300</v>
      </c>
      <c r="S76">
        <f t="shared" si="67"/>
        <v>0</v>
      </c>
      <c r="T76">
        <f t="shared" si="68"/>
        <v>-1</v>
      </c>
      <c r="U76">
        <f t="shared" si="57"/>
        <v>0</v>
      </c>
      <c r="V76">
        <f t="shared" si="58"/>
        <v>1</v>
      </c>
      <c r="W76">
        <f t="shared" si="45"/>
        <v>0</v>
      </c>
      <c r="X76">
        <f t="shared" si="69"/>
        <v>0</v>
      </c>
      <c r="Y76">
        <f t="shared" si="46"/>
        <v>0</v>
      </c>
      <c r="Z76">
        <f t="shared" si="47"/>
        <v>0</v>
      </c>
      <c r="AA76">
        <f t="shared" si="48"/>
        <v>0</v>
      </c>
      <c r="AB76" s="29">
        <f t="shared" si="49"/>
        <v>0.74178816089935007</v>
      </c>
      <c r="AC76" s="25">
        <f t="shared" si="59"/>
        <v>127.49804426656831</v>
      </c>
      <c r="AD76" s="29">
        <f t="shared" si="50"/>
        <v>1.0808524183153847</v>
      </c>
      <c r="AE76" s="25">
        <f t="shared" si="60"/>
        <v>13.243681724743192</v>
      </c>
      <c r="AF76" s="25">
        <f t="shared" si="51"/>
        <v>13.243681724743192</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290.78918279358999</v>
      </c>
      <c r="AH76" s="25">
        <f t="shared" si="70"/>
        <v>0</v>
      </c>
      <c r="AI76" s="25">
        <f t="shared" si="71"/>
        <v>0</v>
      </c>
      <c r="AJ76" s="25">
        <f t="shared" si="72"/>
        <v>0</v>
      </c>
    </row>
    <row r="77" spans="1:36">
      <c r="A77">
        <f t="shared" si="52"/>
        <v>74</v>
      </c>
      <c r="B77">
        <f t="shared" si="61"/>
        <v>3</v>
      </c>
      <c r="C77">
        <f t="shared" si="39"/>
        <v>120</v>
      </c>
      <c r="D77">
        <f t="shared" si="53"/>
        <v>15</v>
      </c>
      <c r="E77">
        <f t="shared" si="73"/>
        <v>2</v>
      </c>
      <c r="F77">
        <f t="shared" si="40"/>
        <v>90</v>
      </c>
      <c r="G77">
        <f t="shared" si="54"/>
        <v>0</v>
      </c>
      <c r="H77">
        <f t="shared" si="62"/>
        <v>2</v>
      </c>
      <c r="I77">
        <f t="shared" si="41"/>
        <v>120</v>
      </c>
      <c r="J77">
        <f t="shared" si="55"/>
        <v>0</v>
      </c>
      <c r="K77">
        <f t="shared" si="63"/>
        <v>2</v>
      </c>
      <c r="L77">
        <f t="shared" si="42"/>
        <v>180</v>
      </c>
      <c r="M77">
        <f t="shared" si="56"/>
        <v>0</v>
      </c>
      <c r="N77">
        <f t="shared" si="64"/>
        <v>2</v>
      </c>
      <c r="O77">
        <f t="shared" si="43"/>
        <v>300</v>
      </c>
      <c r="P77">
        <f t="shared" si="65"/>
        <v>0</v>
      </c>
      <c r="Q77">
        <f t="shared" si="66"/>
        <v>2</v>
      </c>
      <c r="R77">
        <f t="shared" si="44"/>
        <v>300</v>
      </c>
      <c r="S77">
        <f t="shared" si="67"/>
        <v>0</v>
      </c>
      <c r="T77">
        <f t="shared" si="68"/>
        <v>-1</v>
      </c>
      <c r="U77">
        <f t="shared" si="57"/>
        <v>0</v>
      </c>
      <c r="V77">
        <f t="shared" si="58"/>
        <v>1</v>
      </c>
      <c r="W77">
        <f t="shared" si="45"/>
        <v>0</v>
      </c>
      <c r="X77">
        <f t="shared" si="69"/>
        <v>0</v>
      </c>
      <c r="Y77">
        <f t="shared" si="46"/>
        <v>0</v>
      </c>
      <c r="Z77">
        <f t="shared" si="47"/>
        <v>0</v>
      </c>
      <c r="AA77">
        <f t="shared" si="48"/>
        <v>0</v>
      </c>
      <c r="AB77" s="29">
        <f t="shared" si="49"/>
        <v>0.74178816089935007</v>
      </c>
      <c r="AC77" s="25">
        <f t="shared" si="59"/>
        <v>127.49804426656831</v>
      </c>
      <c r="AD77" s="29">
        <f t="shared" si="50"/>
        <v>1.0808524183153847</v>
      </c>
      <c r="AE77" s="25">
        <f t="shared" si="60"/>
        <v>13.243681724743192</v>
      </c>
      <c r="AF77" s="25">
        <f t="shared" si="51"/>
        <v>13.243681724743192</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290.78918279358999</v>
      </c>
      <c r="AH77" s="25">
        <f t="shared" si="70"/>
        <v>0</v>
      </c>
      <c r="AI77" s="25">
        <f t="shared" si="71"/>
        <v>0</v>
      </c>
      <c r="AJ77" s="25">
        <f t="shared" si="72"/>
        <v>0</v>
      </c>
    </row>
    <row r="78" spans="1:36">
      <c r="A78">
        <f t="shared" si="52"/>
        <v>75</v>
      </c>
      <c r="B78">
        <f t="shared" si="61"/>
        <v>3</v>
      </c>
      <c r="C78">
        <f t="shared" si="39"/>
        <v>120</v>
      </c>
      <c r="D78">
        <f t="shared" si="53"/>
        <v>16</v>
      </c>
      <c r="E78">
        <f t="shared" si="73"/>
        <v>2</v>
      </c>
      <c r="F78">
        <f t="shared" si="40"/>
        <v>90</v>
      </c>
      <c r="G78">
        <f t="shared" si="54"/>
        <v>0</v>
      </c>
      <c r="H78">
        <f t="shared" si="62"/>
        <v>2</v>
      </c>
      <c r="I78">
        <f t="shared" si="41"/>
        <v>120</v>
      </c>
      <c r="J78">
        <f t="shared" si="55"/>
        <v>0</v>
      </c>
      <c r="K78">
        <f t="shared" si="63"/>
        <v>2</v>
      </c>
      <c r="L78">
        <f t="shared" si="42"/>
        <v>180</v>
      </c>
      <c r="M78">
        <f t="shared" si="56"/>
        <v>0</v>
      </c>
      <c r="N78">
        <f t="shared" si="64"/>
        <v>2</v>
      </c>
      <c r="O78">
        <f t="shared" si="43"/>
        <v>300</v>
      </c>
      <c r="P78">
        <f t="shared" si="65"/>
        <v>0</v>
      </c>
      <c r="Q78">
        <f t="shared" si="66"/>
        <v>2</v>
      </c>
      <c r="R78">
        <f t="shared" si="44"/>
        <v>300</v>
      </c>
      <c r="S78">
        <f t="shared" si="67"/>
        <v>0</v>
      </c>
      <c r="T78">
        <f t="shared" si="68"/>
        <v>-1</v>
      </c>
      <c r="U78">
        <f t="shared" si="57"/>
        <v>0</v>
      </c>
      <c r="V78">
        <f t="shared" si="58"/>
        <v>1</v>
      </c>
      <c r="W78">
        <f t="shared" si="45"/>
        <v>0</v>
      </c>
      <c r="X78">
        <f t="shared" si="69"/>
        <v>0</v>
      </c>
      <c r="Y78">
        <f t="shared" si="46"/>
        <v>0</v>
      </c>
      <c r="Z78">
        <f t="shared" si="47"/>
        <v>0</v>
      </c>
      <c r="AA78">
        <f t="shared" si="48"/>
        <v>0</v>
      </c>
      <c r="AB78" s="29">
        <f t="shared" si="49"/>
        <v>0.74178816089935007</v>
      </c>
      <c r="AC78" s="25">
        <f t="shared" si="59"/>
        <v>127.49804426656831</v>
      </c>
      <c r="AD78" s="29">
        <f t="shared" si="50"/>
        <v>1.0808524183153847</v>
      </c>
      <c r="AE78" s="25">
        <f t="shared" si="60"/>
        <v>13.243681724743192</v>
      </c>
      <c r="AF78" s="25">
        <f t="shared" si="51"/>
        <v>13.243681724743192</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290.78918279358999</v>
      </c>
      <c r="AH78" s="25">
        <f t="shared" si="70"/>
        <v>0</v>
      </c>
      <c r="AI78" s="25">
        <f t="shared" si="71"/>
        <v>0</v>
      </c>
      <c r="AJ78" s="25">
        <f t="shared" si="72"/>
        <v>0</v>
      </c>
    </row>
    <row r="79" spans="1:36">
      <c r="A79">
        <f t="shared" si="52"/>
        <v>76</v>
      </c>
      <c r="B79">
        <f t="shared" si="61"/>
        <v>3</v>
      </c>
      <c r="C79">
        <f t="shared" si="39"/>
        <v>120</v>
      </c>
      <c r="D79">
        <f t="shared" si="53"/>
        <v>17</v>
      </c>
      <c r="E79">
        <f t="shared" si="73"/>
        <v>2</v>
      </c>
      <c r="F79">
        <f t="shared" si="40"/>
        <v>90</v>
      </c>
      <c r="G79">
        <f t="shared" si="54"/>
        <v>0</v>
      </c>
      <c r="H79">
        <f t="shared" si="62"/>
        <v>2</v>
      </c>
      <c r="I79">
        <f t="shared" si="41"/>
        <v>120</v>
      </c>
      <c r="J79">
        <f t="shared" si="55"/>
        <v>0</v>
      </c>
      <c r="K79">
        <f t="shared" si="63"/>
        <v>2</v>
      </c>
      <c r="L79">
        <f t="shared" si="42"/>
        <v>180</v>
      </c>
      <c r="M79">
        <f t="shared" si="56"/>
        <v>0</v>
      </c>
      <c r="N79">
        <f t="shared" si="64"/>
        <v>2</v>
      </c>
      <c r="O79">
        <f t="shared" si="43"/>
        <v>300</v>
      </c>
      <c r="P79">
        <f t="shared" si="65"/>
        <v>0</v>
      </c>
      <c r="Q79">
        <f t="shared" si="66"/>
        <v>2</v>
      </c>
      <c r="R79">
        <f t="shared" si="44"/>
        <v>300</v>
      </c>
      <c r="S79">
        <f t="shared" si="67"/>
        <v>0</v>
      </c>
      <c r="T79">
        <f t="shared" si="68"/>
        <v>-1</v>
      </c>
      <c r="U79">
        <f t="shared" si="57"/>
        <v>0</v>
      </c>
      <c r="V79">
        <f t="shared" si="58"/>
        <v>1</v>
      </c>
      <c r="W79">
        <f t="shared" si="45"/>
        <v>0</v>
      </c>
      <c r="X79">
        <f t="shared" si="69"/>
        <v>0</v>
      </c>
      <c r="Y79">
        <f t="shared" si="46"/>
        <v>0</v>
      </c>
      <c r="Z79">
        <f t="shared" si="47"/>
        <v>0</v>
      </c>
      <c r="AA79">
        <f t="shared" si="48"/>
        <v>0</v>
      </c>
      <c r="AB79" s="29">
        <f t="shared" si="49"/>
        <v>0.74178816089935007</v>
      </c>
      <c r="AC79" s="25">
        <f t="shared" si="59"/>
        <v>127.49804426656831</v>
      </c>
      <c r="AD79" s="29">
        <f t="shared" si="50"/>
        <v>1.0808524183153847</v>
      </c>
      <c r="AE79" s="25">
        <f t="shared" si="60"/>
        <v>13.243681724743192</v>
      </c>
      <c r="AF79" s="25">
        <f t="shared" si="51"/>
        <v>13.243681724743192</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290.78918279358999</v>
      </c>
      <c r="AH79" s="25">
        <f t="shared" si="70"/>
        <v>0</v>
      </c>
      <c r="AI79" s="25">
        <f t="shared" si="71"/>
        <v>0</v>
      </c>
      <c r="AJ79" s="25">
        <f t="shared" si="72"/>
        <v>0</v>
      </c>
    </row>
    <row r="80" spans="1:36">
      <c r="A80">
        <f t="shared" si="52"/>
        <v>77</v>
      </c>
      <c r="B80">
        <f t="shared" si="61"/>
        <v>3</v>
      </c>
      <c r="C80">
        <f t="shared" si="39"/>
        <v>120</v>
      </c>
      <c r="D80">
        <f t="shared" si="53"/>
        <v>18</v>
      </c>
      <c r="E80">
        <f t="shared" si="73"/>
        <v>2</v>
      </c>
      <c r="F80">
        <f t="shared" si="40"/>
        <v>90</v>
      </c>
      <c r="G80">
        <f t="shared" si="54"/>
        <v>0</v>
      </c>
      <c r="H80">
        <f t="shared" si="62"/>
        <v>2</v>
      </c>
      <c r="I80">
        <f t="shared" si="41"/>
        <v>120</v>
      </c>
      <c r="J80">
        <f t="shared" si="55"/>
        <v>0</v>
      </c>
      <c r="K80">
        <f t="shared" si="63"/>
        <v>2</v>
      </c>
      <c r="L80">
        <f t="shared" si="42"/>
        <v>180</v>
      </c>
      <c r="M80">
        <f t="shared" si="56"/>
        <v>0</v>
      </c>
      <c r="N80">
        <f t="shared" si="64"/>
        <v>2</v>
      </c>
      <c r="O80">
        <f t="shared" si="43"/>
        <v>300</v>
      </c>
      <c r="P80">
        <f t="shared" si="65"/>
        <v>0</v>
      </c>
      <c r="Q80">
        <f t="shared" si="66"/>
        <v>2</v>
      </c>
      <c r="R80">
        <f t="shared" si="44"/>
        <v>300</v>
      </c>
      <c r="S80">
        <f t="shared" si="67"/>
        <v>0</v>
      </c>
      <c r="T80">
        <f t="shared" si="68"/>
        <v>-1</v>
      </c>
      <c r="U80">
        <f t="shared" si="57"/>
        <v>0</v>
      </c>
      <c r="V80">
        <f t="shared" si="58"/>
        <v>1</v>
      </c>
      <c r="W80">
        <f t="shared" si="45"/>
        <v>0</v>
      </c>
      <c r="X80">
        <f t="shared" si="69"/>
        <v>0</v>
      </c>
      <c r="Y80">
        <f t="shared" si="46"/>
        <v>0</v>
      </c>
      <c r="Z80">
        <f t="shared" si="47"/>
        <v>0</v>
      </c>
      <c r="AA80">
        <f t="shared" si="48"/>
        <v>0</v>
      </c>
      <c r="AB80" s="29">
        <f t="shared" si="49"/>
        <v>0.74178816089935007</v>
      </c>
      <c r="AC80" s="25">
        <f t="shared" si="59"/>
        <v>127.49804426656831</v>
      </c>
      <c r="AD80" s="29">
        <f t="shared" si="50"/>
        <v>1.0808524183153847</v>
      </c>
      <c r="AE80" s="25">
        <f t="shared" si="60"/>
        <v>13.243681724743192</v>
      </c>
      <c r="AF80" s="25">
        <f t="shared" si="51"/>
        <v>13.243681724743192</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290.78918279358999</v>
      </c>
      <c r="AH80" s="25">
        <f t="shared" si="70"/>
        <v>0</v>
      </c>
      <c r="AI80" s="25">
        <f t="shared" si="71"/>
        <v>0</v>
      </c>
      <c r="AJ80" s="25">
        <f t="shared" si="72"/>
        <v>0</v>
      </c>
    </row>
    <row r="81" spans="1:36">
      <c r="A81">
        <f t="shared" si="52"/>
        <v>78</v>
      </c>
      <c r="B81">
        <f t="shared" si="61"/>
        <v>3</v>
      </c>
      <c r="C81">
        <f t="shared" si="39"/>
        <v>120</v>
      </c>
      <c r="D81">
        <f t="shared" si="53"/>
        <v>19</v>
      </c>
      <c r="E81">
        <f t="shared" si="73"/>
        <v>2</v>
      </c>
      <c r="F81">
        <f t="shared" si="40"/>
        <v>90</v>
      </c>
      <c r="G81">
        <f t="shared" si="54"/>
        <v>0</v>
      </c>
      <c r="H81">
        <f t="shared" si="62"/>
        <v>2</v>
      </c>
      <c r="I81">
        <f t="shared" si="41"/>
        <v>120</v>
      </c>
      <c r="J81">
        <f t="shared" si="55"/>
        <v>0</v>
      </c>
      <c r="K81">
        <f t="shared" si="63"/>
        <v>2</v>
      </c>
      <c r="L81">
        <f t="shared" si="42"/>
        <v>180</v>
      </c>
      <c r="M81">
        <f t="shared" si="56"/>
        <v>0</v>
      </c>
      <c r="N81">
        <f t="shared" si="64"/>
        <v>2</v>
      </c>
      <c r="O81">
        <f t="shared" si="43"/>
        <v>300</v>
      </c>
      <c r="P81">
        <f t="shared" si="65"/>
        <v>0</v>
      </c>
      <c r="Q81">
        <f t="shared" si="66"/>
        <v>2</v>
      </c>
      <c r="R81">
        <f t="shared" si="44"/>
        <v>300</v>
      </c>
      <c r="S81">
        <f t="shared" si="67"/>
        <v>0</v>
      </c>
      <c r="T81">
        <f t="shared" si="68"/>
        <v>-1</v>
      </c>
      <c r="U81">
        <f t="shared" si="57"/>
        <v>0</v>
      </c>
      <c r="V81">
        <f t="shared" si="58"/>
        <v>1</v>
      </c>
      <c r="W81">
        <f t="shared" si="45"/>
        <v>0</v>
      </c>
      <c r="X81">
        <f t="shared" si="69"/>
        <v>0</v>
      </c>
      <c r="Y81">
        <f t="shared" si="46"/>
        <v>0</v>
      </c>
      <c r="Z81">
        <f t="shared" si="47"/>
        <v>0</v>
      </c>
      <c r="AA81">
        <f t="shared" si="48"/>
        <v>0</v>
      </c>
      <c r="AB81" s="29">
        <f t="shared" si="49"/>
        <v>0.74178816089935007</v>
      </c>
      <c r="AC81" s="25">
        <f t="shared" si="59"/>
        <v>127.49804426656831</v>
      </c>
      <c r="AD81" s="29">
        <f t="shared" si="50"/>
        <v>1.0808524183153847</v>
      </c>
      <c r="AE81" s="25">
        <f t="shared" si="60"/>
        <v>13.243681724743192</v>
      </c>
      <c r="AF81" s="25">
        <f t="shared" si="51"/>
        <v>13.243681724743192</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290.78918279358999</v>
      </c>
      <c r="AH81" s="25">
        <f t="shared" si="70"/>
        <v>0</v>
      </c>
      <c r="AI81" s="25">
        <f t="shared" si="71"/>
        <v>0</v>
      </c>
      <c r="AJ81" s="25">
        <f t="shared" si="72"/>
        <v>0</v>
      </c>
    </row>
    <row r="82" spans="1:36">
      <c r="A82">
        <f t="shared" si="52"/>
        <v>79</v>
      </c>
      <c r="B82">
        <f t="shared" si="61"/>
        <v>3</v>
      </c>
      <c r="C82">
        <f t="shared" si="39"/>
        <v>120</v>
      </c>
      <c r="D82">
        <f t="shared" si="53"/>
        <v>20</v>
      </c>
      <c r="E82">
        <f t="shared" si="73"/>
        <v>2</v>
      </c>
      <c r="F82">
        <f t="shared" si="40"/>
        <v>90</v>
      </c>
      <c r="G82">
        <f t="shared" si="54"/>
        <v>0</v>
      </c>
      <c r="H82">
        <f t="shared" si="62"/>
        <v>2</v>
      </c>
      <c r="I82">
        <f t="shared" si="41"/>
        <v>120</v>
      </c>
      <c r="J82">
        <f t="shared" si="55"/>
        <v>0</v>
      </c>
      <c r="K82">
        <f t="shared" si="63"/>
        <v>2</v>
      </c>
      <c r="L82">
        <f t="shared" si="42"/>
        <v>180</v>
      </c>
      <c r="M82">
        <f t="shared" si="56"/>
        <v>0</v>
      </c>
      <c r="N82">
        <f t="shared" si="64"/>
        <v>2</v>
      </c>
      <c r="O82">
        <f t="shared" si="43"/>
        <v>300</v>
      </c>
      <c r="P82">
        <f t="shared" si="65"/>
        <v>0</v>
      </c>
      <c r="Q82">
        <f t="shared" si="66"/>
        <v>2</v>
      </c>
      <c r="R82">
        <f t="shared" si="44"/>
        <v>300</v>
      </c>
      <c r="S82">
        <f t="shared" si="67"/>
        <v>0</v>
      </c>
      <c r="T82">
        <f t="shared" si="68"/>
        <v>-1</v>
      </c>
      <c r="U82">
        <f t="shared" si="57"/>
        <v>0</v>
      </c>
      <c r="V82">
        <f t="shared" si="58"/>
        <v>1</v>
      </c>
      <c r="W82">
        <f t="shared" si="45"/>
        <v>0</v>
      </c>
      <c r="X82">
        <f t="shared" si="69"/>
        <v>0</v>
      </c>
      <c r="Y82">
        <f t="shared" si="46"/>
        <v>0</v>
      </c>
      <c r="Z82">
        <f t="shared" si="47"/>
        <v>0</v>
      </c>
      <c r="AA82">
        <f t="shared" si="48"/>
        <v>0</v>
      </c>
      <c r="AB82" s="29">
        <f t="shared" si="49"/>
        <v>0.74178816089935007</v>
      </c>
      <c r="AC82" s="25">
        <f t="shared" si="59"/>
        <v>127.49804426656831</v>
      </c>
      <c r="AD82" s="29">
        <f t="shared" si="50"/>
        <v>1.0808524183153847</v>
      </c>
      <c r="AE82" s="25">
        <f t="shared" si="60"/>
        <v>13.243681724743192</v>
      </c>
      <c r="AF82" s="25">
        <f t="shared" si="51"/>
        <v>13.243681724743192</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290.78918279358999</v>
      </c>
      <c r="AH82" s="25">
        <f t="shared" si="70"/>
        <v>0</v>
      </c>
      <c r="AI82" s="25">
        <f t="shared" si="71"/>
        <v>0</v>
      </c>
      <c r="AJ82" s="25">
        <f t="shared" si="72"/>
        <v>0</v>
      </c>
    </row>
    <row r="83" spans="1:36">
      <c r="A83">
        <f t="shared" si="52"/>
        <v>80</v>
      </c>
      <c r="B83">
        <f t="shared" si="61"/>
        <v>3</v>
      </c>
      <c r="C83">
        <f t="shared" si="39"/>
        <v>120</v>
      </c>
      <c r="D83">
        <f t="shared" si="53"/>
        <v>21</v>
      </c>
      <c r="E83">
        <f t="shared" si="73"/>
        <v>2</v>
      </c>
      <c r="F83">
        <f t="shared" si="40"/>
        <v>90</v>
      </c>
      <c r="G83">
        <f t="shared" si="54"/>
        <v>0</v>
      </c>
      <c r="H83">
        <f t="shared" si="62"/>
        <v>2</v>
      </c>
      <c r="I83">
        <f t="shared" si="41"/>
        <v>120</v>
      </c>
      <c r="J83">
        <f t="shared" si="55"/>
        <v>0</v>
      </c>
      <c r="K83">
        <f t="shared" si="63"/>
        <v>2</v>
      </c>
      <c r="L83">
        <f t="shared" si="42"/>
        <v>180</v>
      </c>
      <c r="M83">
        <f t="shared" si="56"/>
        <v>0</v>
      </c>
      <c r="N83">
        <f t="shared" si="64"/>
        <v>2</v>
      </c>
      <c r="O83">
        <f t="shared" si="43"/>
        <v>300</v>
      </c>
      <c r="P83">
        <f t="shared" si="65"/>
        <v>0</v>
      </c>
      <c r="Q83">
        <f t="shared" si="66"/>
        <v>2</v>
      </c>
      <c r="R83">
        <f t="shared" si="44"/>
        <v>300</v>
      </c>
      <c r="S83">
        <f t="shared" si="67"/>
        <v>0</v>
      </c>
      <c r="T83">
        <f t="shared" si="68"/>
        <v>-1</v>
      </c>
      <c r="U83">
        <f t="shared" si="57"/>
        <v>0</v>
      </c>
      <c r="V83">
        <f t="shared" si="58"/>
        <v>1</v>
      </c>
      <c r="W83">
        <f t="shared" si="45"/>
        <v>0</v>
      </c>
      <c r="X83">
        <f t="shared" si="69"/>
        <v>0</v>
      </c>
      <c r="Y83">
        <f t="shared" si="46"/>
        <v>0</v>
      </c>
      <c r="Z83">
        <f t="shared" si="47"/>
        <v>0</v>
      </c>
      <c r="AA83">
        <f t="shared" si="48"/>
        <v>0</v>
      </c>
      <c r="AB83" s="29">
        <f t="shared" si="49"/>
        <v>0.74178816089935007</v>
      </c>
      <c r="AC83" s="25">
        <f t="shared" si="59"/>
        <v>127.49804426656831</v>
      </c>
      <c r="AD83" s="29">
        <f t="shared" si="50"/>
        <v>1.0808524183153847</v>
      </c>
      <c r="AE83" s="25">
        <f t="shared" si="60"/>
        <v>13.243681724743192</v>
      </c>
      <c r="AF83" s="25">
        <f t="shared" si="51"/>
        <v>13.243681724743192</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290.78918279358999</v>
      </c>
      <c r="AH83" s="25">
        <f t="shared" si="70"/>
        <v>0</v>
      </c>
      <c r="AI83" s="25">
        <f t="shared" si="71"/>
        <v>0</v>
      </c>
      <c r="AJ83" s="25">
        <f t="shared" si="72"/>
        <v>0</v>
      </c>
    </row>
    <row r="84" spans="1:36">
      <c r="A84">
        <f t="shared" si="52"/>
        <v>81</v>
      </c>
      <c r="B84">
        <f t="shared" si="61"/>
        <v>3</v>
      </c>
      <c r="C84">
        <f t="shared" si="39"/>
        <v>120</v>
      </c>
      <c r="D84">
        <f t="shared" si="53"/>
        <v>22</v>
      </c>
      <c r="E84">
        <f t="shared" si="73"/>
        <v>2</v>
      </c>
      <c r="F84">
        <f t="shared" si="40"/>
        <v>90</v>
      </c>
      <c r="G84">
        <f t="shared" si="54"/>
        <v>0</v>
      </c>
      <c r="H84">
        <f t="shared" si="62"/>
        <v>2</v>
      </c>
      <c r="I84">
        <f t="shared" si="41"/>
        <v>120</v>
      </c>
      <c r="J84">
        <f t="shared" si="55"/>
        <v>0</v>
      </c>
      <c r="K84">
        <f t="shared" si="63"/>
        <v>2</v>
      </c>
      <c r="L84">
        <f t="shared" si="42"/>
        <v>180</v>
      </c>
      <c r="M84">
        <f t="shared" si="56"/>
        <v>0</v>
      </c>
      <c r="N84">
        <f t="shared" si="64"/>
        <v>2</v>
      </c>
      <c r="O84">
        <f t="shared" si="43"/>
        <v>300</v>
      </c>
      <c r="P84">
        <f t="shared" si="65"/>
        <v>0</v>
      </c>
      <c r="Q84">
        <f t="shared" si="66"/>
        <v>2</v>
      </c>
      <c r="R84">
        <f t="shared" si="44"/>
        <v>300</v>
      </c>
      <c r="S84">
        <f t="shared" si="67"/>
        <v>0</v>
      </c>
      <c r="T84">
        <f t="shared" si="68"/>
        <v>-1</v>
      </c>
      <c r="U84">
        <f t="shared" si="57"/>
        <v>0</v>
      </c>
      <c r="V84">
        <f t="shared" si="58"/>
        <v>1</v>
      </c>
      <c r="W84">
        <f t="shared" si="45"/>
        <v>0</v>
      </c>
      <c r="X84">
        <f t="shared" si="69"/>
        <v>0</v>
      </c>
      <c r="Y84">
        <f t="shared" si="46"/>
        <v>0</v>
      </c>
      <c r="Z84">
        <f t="shared" si="47"/>
        <v>0</v>
      </c>
      <c r="AA84">
        <f t="shared" si="48"/>
        <v>0</v>
      </c>
      <c r="AB84" s="29">
        <f t="shared" si="49"/>
        <v>0.74178816089935007</v>
      </c>
      <c r="AC84" s="25">
        <f t="shared" si="59"/>
        <v>127.49804426656831</v>
      </c>
      <c r="AD84" s="29">
        <f t="shared" si="50"/>
        <v>1.0808524183153847</v>
      </c>
      <c r="AE84" s="25">
        <f t="shared" si="60"/>
        <v>13.243681724743192</v>
      </c>
      <c r="AF84" s="25">
        <f t="shared" si="51"/>
        <v>13.243681724743192</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290.78918279358999</v>
      </c>
      <c r="AH84" s="25">
        <f t="shared" si="70"/>
        <v>0</v>
      </c>
      <c r="AI84" s="25">
        <f t="shared" si="71"/>
        <v>0</v>
      </c>
      <c r="AJ84" s="25">
        <f t="shared" si="72"/>
        <v>0</v>
      </c>
    </row>
    <row r="85" spans="1:36">
      <c r="A85">
        <f t="shared" si="52"/>
        <v>82</v>
      </c>
      <c r="B85">
        <f t="shared" si="61"/>
        <v>3</v>
      </c>
      <c r="C85">
        <f t="shared" si="39"/>
        <v>120</v>
      </c>
      <c r="D85">
        <f t="shared" si="53"/>
        <v>23</v>
      </c>
      <c r="E85">
        <f t="shared" si="73"/>
        <v>2</v>
      </c>
      <c r="F85">
        <f t="shared" si="40"/>
        <v>90</v>
      </c>
      <c r="G85">
        <f t="shared" si="54"/>
        <v>0</v>
      </c>
      <c r="H85">
        <f t="shared" si="62"/>
        <v>2</v>
      </c>
      <c r="I85">
        <f t="shared" si="41"/>
        <v>120</v>
      </c>
      <c r="J85">
        <f t="shared" si="55"/>
        <v>0</v>
      </c>
      <c r="K85">
        <f t="shared" si="63"/>
        <v>2</v>
      </c>
      <c r="L85">
        <f t="shared" si="42"/>
        <v>180</v>
      </c>
      <c r="M85">
        <f t="shared" si="56"/>
        <v>0</v>
      </c>
      <c r="N85">
        <f t="shared" si="64"/>
        <v>2</v>
      </c>
      <c r="O85">
        <f t="shared" si="43"/>
        <v>300</v>
      </c>
      <c r="P85">
        <f t="shared" si="65"/>
        <v>0</v>
      </c>
      <c r="Q85">
        <f t="shared" si="66"/>
        <v>2</v>
      </c>
      <c r="R85">
        <f t="shared" si="44"/>
        <v>300</v>
      </c>
      <c r="S85">
        <f t="shared" si="67"/>
        <v>0</v>
      </c>
      <c r="T85">
        <f t="shared" si="68"/>
        <v>-1</v>
      </c>
      <c r="U85">
        <f t="shared" si="57"/>
        <v>0</v>
      </c>
      <c r="V85">
        <f t="shared" si="58"/>
        <v>1</v>
      </c>
      <c r="W85">
        <f t="shared" si="45"/>
        <v>0</v>
      </c>
      <c r="X85">
        <f t="shared" si="69"/>
        <v>0</v>
      </c>
      <c r="Y85">
        <f t="shared" si="46"/>
        <v>0</v>
      </c>
      <c r="Z85">
        <f t="shared" si="47"/>
        <v>0</v>
      </c>
      <c r="AA85">
        <f t="shared" si="48"/>
        <v>0</v>
      </c>
      <c r="AB85" s="29">
        <f t="shared" si="49"/>
        <v>0.74178816089935007</v>
      </c>
      <c r="AC85" s="25">
        <f t="shared" si="59"/>
        <v>127.49804426656831</v>
      </c>
      <c r="AD85" s="29">
        <f t="shared" si="50"/>
        <v>1.0808524183153847</v>
      </c>
      <c r="AE85" s="25">
        <f t="shared" si="60"/>
        <v>13.243681724743192</v>
      </c>
      <c r="AF85" s="25">
        <f t="shared" si="51"/>
        <v>13.243681724743192</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290.78918279358999</v>
      </c>
      <c r="AH85" s="25">
        <f t="shared" si="70"/>
        <v>0</v>
      </c>
      <c r="AI85" s="25">
        <f t="shared" si="71"/>
        <v>0</v>
      </c>
      <c r="AJ85" s="25">
        <f t="shared" si="72"/>
        <v>0</v>
      </c>
    </row>
    <row r="86" spans="1:36">
      <c r="A86">
        <f t="shared" si="52"/>
        <v>83</v>
      </c>
      <c r="B86">
        <f t="shared" si="61"/>
        <v>3</v>
      </c>
      <c r="C86">
        <f t="shared" si="39"/>
        <v>120</v>
      </c>
      <c r="D86">
        <f t="shared" si="53"/>
        <v>24</v>
      </c>
      <c r="E86">
        <f t="shared" si="73"/>
        <v>2</v>
      </c>
      <c r="F86">
        <f t="shared" si="40"/>
        <v>90</v>
      </c>
      <c r="G86">
        <f t="shared" si="54"/>
        <v>0</v>
      </c>
      <c r="H86">
        <f t="shared" si="62"/>
        <v>2</v>
      </c>
      <c r="I86">
        <f t="shared" si="41"/>
        <v>120</v>
      </c>
      <c r="J86">
        <f t="shared" si="55"/>
        <v>0</v>
      </c>
      <c r="K86">
        <f t="shared" si="63"/>
        <v>2</v>
      </c>
      <c r="L86">
        <f t="shared" si="42"/>
        <v>180</v>
      </c>
      <c r="M86">
        <f t="shared" si="56"/>
        <v>0</v>
      </c>
      <c r="N86">
        <f t="shared" si="64"/>
        <v>2</v>
      </c>
      <c r="O86">
        <f t="shared" si="43"/>
        <v>300</v>
      </c>
      <c r="P86">
        <f t="shared" si="65"/>
        <v>0</v>
      </c>
      <c r="Q86">
        <f t="shared" si="66"/>
        <v>2</v>
      </c>
      <c r="R86">
        <f t="shared" si="44"/>
        <v>300</v>
      </c>
      <c r="S86">
        <f t="shared" si="67"/>
        <v>0</v>
      </c>
      <c r="T86">
        <f t="shared" si="68"/>
        <v>-1</v>
      </c>
      <c r="U86">
        <f t="shared" si="57"/>
        <v>0</v>
      </c>
      <c r="V86">
        <f t="shared" si="58"/>
        <v>1</v>
      </c>
      <c r="W86">
        <f t="shared" si="45"/>
        <v>0</v>
      </c>
      <c r="X86">
        <f t="shared" si="69"/>
        <v>0</v>
      </c>
      <c r="Y86">
        <f t="shared" si="46"/>
        <v>0</v>
      </c>
      <c r="Z86">
        <f t="shared" si="47"/>
        <v>0</v>
      </c>
      <c r="AA86">
        <f t="shared" si="48"/>
        <v>0</v>
      </c>
      <c r="AB86" s="29">
        <f t="shared" si="49"/>
        <v>0.74178816089935007</v>
      </c>
      <c r="AC86" s="25">
        <f t="shared" si="59"/>
        <v>127.49804426656831</v>
      </c>
      <c r="AD86" s="29">
        <f t="shared" si="50"/>
        <v>1.0808524183153847</v>
      </c>
      <c r="AE86" s="25">
        <f t="shared" si="60"/>
        <v>13.243681724743192</v>
      </c>
      <c r="AF86" s="25">
        <f t="shared" si="51"/>
        <v>13.243681724743192</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290.78918279358999</v>
      </c>
      <c r="AH86" s="25">
        <f t="shared" si="70"/>
        <v>0</v>
      </c>
      <c r="AI86" s="25">
        <f t="shared" si="71"/>
        <v>0</v>
      </c>
      <c r="AJ86" s="25">
        <f t="shared" si="72"/>
        <v>0</v>
      </c>
    </row>
    <row r="87" spans="1:36">
      <c r="A87">
        <f t="shared" si="52"/>
        <v>84</v>
      </c>
      <c r="B87">
        <f t="shared" si="61"/>
        <v>3</v>
      </c>
      <c r="C87">
        <f t="shared" si="39"/>
        <v>120</v>
      </c>
      <c r="D87">
        <f t="shared" si="53"/>
        <v>25</v>
      </c>
      <c r="E87">
        <f t="shared" si="73"/>
        <v>2</v>
      </c>
      <c r="F87">
        <f t="shared" si="40"/>
        <v>90</v>
      </c>
      <c r="G87">
        <f t="shared" si="54"/>
        <v>0</v>
      </c>
      <c r="H87">
        <f t="shared" si="62"/>
        <v>2</v>
      </c>
      <c r="I87">
        <f t="shared" si="41"/>
        <v>120</v>
      </c>
      <c r="J87">
        <f t="shared" si="55"/>
        <v>0</v>
      </c>
      <c r="K87">
        <f t="shared" si="63"/>
        <v>2</v>
      </c>
      <c r="L87">
        <f t="shared" si="42"/>
        <v>180</v>
      </c>
      <c r="M87">
        <f t="shared" si="56"/>
        <v>0</v>
      </c>
      <c r="N87">
        <f t="shared" si="64"/>
        <v>2</v>
      </c>
      <c r="O87">
        <f t="shared" si="43"/>
        <v>300</v>
      </c>
      <c r="P87">
        <f t="shared" si="65"/>
        <v>0</v>
      </c>
      <c r="Q87">
        <f t="shared" si="66"/>
        <v>2</v>
      </c>
      <c r="R87">
        <f t="shared" si="44"/>
        <v>300</v>
      </c>
      <c r="S87">
        <f t="shared" si="67"/>
        <v>0</v>
      </c>
      <c r="T87">
        <f t="shared" si="68"/>
        <v>-1</v>
      </c>
      <c r="U87">
        <f t="shared" si="57"/>
        <v>0</v>
      </c>
      <c r="V87">
        <f t="shared" si="58"/>
        <v>1</v>
      </c>
      <c r="W87">
        <f t="shared" si="45"/>
        <v>0</v>
      </c>
      <c r="X87">
        <f t="shared" si="69"/>
        <v>0</v>
      </c>
      <c r="Y87">
        <f t="shared" si="46"/>
        <v>0</v>
      </c>
      <c r="Z87">
        <f t="shared" si="47"/>
        <v>0</v>
      </c>
      <c r="AA87">
        <f t="shared" si="48"/>
        <v>0</v>
      </c>
      <c r="AB87" s="29">
        <f t="shared" si="49"/>
        <v>0.74178816089935007</v>
      </c>
      <c r="AC87" s="25">
        <f t="shared" si="59"/>
        <v>127.49804426656831</v>
      </c>
      <c r="AD87" s="29">
        <f t="shared" si="50"/>
        <v>1.0808524183153847</v>
      </c>
      <c r="AE87" s="25">
        <f t="shared" si="60"/>
        <v>13.243681724743192</v>
      </c>
      <c r="AF87" s="25">
        <f t="shared" si="51"/>
        <v>13.243681724743192</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290.78918279358999</v>
      </c>
      <c r="AH87" s="25">
        <f t="shared" si="70"/>
        <v>0</v>
      </c>
      <c r="AI87" s="25">
        <f t="shared" si="71"/>
        <v>0</v>
      </c>
      <c r="AJ87" s="25">
        <f t="shared" si="72"/>
        <v>0</v>
      </c>
    </row>
    <row r="88" spans="1:36">
      <c r="A88">
        <f t="shared" si="52"/>
        <v>85</v>
      </c>
      <c r="B88">
        <f t="shared" si="61"/>
        <v>3</v>
      </c>
      <c r="C88">
        <f t="shared" si="39"/>
        <v>120</v>
      </c>
      <c r="D88">
        <f t="shared" si="53"/>
        <v>26</v>
      </c>
      <c r="E88">
        <f t="shared" si="73"/>
        <v>2</v>
      </c>
      <c r="F88">
        <f t="shared" si="40"/>
        <v>90</v>
      </c>
      <c r="G88">
        <f t="shared" si="54"/>
        <v>0</v>
      </c>
      <c r="H88">
        <f t="shared" si="62"/>
        <v>2</v>
      </c>
      <c r="I88">
        <f t="shared" si="41"/>
        <v>120</v>
      </c>
      <c r="J88">
        <f t="shared" si="55"/>
        <v>0</v>
      </c>
      <c r="K88">
        <f t="shared" si="63"/>
        <v>2</v>
      </c>
      <c r="L88">
        <f t="shared" si="42"/>
        <v>180</v>
      </c>
      <c r="M88">
        <f t="shared" si="56"/>
        <v>0</v>
      </c>
      <c r="N88">
        <f t="shared" si="64"/>
        <v>2</v>
      </c>
      <c r="O88">
        <f t="shared" si="43"/>
        <v>300</v>
      </c>
      <c r="P88">
        <f t="shared" si="65"/>
        <v>0</v>
      </c>
      <c r="Q88">
        <f t="shared" si="66"/>
        <v>2</v>
      </c>
      <c r="R88">
        <f t="shared" si="44"/>
        <v>300</v>
      </c>
      <c r="S88">
        <f t="shared" si="67"/>
        <v>0</v>
      </c>
      <c r="T88">
        <f t="shared" si="68"/>
        <v>-1</v>
      </c>
      <c r="U88">
        <f t="shared" si="57"/>
        <v>0</v>
      </c>
      <c r="V88">
        <f t="shared" si="58"/>
        <v>1</v>
      </c>
      <c r="W88">
        <f t="shared" si="45"/>
        <v>0</v>
      </c>
      <c r="X88">
        <f t="shared" si="69"/>
        <v>0</v>
      </c>
      <c r="Y88">
        <f t="shared" si="46"/>
        <v>0</v>
      </c>
      <c r="Z88">
        <f t="shared" si="47"/>
        <v>0</v>
      </c>
      <c r="AA88">
        <f t="shared" si="48"/>
        <v>0</v>
      </c>
      <c r="AB88" s="29">
        <f t="shared" si="49"/>
        <v>0.74178816089935007</v>
      </c>
      <c r="AC88" s="25">
        <f t="shared" si="59"/>
        <v>127.49804426656831</v>
      </c>
      <c r="AD88" s="29">
        <f t="shared" si="50"/>
        <v>1.0808524183153847</v>
      </c>
      <c r="AE88" s="25">
        <f t="shared" si="60"/>
        <v>13.243681724743192</v>
      </c>
      <c r="AF88" s="25">
        <f t="shared" si="51"/>
        <v>13.243681724743192</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290.78918279358999</v>
      </c>
      <c r="AH88" s="25">
        <f t="shared" si="70"/>
        <v>0</v>
      </c>
      <c r="AI88" s="25">
        <f t="shared" si="71"/>
        <v>0</v>
      </c>
      <c r="AJ88" s="25">
        <f t="shared" si="72"/>
        <v>0</v>
      </c>
    </row>
    <row r="89" spans="1:36">
      <c r="A89">
        <f t="shared" si="52"/>
        <v>86</v>
      </c>
      <c r="B89">
        <f t="shared" si="61"/>
        <v>3</v>
      </c>
      <c r="C89">
        <f t="shared" si="39"/>
        <v>120</v>
      </c>
      <c r="D89">
        <f t="shared" si="53"/>
        <v>27</v>
      </c>
      <c r="E89">
        <f t="shared" si="73"/>
        <v>2</v>
      </c>
      <c r="F89">
        <f t="shared" si="40"/>
        <v>90</v>
      </c>
      <c r="G89">
        <f t="shared" si="54"/>
        <v>0</v>
      </c>
      <c r="H89">
        <f t="shared" si="62"/>
        <v>2</v>
      </c>
      <c r="I89">
        <f t="shared" si="41"/>
        <v>120</v>
      </c>
      <c r="J89">
        <f t="shared" si="55"/>
        <v>0</v>
      </c>
      <c r="K89">
        <f t="shared" si="63"/>
        <v>2</v>
      </c>
      <c r="L89">
        <f t="shared" si="42"/>
        <v>180</v>
      </c>
      <c r="M89">
        <f t="shared" si="56"/>
        <v>0</v>
      </c>
      <c r="N89">
        <f t="shared" si="64"/>
        <v>2</v>
      </c>
      <c r="O89">
        <f t="shared" si="43"/>
        <v>300</v>
      </c>
      <c r="P89">
        <f t="shared" si="65"/>
        <v>0</v>
      </c>
      <c r="Q89">
        <f t="shared" si="66"/>
        <v>2</v>
      </c>
      <c r="R89">
        <f t="shared" si="44"/>
        <v>300</v>
      </c>
      <c r="S89">
        <f t="shared" si="67"/>
        <v>0</v>
      </c>
      <c r="T89">
        <f t="shared" si="68"/>
        <v>-1</v>
      </c>
      <c r="U89">
        <f t="shared" si="57"/>
        <v>0</v>
      </c>
      <c r="V89">
        <f t="shared" si="58"/>
        <v>1</v>
      </c>
      <c r="W89">
        <f t="shared" si="45"/>
        <v>0</v>
      </c>
      <c r="X89">
        <f t="shared" si="69"/>
        <v>0</v>
      </c>
      <c r="Y89">
        <f t="shared" si="46"/>
        <v>0</v>
      </c>
      <c r="Z89">
        <f t="shared" si="47"/>
        <v>0</v>
      </c>
      <c r="AA89">
        <f t="shared" si="48"/>
        <v>0</v>
      </c>
      <c r="AB89" s="29">
        <f t="shared" si="49"/>
        <v>0.74178816089935007</v>
      </c>
      <c r="AC89" s="25">
        <f t="shared" si="59"/>
        <v>127.49804426656831</v>
      </c>
      <c r="AD89" s="29">
        <f t="shared" si="50"/>
        <v>1.0808524183153847</v>
      </c>
      <c r="AE89" s="25">
        <f t="shared" si="60"/>
        <v>13.243681724743192</v>
      </c>
      <c r="AF89" s="25">
        <f t="shared" si="51"/>
        <v>13.243681724743192</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290.78918279358999</v>
      </c>
      <c r="AH89" s="25">
        <f t="shared" si="70"/>
        <v>0</v>
      </c>
      <c r="AI89" s="25">
        <f t="shared" si="71"/>
        <v>0</v>
      </c>
      <c r="AJ89" s="25">
        <f t="shared" si="72"/>
        <v>0</v>
      </c>
    </row>
    <row r="90" spans="1:36">
      <c r="A90">
        <f t="shared" si="52"/>
        <v>87</v>
      </c>
      <c r="B90">
        <f t="shared" si="61"/>
        <v>3</v>
      </c>
      <c r="C90">
        <f t="shared" si="39"/>
        <v>120</v>
      </c>
      <c r="D90">
        <f t="shared" si="53"/>
        <v>28</v>
      </c>
      <c r="E90">
        <f t="shared" si="73"/>
        <v>2</v>
      </c>
      <c r="F90">
        <f t="shared" si="40"/>
        <v>90</v>
      </c>
      <c r="G90">
        <f t="shared" si="54"/>
        <v>0</v>
      </c>
      <c r="H90">
        <f t="shared" si="62"/>
        <v>2</v>
      </c>
      <c r="I90">
        <f t="shared" si="41"/>
        <v>120</v>
      </c>
      <c r="J90">
        <f t="shared" si="55"/>
        <v>0</v>
      </c>
      <c r="K90">
        <f t="shared" si="63"/>
        <v>2</v>
      </c>
      <c r="L90">
        <f t="shared" si="42"/>
        <v>180</v>
      </c>
      <c r="M90">
        <f t="shared" si="56"/>
        <v>0</v>
      </c>
      <c r="N90">
        <f t="shared" si="64"/>
        <v>2</v>
      </c>
      <c r="O90">
        <f t="shared" si="43"/>
        <v>300</v>
      </c>
      <c r="P90">
        <f t="shared" si="65"/>
        <v>0</v>
      </c>
      <c r="Q90">
        <f t="shared" si="66"/>
        <v>2</v>
      </c>
      <c r="R90">
        <f t="shared" si="44"/>
        <v>300</v>
      </c>
      <c r="S90">
        <f t="shared" si="67"/>
        <v>0</v>
      </c>
      <c r="T90">
        <f t="shared" si="68"/>
        <v>-1</v>
      </c>
      <c r="U90">
        <f t="shared" si="57"/>
        <v>0</v>
      </c>
      <c r="V90">
        <f t="shared" si="58"/>
        <v>1</v>
      </c>
      <c r="W90">
        <f t="shared" si="45"/>
        <v>0</v>
      </c>
      <c r="X90">
        <f t="shared" si="69"/>
        <v>0</v>
      </c>
      <c r="Y90">
        <f t="shared" si="46"/>
        <v>0</v>
      </c>
      <c r="Z90">
        <f t="shared" si="47"/>
        <v>0</v>
      </c>
      <c r="AA90">
        <f t="shared" si="48"/>
        <v>0</v>
      </c>
      <c r="AB90" s="29">
        <f t="shared" si="49"/>
        <v>0.74178816089935007</v>
      </c>
      <c r="AC90" s="25">
        <f t="shared" si="59"/>
        <v>127.49804426656831</v>
      </c>
      <c r="AD90" s="29">
        <f t="shared" si="50"/>
        <v>1.0808524183153847</v>
      </c>
      <c r="AE90" s="25">
        <f t="shared" si="60"/>
        <v>13.243681724743192</v>
      </c>
      <c r="AF90" s="25">
        <f t="shared" si="51"/>
        <v>13.243681724743192</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290.78918279358999</v>
      </c>
      <c r="AH90" s="25">
        <f t="shared" si="70"/>
        <v>0</v>
      </c>
      <c r="AI90" s="25">
        <f t="shared" si="71"/>
        <v>0</v>
      </c>
      <c r="AJ90" s="25">
        <f t="shared" si="72"/>
        <v>0</v>
      </c>
    </row>
    <row r="91" spans="1:36">
      <c r="A91">
        <f t="shared" si="52"/>
        <v>88</v>
      </c>
      <c r="B91">
        <f t="shared" si="61"/>
        <v>3</v>
      </c>
      <c r="C91">
        <f t="shared" si="39"/>
        <v>120</v>
      </c>
      <c r="D91">
        <f t="shared" si="53"/>
        <v>29</v>
      </c>
      <c r="E91">
        <f t="shared" si="73"/>
        <v>2</v>
      </c>
      <c r="F91">
        <f t="shared" si="40"/>
        <v>90</v>
      </c>
      <c r="G91">
        <f t="shared" si="54"/>
        <v>0</v>
      </c>
      <c r="H91">
        <f t="shared" si="62"/>
        <v>2</v>
      </c>
      <c r="I91">
        <f t="shared" si="41"/>
        <v>120</v>
      </c>
      <c r="J91">
        <f t="shared" si="55"/>
        <v>0</v>
      </c>
      <c r="K91">
        <f t="shared" si="63"/>
        <v>2</v>
      </c>
      <c r="L91">
        <f t="shared" si="42"/>
        <v>180</v>
      </c>
      <c r="M91">
        <f t="shared" si="56"/>
        <v>0</v>
      </c>
      <c r="N91">
        <f t="shared" si="64"/>
        <v>2</v>
      </c>
      <c r="O91">
        <f t="shared" si="43"/>
        <v>300</v>
      </c>
      <c r="P91">
        <f t="shared" si="65"/>
        <v>0</v>
      </c>
      <c r="Q91">
        <f t="shared" si="66"/>
        <v>2</v>
      </c>
      <c r="R91">
        <f t="shared" si="44"/>
        <v>300</v>
      </c>
      <c r="S91">
        <f t="shared" si="67"/>
        <v>0</v>
      </c>
      <c r="T91">
        <f t="shared" si="68"/>
        <v>-1</v>
      </c>
      <c r="U91">
        <f t="shared" si="57"/>
        <v>0</v>
      </c>
      <c r="V91">
        <f t="shared" si="58"/>
        <v>1</v>
      </c>
      <c r="W91">
        <f t="shared" si="45"/>
        <v>0</v>
      </c>
      <c r="X91">
        <f t="shared" si="69"/>
        <v>0</v>
      </c>
      <c r="Y91">
        <f t="shared" si="46"/>
        <v>0</v>
      </c>
      <c r="Z91">
        <f t="shared" si="47"/>
        <v>0</v>
      </c>
      <c r="AA91">
        <f t="shared" si="48"/>
        <v>0</v>
      </c>
      <c r="AB91" s="29">
        <f t="shared" si="49"/>
        <v>0.74178816089935007</v>
      </c>
      <c r="AC91" s="25">
        <f t="shared" si="59"/>
        <v>127.49804426656831</v>
      </c>
      <c r="AD91" s="29">
        <f t="shared" si="50"/>
        <v>1.0808524183153847</v>
      </c>
      <c r="AE91" s="25">
        <f t="shared" si="60"/>
        <v>13.243681724743192</v>
      </c>
      <c r="AF91" s="25">
        <f t="shared" si="51"/>
        <v>13.243681724743192</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290.78918279358999</v>
      </c>
      <c r="AH91" s="25">
        <f t="shared" si="70"/>
        <v>0</v>
      </c>
      <c r="AI91" s="25">
        <f t="shared" si="71"/>
        <v>0</v>
      </c>
      <c r="AJ91" s="25">
        <f t="shared" si="72"/>
        <v>0</v>
      </c>
    </row>
    <row r="92" spans="1:36">
      <c r="A92">
        <f t="shared" si="52"/>
        <v>89</v>
      </c>
      <c r="B92">
        <f t="shared" si="61"/>
        <v>3</v>
      </c>
      <c r="C92">
        <f t="shared" si="39"/>
        <v>120</v>
      </c>
      <c r="D92">
        <f t="shared" si="53"/>
        <v>30</v>
      </c>
      <c r="E92">
        <f t="shared" si="73"/>
        <v>2</v>
      </c>
      <c r="F92">
        <f t="shared" si="40"/>
        <v>90</v>
      </c>
      <c r="G92">
        <f t="shared" si="54"/>
        <v>0</v>
      </c>
      <c r="H92">
        <f t="shared" si="62"/>
        <v>2</v>
      </c>
      <c r="I92">
        <f t="shared" si="41"/>
        <v>120</v>
      </c>
      <c r="J92">
        <f t="shared" si="55"/>
        <v>0</v>
      </c>
      <c r="K92">
        <f t="shared" si="63"/>
        <v>2</v>
      </c>
      <c r="L92">
        <f t="shared" si="42"/>
        <v>180</v>
      </c>
      <c r="M92">
        <f t="shared" si="56"/>
        <v>0</v>
      </c>
      <c r="N92">
        <f t="shared" si="64"/>
        <v>2</v>
      </c>
      <c r="O92">
        <f t="shared" si="43"/>
        <v>300</v>
      </c>
      <c r="P92">
        <f t="shared" si="65"/>
        <v>0</v>
      </c>
      <c r="Q92">
        <f t="shared" si="66"/>
        <v>2</v>
      </c>
      <c r="R92">
        <f t="shared" si="44"/>
        <v>300</v>
      </c>
      <c r="S92">
        <f t="shared" si="67"/>
        <v>0</v>
      </c>
      <c r="T92">
        <f t="shared" si="68"/>
        <v>-1</v>
      </c>
      <c r="U92">
        <f t="shared" si="57"/>
        <v>0</v>
      </c>
      <c r="V92">
        <f t="shared" si="58"/>
        <v>1</v>
      </c>
      <c r="W92">
        <f t="shared" si="45"/>
        <v>0</v>
      </c>
      <c r="X92">
        <f t="shared" si="69"/>
        <v>0</v>
      </c>
      <c r="Y92">
        <f t="shared" si="46"/>
        <v>0</v>
      </c>
      <c r="Z92">
        <f t="shared" si="47"/>
        <v>0</v>
      </c>
      <c r="AA92">
        <f t="shared" si="48"/>
        <v>0</v>
      </c>
      <c r="AB92" s="29">
        <f t="shared" si="49"/>
        <v>0.74178816089935007</v>
      </c>
      <c r="AC92" s="25">
        <f t="shared" si="59"/>
        <v>127.49804426656831</v>
      </c>
      <c r="AD92" s="29">
        <f t="shared" si="50"/>
        <v>1.0808524183153847</v>
      </c>
      <c r="AE92" s="25">
        <f t="shared" si="60"/>
        <v>13.243681724743192</v>
      </c>
      <c r="AF92" s="25">
        <f t="shared" si="51"/>
        <v>13.243681724743192</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290.78918279358999</v>
      </c>
      <c r="AH92" s="25">
        <f t="shared" si="70"/>
        <v>0</v>
      </c>
      <c r="AI92" s="25">
        <f t="shared" si="71"/>
        <v>0</v>
      </c>
      <c r="AJ92" s="25">
        <f t="shared" si="72"/>
        <v>0</v>
      </c>
    </row>
    <row r="93" spans="1:36">
      <c r="A93">
        <f t="shared" si="52"/>
        <v>90</v>
      </c>
      <c r="B93">
        <f t="shared" si="61"/>
        <v>3</v>
      </c>
      <c r="C93">
        <f t="shared" si="39"/>
        <v>120</v>
      </c>
      <c r="D93">
        <f t="shared" si="53"/>
        <v>0</v>
      </c>
      <c r="E93">
        <f t="shared" si="73"/>
        <v>2</v>
      </c>
      <c r="F93">
        <f t="shared" si="40"/>
        <v>90</v>
      </c>
      <c r="G93">
        <f t="shared" si="54"/>
        <v>1</v>
      </c>
      <c r="H93">
        <f t="shared" si="62"/>
        <v>2</v>
      </c>
      <c r="I93">
        <f t="shared" si="41"/>
        <v>120</v>
      </c>
      <c r="J93">
        <f t="shared" si="55"/>
        <v>0</v>
      </c>
      <c r="K93">
        <f t="shared" si="63"/>
        <v>2</v>
      </c>
      <c r="L93">
        <f t="shared" si="42"/>
        <v>180</v>
      </c>
      <c r="M93">
        <f t="shared" si="56"/>
        <v>0</v>
      </c>
      <c r="N93">
        <f t="shared" si="64"/>
        <v>2</v>
      </c>
      <c r="O93">
        <f t="shared" si="43"/>
        <v>300</v>
      </c>
      <c r="P93">
        <f t="shared" si="65"/>
        <v>0</v>
      </c>
      <c r="Q93">
        <f t="shared" si="66"/>
        <v>2</v>
      </c>
      <c r="R93">
        <f t="shared" si="44"/>
        <v>300</v>
      </c>
      <c r="S93">
        <f t="shared" si="67"/>
        <v>0</v>
      </c>
      <c r="T93">
        <f t="shared" si="68"/>
        <v>-1</v>
      </c>
      <c r="U93">
        <f t="shared" si="57"/>
        <v>0</v>
      </c>
      <c r="V93">
        <f t="shared" si="58"/>
        <v>1</v>
      </c>
      <c r="W93">
        <f t="shared" si="45"/>
        <v>0</v>
      </c>
      <c r="X93">
        <f t="shared" si="69"/>
        <v>0</v>
      </c>
      <c r="Y93">
        <f t="shared" si="46"/>
        <v>0</v>
      </c>
      <c r="Z93">
        <f t="shared" si="47"/>
        <v>0</v>
      </c>
      <c r="AA93">
        <f t="shared" si="48"/>
        <v>0</v>
      </c>
      <c r="AB93" s="29">
        <f t="shared" si="49"/>
        <v>0.74178816089935007</v>
      </c>
      <c r="AC93" s="25">
        <f t="shared" si="59"/>
        <v>127.49804426656831</v>
      </c>
      <c r="AD93" s="29">
        <f t="shared" si="50"/>
        <v>1.0808524183153847</v>
      </c>
      <c r="AE93" s="25">
        <f t="shared" si="60"/>
        <v>13.243681724743192</v>
      </c>
      <c r="AF93" s="25">
        <f t="shared" si="51"/>
        <v>13.243681724743192</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290.78918279358999</v>
      </c>
      <c r="AH93" s="25">
        <f t="shared" si="70"/>
        <v>0</v>
      </c>
      <c r="AI93" s="25">
        <f t="shared" si="71"/>
        <v>0</v>
      </c>
      <c r="AJ93" s="25">
        <f t="shared" si="72"/>
        <v>0</v>
      </c>
    </row>
    <row r="94" spans="1:36">
      <c r="A94">
        <f t="shared" si="52"/>
        <v>91</v>
      </c>
      <c r="B94">
        <f t="shared" si="61"/>
        <v>3</v>
      </c>
      <c r="C94">
        <f t="shared" si="39"/>
        <v>120</v>
      </c>
      <c r="D94">
        <f t="shared" si="53"/>
        <v>0</v>
      </c>
      <c r="E94">
        <f t="shared" si="73"/>
        <v>3</v>
      </c>
      <c r="F94">
        <f t="shared" si="40"/>
        <v>180</v>
      </c>
      <c r="G94">
        <f t="shared" si="54"/>
        <v>2</v>
      </c>
      <c r="H94">
        <f t="shared" si="62"/>
        <v>2</v>
      </c>
      <c r="I94">
        <f t="shared" si="41"/>
        <v>120</v>
      </c>
      <c r="J94">
        <f t="shared" si="55"/>
        <v>0</v>
      </c>
      <c r="K94">
        <f t="shared" si="63"/>
        <v>2</v>
      </c>
      <c r="L94">
        <f t="shared" si="42"/>
        <v>180</v>
      </c>
      <c r="M94">
        <f t="shared" si="56"/>
        <v>0</v>
      </c>
      <c r="N94">
        <f t="shared" si="64"/>
        <v>2</v>
      </c>
      <c r="O94">
        <f t="shared" si="43"/>
        <v>300</v>
      </c>
      <c r="P94">
        <f t="shared" si="65"/>
        <v>0</v>
      </c>
      <c r="Q94">
        <f t="shared" si="66"/>
        <v>2</v>
      </c>
      <c r="R94">
        <f t="shared" si="44"/>
        <v>300</v>
      </c>
      <c r="S94">
        <f t="shared" si="67"/>
        <v>0</v>
      </c>
      <c r="T94">
        <f t="shared" si="68"/>
        <v>-1</v>
      </c>
      <c r="U94">
        <f t="shared" si="57"/>
        <v>0</v>
      </c>
      <c r="V94">
        <f t="shared" si="58"/>
        <v>1</v>
      </c>
      <c r="W94">
        <f t="shared" si="45"/>
        <v>0</v>
      </c>
      <c r="X94">
        <f t="shared" si="69"/>
        <v>0</v>
      </c>
      <c r="Y94">
        <f t="shared" si="46"/>
        <v>0</v>
      </c>
      <c r="Z94">
        <f t="shared" si="47"/>
        <v>0</v>
      </c>
      <c r="AA94">
        <f t="shared" si="48"/>
        <v>0</v>
      </c>
      <c r="AB94" s="29">
        <f t="shared" si="49"/>
        <v>0.74178816089935007</v>
      </c>
      <c r="AC94" s="25">
        <f t="shared" si="59"/>
        <v>127.49804426656831</v>
      </c>
      <c r="AD94" s="29">
        <f t="shared" si="50"/>
        <v>1.0808524183153847</v>
      </c>
      <c r="AE94" s="25">
        <f t="shared" si="60"/>
        <v>13.243681724743192</v>
      </c>
      <c r="AF94" s="25">
        <f t="shared" si="51"/>
        <v>13.243681724743192</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290.78918279358999</v>
      </c>
      <c r="AH94" s="25">
        <f t="shared" si="70"/>
        <v>0</v>
      </c>
      <c r="AI94" s="25">
        <f t="shared" si="71"/>
        <v>0</v>
      </c>
      <c r="AJ94" s="25">
        <f t="shared" si="72"/>
        <v>0</v>
      </c>
    </row>
    <row r="95" spans="1:36">
      <c r="A95">
        <f t="shared" si="52"/>
        <v>92</v>
      </c>
      <c r="B95">
        <f t="shared" si="61"/>
        <v>3</v>
      </c>
      <c r="C95">
        <f t="shared" si="39"/>
        <v>120</v>
      </c>
      <c r="D95">
        <f t="shared" si="53"/>
        <v>0</v>
      </c>
      <c r="E95">
        <f t="shared" si="73"/>
        <v>3</v>
      </c>
      <c r="F95">
        <f t="shared" si="40"/>
        <v>180</v>
      </c>
      <c r="G95">
        <f t="shared" si="54"/>
        <v>3</v>
      </c>
      <c r="H95">
        <f t="shared" si="62"/>
        <v>2</v>
      </c>
      <c r="I95">
        <f t="shared" si="41"/>
        <v>120</v>
      </c>
      <c r="J95">
        <f t="shared" si="55"/>
        <v>0</v>
      </c>
      <c r="K95">
        <f t="shared" si="63"/>
        <v>2</v>
      </c>
      <c r="L95">
        <f t="shared" si="42"/>
        <v>180</v>
      </c>
      <c r="M95">
        <f t="shared" si="56"/>
        <v>0</v>
      </c>
      <c r="N95">
        <f t="shared" si="64"/>
        <v>2</v>
      </c>
      <c r="O95">
        <f t="shared" si="43"/>
        <v>300</v>
      </c>
      <c r="P95">
        <f t="shared" si="65"/>
        <v>0</v>
      </c>
      <c r="Q95">
        <f t="shared" si="66"/>
        <v>2</v>
      </c>
      <c r="R95">
        <f t="shared" si="44"/>
        <v>300</v>
      </c>
      <c r="S95">
        <f t="shared" si="67"/>
        <v>0</v>
      </c>
      <c r="T95">
        <f t="shared" si="68"/>
        <v>-1</v>
      </c>
      <c r="U95">
        <f t="shared" si="57"/>
        <v>0</v>
      </c>
      <c r="V95">
        <f t="shared" si="58"/>
        <v>1</v>
      </c>
      <c r="W95">
        <f t="shared" si="45"/>
        <v>0</v>
      </c>
      <c r="X95">
        <f t="shared" si="69"/>
        <v>0</v>
      </c>
      <c r="Y95">
        <f t="shared" si="46"/>
        <v>0</v>
      </c>
      <c r="Z95">
        <f t="shared" si="47"/>
        <v>0</v>
      </c>
      <c r="AA95">
        <f t="shared" si="48"/>
        <v>0</v>
      </c>
      <c r="AB95" s="29">
        <f t="shared" si="49"/>
        <v>0.74178816089935007</v>
      </c>
      <c r="AC95" s="25">
        <f t="shared" si="59"/>
        <v>127.49804426656831</v>
      </c>
      <c r="AD95" s="29">
        <f t="shared" si="50"/>
        <v>1.0808524183153847</v>
      </c>
      <c r="AE95" s="25">
        <f t="shared" si="60"/>
        <v>13.243681724743192</v>
      </c>
      <c r="AF95" s="25">
        <f t="shared" si="51"/>
        <v>13.243681724743192</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290.78918279358999</v>
      </c>
      <c r="AH95" s="25">
        <f t="shared" si="70"/>
        <v>0</v>
      </c>
      <c r="AI95" s="25">
        <f t="shared" si="71"/>
        <v>0</v>
      </c>
      <c r="AJ95" s="25">
        <f t="shared" si="72"/>
        <v>0</v>
      </c>
    </row>
    <row r="96" spans="1:36">
      <c r="A96">
        <f t="shared" si="52"/>
        <v>93</v>
      </c>
      <c r="B96">
        <f t="shared" si="61"/>
        <v>3</v>
      </c>
      <c r="C96">
        <f t="shared" si="39"/>
        <v>120</v>
      </c>
      <c r="D96">
        <f t="shared" si="53"/>
        <v>0</v>
      </c>
      <c r="E96">
        <f t="shared" si="73"/>
        <v>3</v>
      </c>
      <c r="F96">
        <f t="shared" si="40"/>
        <v>180</v>
      </c>
      <c r="G96">
        <f t="shared" si="54"/>
        <v>4</v>
      </c>
      <c r="H96">
        <f t="shared" si="62"/>
        <v>2</v>
      </c>
      <c r="I96">
        <f t="shared" si="41"/>
        <v>120</v>
      </c>
      <c r="J96">
        <f t="shared" si="55"/>
        <v>0</v>
      </c>
      <c r="K96">
        <f t="shared" si="63"/>
        <v>2</v>
      </c>
      <c r="L96">
        <f t="shared" si="42"/>
        <v>180</v>
      </c>
      <c r="M96">
        <f t="shared" si="56"/>
        <v>0</v>
      </c>
      <c r="N96">
        <f t="shared" si="64"/>
        <v>2</v>
      </c>
      <c r="O96">
        <f t="shared" si="43"/>
        <v>300</v>
      </c>
      <c r="P96">
        <f t="shared" si="65"/>
        <v>0</v>
      </c>
      <c r="Q96">
        <f t="shared" si="66"/>
        <v>2</v>
      </c>
      <c r="R96">
        <f t="shared" si="44"/>
        <v>300</v>
      </c>
      <c r="S96">
        <f t="shared" si="67"/>
        <v>0</v>
      </c>
      <c r="T96">
        <f t="shared" si="68"/>
        <v>-1</v>
      </c>
      <c r="U96">
        <f t="shared" si="57"/>
        <v>0</v>
      </c>
      <c r="V96">
        <f t="shared" si="58"/>
        <v>1</v>
      </c>
      <c r="W96">
        <f t="shared" si="45"/>
        <v>0</v>
      </c>
      <c r="X96">
        <f t="shared" si="69"/>
        <v>0</v>
      </c>
      <c r="Y96">
        <f t="shared" si="46"/>
        <v>0</v>
      </c>
      <c r="Z96">
        <f t="shared" si="47"/>
        <v>0</v>
      </c>
      <c r="AA96">
        <f t="shared" si="48"/>
        <v>0</v>
      </c>
      <c r="AB96" s="29">
        <f t="shared" si="49"/>
        <v>0.74178816089935007</v>
      </c>
      <c r="AC96" s="25">
        <f t="shared" si="59"/>
        <v>127.49804426656831</v>
      </c>
      <c r="AD96" s="29">
        <f t="shared" si="50"/>
        <v>1.0808524183153847</v>
      </c>
      <c r="AE96" s="25">
        <f t="shared" si="60"/>
        <v>13.243681724743192</v>
      </c>
      <c r="AF96" s="25">
        <f t="shared" si="51"/>
        <v>13.243681724743192</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290.78918279358999</v>
      </c>
      <c r="AH96" s="25">
        <f t="shared" si="70"/>
        <v>0</v>
      </c>
      <c r="AI96" s="25">
        <f t="shared" si="71"/>
        <v>0</v>
      </c>
      <c r="AJ96" s="25">
        <f t="shared" si="72"/>
        <v>0</v>
      </c>
    </row>
    <row r="97" spans="1:36">
      <c r="A97">
        <f t="shared" si="52"/>
        <v>94</v>
      </c>
      <c r="B97">
        <f t="shared" si="61"/>
        <v>3</v>
      </c>
      <c r="C97">
        <f t="shared" si="39"/>
        <v>120</v>
      </c>
      <c r="D97">
        <f t="shared" si="53"/>
        <v>0</v>
      </c>
      <c r="E97">
        <f t="shared" si="73"/>
        <v>3</v>
      </c>
      <c r="F97">
        <f t="shared" si="40"/>
        <v>180</v>
      </c>
      <c r="G97">
        <f t="shared" si="54"/>
        <v>5</v>
      </c>
      <c r="H97">
        <f t="shared" si="62"/>
        <v>2</v>
      </c>
      <c r="I97">
        <f t="shared" si="41"/>
        <v>120</v>
      </c>
      <c r="J97">
        <f t="shared" si="55"/>
        <v>0</v>
      </c>
      <c r="K97">
        <f t="shared" si="63"/>
        <v>2</v>
      </c>
      <c r="L97">
        <f t="shared" si="42"/>
        <v>180</v>
      </c>
      <c r="M97">
        <f t="shared" si="56"/>
        <v>0</v>
      </c>
      <c r="N97">
        <f t="shared" si="64"/>
        <v>2</v>
      </c>
      <c r="O97">
        <f t="shared" si="43"/>
        <v>300</v>
      </c>
      <c r="P97">
        <f t="shared" si="65"/>
        <v>0</v>
      </c>
      <c r="Q97">
        <f t="shared" si="66"/>
        <v>2</v>
      </c>
      <c r="R97">
        <f t="shared" si="44"/>
        <v>300</v>
      </c>
      <c r="S97">
        <f t="shared" si="67"/>
        <v>0</v>
      </c>
      <c r="T97">
        <f t="shared" si="68"/>
        <v>-1</v>
      </c>
      <c r="U97">
        <f t="shared" si="57"/>
        <v>0</v>
      </c>
      <c r="V97">
        <f t="shared" si="58"/>
        <v>1</v>
      </c>
      <c r="W97">
        <f t="shared" si="45"/>
        <v>0</v>
      </c>
      <c r="X97">
        <f t="shared" si="69"/>
        <v>0</v>
      </c>
      <c r="Y97">
        <f t="shared" si="46"/>
        <v>0</v>
      </c>
      <c r="Z97">
        <f t="shared" si="47"/>
        <v>0</v>
      </c>
      <c r="AA97">
        <f t="shared" si="48"/>
        <v>0</v>
      </c>
      <c r="AB97" s="29">
        <f t="shared" si="49"/>
        <v>0.74178816089935007</v>
      </c>
      <c r="AC97" s="25">
        <f t="shared" si="59"/>
        <v>127.49804426656831</v>
      </c>
      <c r="AD97" s="29">
        <f t="shared" si="50"/>
        <v>1.0808524183153847</v>
      </c>
      <c r="AE97" s="25">
        <f t="shared" si="60"/>
        <v>13.243681724743192</v>
      </c>
      <c r="AF97" s="25">
        <f t="shared" si="51"/>
        <v>13.243681724743192</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290.78918279358999</v>
      </c>
      <c r="AH97" s="25">
        <f t="shared" si="70"/>
        <v>0</v>
      </c>
      <c r="AI97" s="25">
        <f t="shared" si="71"/>
        <v>0</v>
      </c>
      <c r="AJ97" s="25">
        <f t="shared" si="72"/>
        <v>0</v>
      </c>
    </row>
    <row r="98" spans="1:36">
      <c r="A98">
        <f t="shared" si="52"/>
        <v>95</v>
      </c>
      <c r="B98">
        <f t="shared" si="61"/>
        <v>3</v>
      </c>
      <c r="C98">
        <f t="shared" si="39"/>
        <v>120</v>
      </c>
      <c r="D98">
        <f t="shared" si="53"/>
        <v>0</v>
      </c>
      <c r="E98">
        <f t="shared" si="73"/>
        <v>3</v>
      </c>
      <c r="F98">
        <f t="shared" si="40"/>
        <v>180</v>
      </c>
      <c r="G98">
        <f t="shared" si="54"/>
        <v>6</v>
      </c>
      <c r="H98">
        <f t="shared" si="62"/>
        <v>2</v>
      </c>
      <c r="I98">
        <f t="shared" si="41"/>
        <v>120</v>
      </c>
      <c r="J98">
        <f t="shared" si="55"/>
        <v>0</v>
      </c>
      <c r="K98">
        <f t="shared" si="63"/>
        <v>2</v>
      </c>
      <c r="L98">
        <f t="shared" si="42"/>
        <v>180</v>
      </c>
      <c r="M98">
        <f t="shared" si="56"/>
        <v>0</v>
      </c>
      <c r="N98">
        <f t="shared" si="64"/>
        <v>2</v>
      </c>
      <c r="O98">
        <f t="shared" si="43"/>
        <v>300</v>
      </c>
      <c r="P98">
        <f t="shared" si="65"/>
        <v>0</v>
      </c>
      <c r="Q98">
        <f t="shared" si="66"/>
        <v>2</v>
      </c>
      <c r="R98">
        <f t="shared" si="44"/>
        <v>300</v>
      </c>
      <c r="S98">
        <f t="shared" si="67"/>
        <v>0</v>
      </c>
      <c r="T98">
        <f t="shared" si="68"/>
        <v>-1</v>
      </c>
      <c r="U98">
        <f t="shared" si="57"/>
        <v>0</v>
      </c>
      <c r="V98">
        <f t="shared" si="58"/>
        <v>1</v>
      </c>
      <c r="W98">
        <f t="shared" si="45"/>
        <v>0</v>
      </c>
      <c r="X98">
        <f t="shared" si="69"/>
        <v>0</v>
      </c>
      <c r="Y98">
        <f t="shared" si="46"/>
        <v>0</v>
      </c>
      <c r="Z98">
        <f t="shared" si="47"/>
        <v>0</v>
      </c>
      <c r="AA98">
        <f t="shared" si="48"/>
        <v>0</v>
      </c>
      <c r="AB98" s="29">
        <f t="shared" si="49"/>
        <v>0.74178816089935007</v>
      </c>
      <c r="AC98" s="25">
        <f t="shared" si="59"/>
        <v>127.49804426656831</v>
      </c>
      <c r="AD98" s="29">
        <f t="shared" si="50"/>
        <v>1.0808524183153847</v>
      </c>
      <c r="AE98" s="25">
        <f t="shared" si="60"/>
        <v>13.243681724743192</v>
      </c>
      <c r="AF98" s="25">
        <f t="shared" si="51"/>
        <v>13.243681724743192</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290.78918279358999</v>
      </c>
      <c r="AH98" s="25">
        <f t="shared" si="70"/>
        <v>0</v>
      </c>
      <c r="AI98" s="25">
        <f t="shared" si="71"/>
        <v>0</v>
      </c>
      <c r="AJ98" s="25">
        <f t="shared" si="72"/>
        <v>0</v>
      </c>
    </row>
    <row r="99" spans="1:36">
      <c r="A99">
        <f t="shared" si="52"/>
        <v>96</v>
      </c>
      <c r="B99">
        <f t="shared" si="61"/>
        <v>3</v>
      </c>
      <c r="C99">
        <f t="shared" si="39"/>
        <v>120</v>
      </c>
      <c r="D99">
        <f t="shared" si="53"/>
        <v>0</v>
      </c>
      <c r="E99">
        <f t="shared" si="73"/>
        <v>3</v>
      </c>
      <c r="F99">
        <f t="shared" si="40"/>
        <v>180</v>
      </c>
      <c r="G99">
        <f t="shared" si="54"/>
        <v>7</v>
      </c>
      <c r="H99">
        <f t="shared" si="62"/>
        <v>2</v>
      </c>
      <c r="I99">
        <f t="shared" si="41"/>
        <v>120</v>
      </c>
      <c r="J99">
        <f t="shared" si="55"/>
        <v>0</v>
      </c>
      <c r="K99">
        <f t="shared" si="63"/>
        <v>2</v>
      </c>
      <c r="L99">
        <f t="shared" si="42"/>
        <v>180</v>
      </c>
      <c r="M99">
        <f t="shared" si="56"/>
        <v>0</v>
      </c>
      <c r="N99">
        <f t="shared" si="64"/>
        <v>2</v>
      </c>
      <c r="O99">
        <f t="shared" si="43"/>
        <v>300</v>
      </c>
      <c r="P99">
        <f t="shared" si="65"/>
        <v>0</v>
      </c>
      <c r="Q99">
        <f t="shared" si="66"/>
        <v>2</v>
      </c>
      <c r="R99">
        <f t="shared" si="44"/>
        <v>300</v>
      </c>
      <c r="S99">
        <f t="shared" si="67"/>
        <v>0</v>
      </c>
      <c r="T99">
        <f t="shared" si="68"/>
        <v>-1</v>
      </c>
      <c r="U99">
        <f t="shared" si="57"/>
        <v>0</v>
      </c>
      <c r="V99">
        <f t="shared" si="58"/>
        <v>1</v>
      </c>
      <c r="W99">
        <f t="shared" si="45"/>
        <v>0</v>
      </c>
      <c r="X99">
        <f t="shared" si="69"/>
        <v>0</v>
      </c>
      <c r="Y99">
        <f t="shared" si="46"/>
        <v>0</v>
      </c>
      <c r="Z99">
        <f t="shared" si="47"/>
        <v>0</v>
      </c>
      <c r="AA99">
        <f t="shared" si="48"/>
        <v>0</v>
      </c>
      <c r="AB99" s="29">
        <f t="shared" si="49"/>
        <v>0.74178816089935007</v>
      </c>
      <c r="AC99" s="25">
        <f t="shared" si="59"/>
        <v>127.49804426656831</v>
      </c>
      <c r="AD99" s="29">
        <f t="shared" si="50"/>
        <v>1.0808524183153847</v>
      </c>
      <c r="AE99" s="25">
        <f t="shared" si="60"/>
        <v>13.243681724743192</v>
      </c>
      <c r="AF99" s="25">
        <f t="shared" si="51"/>
        <v>13.243681724743192</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290.78918279358999</v>
      </c>
      <c r="AH99" s="25">
        <f t="shared" si="70"/>
        <v>0</v>
      </c>
      <c r="AI99" s="25">
        <f t="shared" si="71"/>
        <v>0</v>
      </c>
      <c r="AJ99" s="25">
        <f t="shared" si="72"/>
        <v>0</v>
      </c>
    </row>
    <row r="100" spans="1:36">
      <c r="A100">
        <f t="shared" si="52"/>
        <v>97</v>
      </c>
      <c r="B100">
        <f t="shared" si="61"/>
        <v>3</v>
      </c>
      <c r="C100">
        <f t="shared" si="39"/>
        <v>120</v>
      </c>
      <c r="D100">
        <f t="shared" si="53"/>
        <v>0</v>
      </c>
      <c r="E100">
        <f t="shared" si="73"/>
        <v>3</v>
      </c>
      <c r="F100">
        <f t="shared" si="40"/>
        <v>180</v>
      </c>
      <c r="G100">
        <f t="shared" si="54"/>
        <v>8</v>
      </c>
      <c r="H100">
        <f t="shared" si="62"/>
        <v>2</v>
      </c>
      <c r="I100">
        <f t="shared" si="41"/>
        <v>120</v>
      </c>
      <c r="J100">
        <f t="shared" si="55"/>
        <v>0</v>
      </c>
      <c r="K100">
        <f t="shared" si="63"/>
        <v>2</v>
      </c>
      <c r="L100">
        <f t="shared" si="42"/>
        <v>180</v>
      </c>
      <c r="M100">
        <f t="shared" si="56"/>
        <v>0</v>
      </c>
      <c r="N100">
        <f t="shared" si="64"/>
        <v>2</v>
      </c>
      <c r="O100">
        <f t="shared" si="43"/>
        <v>300</v>
      </c>
      <c r="P100">
        <f t="shared" si="65"/>
        <v>0</v>
      </c>
      <c r="Q100">
        <f t="shared" si="66"/>
        <v>2</v>
      </c>
      <c r="R100">
        <f t="shared" si="44"/>
        <v>300</v>
      </c>
      <c r="S100">
        <f t="shared" si="67"/>
        <v>0</v>
      </c>
      <c r="T100">
        <f t="shared" si="68"/>
        <v>-1</v>
      </c>
      <c r="U100">
        <f t="shared" si="57"/>
        <v>0</v>
      </c>
      <c r="V100">
        <f t="shared" si="58"/>
        <v>1</v>
      </c>
      <c r="W100">
        <f t="shared" si="45"/>
        <v>0</v>
      </c>
      <c r="X100">
        <f t="shared" si="69"/>
        <v>0</v>
      </c>
      <c r="Y100">
        <f t="shared" si="46"/>
        <v>0</v>
      </c>
      <c r="Z100">
        <f t="shared" si="47"/>
        <v>0</v>
      </c>
      <c r="AA100">
        <f t="shared" si="48"/>
        <v>0</v>
      </c>
      <c r="AB100" s="29">
        <f t="shared" si="49"/>
        <v>0.74178816089935007</v>
      </c>
      <c r="AC100" s="25">
        <f t="shared" si="59"/>
        <v>127.49804426656831</v>
      </c>
      <c r="AD100" s="29">
        <f t="shared" si="50"/>
        <v>1.0808524183153847</v>
      </c>
      <c r="AE100" s="25">
        <f t="shared" si="60"/>
        <v>13.243681724743192</v>
      </c>
      <c r="AF100" s="25">
        <f t="shared" si="51"/>
        <v>13.243681724743192</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290.78918279358999</v>
      </c>
      <c r="AH100" s="25">
        <f t="shared" si="70"/>
        <v>0</v>
      </c>
      <c r="AI100" s="25">
        <f t="shared" si="71"/>
        <v>0</v>
      </c>
      <c r="AJ100" s="25">
        <f t="shared" si="72"/>
        <v>0</v>
      </c>
    </row>
    <row r="101" spans="1:36">
      <c r="A101">
        <f t="shared" si="52"/>
        <v>98</v>
      </c>
      <c r="B101">
        <f t="shared" si="61"/>
        <v>3</v>
      </c>
      <c r="C101">
        <f t="shared" si="39"/>
        <v>120</v>
      </c>
      <c r="D101">
        <f t="shared" si="53"/>
        <v>0</v>
      </c>
      <c r="E101">
        <f t="shared" si="73"/>
        <v>3</v>
      </c>
      <c r="F101">
        <f t="shared" si="40"/>
        <v>180</v>
      </c>
      <c r="G101">
        <f t="shared" si="54"/>
        <v>9</v>
      </c>
      <c r="H101">
        <f t="shared" si="62"/>
        <v>2</v>
      </c>
      <c r="I101">
        <f t="shared" si="41"/>
        <v>120</v>
      </c>
      <c r="J101">
        <f t="shared" si="55"/>
        <v>0</v>
      </c>
      <c r="K101">
        <f t="shared" si="63"/>
        <v>2</v>
      </c>
      <c r="L101">
        <f t="shared" si="42"/>
        <v>180</v>
      </c>
      <c r="M101">
        <f t="shared" si="56"/>
        <v>0</v>
      </c>
      <c r="N101">
        <f t="shared" si="64"/>
        <v>2</v>
      </c>
      <c r="O101">
        <f t="shared" si="43"/>
        <v>300</v>
      </c>
      <c r="P101">
        <f t="shared" si="65"/>
        <v>0</v>
      </c>
      <c r="Q101">
        <f t="shared" si="66"/>
        <v>2</v>
      </c>
      <c r="R101">
        <f t="shared" si="44"/>
        <v>300</v>
      </c>
      <c r="S101">
        <f t="shared" si="67"/>
        <v>0</v>
      </c>
      <c r="T101">
        <f t="shared" si="68"/>
        <v>-1</v>
      </c>
      <c r="U101">
        <f t="shared" si="57"/>
        <v>0</v>
      </c>
      <c r="V101">
        <f t="shared" si="58"/>
        <v>1</v>
      </c>
      <c r="W101">
        <f t="shared" si="45"/>
        <v>0</v>
      </c>
      <c r="X101">
        <f t="shared" si="69"/>
        <v>0</v>
      </c>
      <c r="Y101">
        <f t="shared" si="46"/>
        <v>0</v>
      </c>
      <c r="Z101">
        <f t="shared" si="47"/>
        <v>0</v>
      </c>
      <c r="AA101">
        <f t="shared" si="48"/>
        <v>0</v>
      </c>
      <c r="AB101" s="29">
        <f t="shared" si="49"/>
        <v>0.74178816089935007</v>
      </c>
      <c r="AC101" s="25">
        <f t="shared" si="59"/>
        <v>127.49804426656831</v>
      </c>
      <c r="AD101" s="29">
        <f t="shared" si="50"/>
        <v>1.0808524183153847</v>
      </c>
      <c r="AE101" s="25">
        <f t="shared" si="60"/>
        <v>13.243681724743192</v>
      </c>
      <c r="AF101" s="25">
        <f t="shared" si="51"/>
        <v>13.243681724743192</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290.78918279358999</v>
      </c>
      <c r="AH101" s="25">
        <f t="shared" si="70"/>
        <v>0</v>
      </c>
      <c r="AI101" s="25">
        <f t="shared" si="71"/>
        <v>0</v>
      </c>
      <c r="AJ101" s="25">
        <f t="shared" si="72"/>
        <v>0</v>
      </c>
    </row>
    <row r="102" spans="1:36">
      <c r="A102">
        <f t="shared" si="52"/>
        <v>99</v>
      </c>
      <c r="B102">
        <f t="shared" si="61"/>
        <v>3</v>
      </c>
      <c r="C102">
        <f t="shared" si="39"/>
        <v>120</v>
      </c>
      <c r="D102">
        <f t="shared" si="53"/>
        <v>0</v>
      </c>
      <c r="E102">
        <f t="shared" si="73"/>
        <v>3</v>
      </c>
      <c r="F102">
        <f t="shared" si="40"/>
        <v>180</v>
      </c>
      <c r="G102">
        <f t="shared" si="54"/>
        <v>10</v>
      </c>
      <c r="H102">
        <f t="shared" si="62"/>
        <v>2</v>
      </c>
      <c r="I102">
        <f t="shared" si="41"/>
        <v>120</v>
      </c>
      <c r="J102">
        <f t="shared" si="55"/>
        <v>0</v>
      </c>
      <c r="K102">
        <f t="shared" si="63"/>
        <v>2</v>
      </c>
      <c r="L102">
        <f t="shared" si="42"/>
        <v>180</v>
      </c>
      <c r="M102">
        <f t="shared" si="56"/>
        <v>0</v>
      </c>
      <c r="N102">
        <f t="shared" si="64"/>
        <v>2</v>
      </c>
      <c r="O102">
        <f t="shared" si="43"/>
        <v>300</v>
      </c>
      <c r="P102">
        <f t="shared" si="65"/>
        <v>0</v>
      </c>
      <c r="Q102">
        <f t="shared" si="66"/>
        <v>2</v>
      </c>
      <c r="R102">
        <f t="shared" si="44"/>
        <v>300</v>
      </c>
      <c r="S102">
        <f t="shared" si="67"/>
        <v>0</v>
      </c>
      <c r="T102">
        <f t="shared" si="68"/>
        <v>-1</v>
      </c>
      <c r="U102">
        <f t="shared" si="57"/>
        <v>0</v>
      </c>
      <c r="V102">
        <f t="shared" si="58"/>
        <v>1</v>
      </c>
      <c r="W102">
        <f t="shared" si="45"/>
        <v>0</v>
      </c>
      <c r="X102">
        <f t="shared" si="69"/>
        <v>0</v>
      </c>
      <c r="Y102">
        <f t="shared" si="46"/>
        <v>0</v>
      </c>
      <c r="Z102">
        <f t="shared" si="47"/>
        <v>0</v>
      </c>
      <c r="AA102">
        <f t="shared" si="48"/>
        <v>0</v>
      </c>
      <c r="AB102" s="29">
        <f t="shared" si="49"/>
        <v>0.74178816089935007</v>
      </c>
      <c r="AC102" s="25">
        <f t="shared" si="59"/>
        <v>127.49804426656831</v>
      </c>
      <c r="AD102" s="29">
        <f t="shared" si="50"/>
        <v>1.0808524183153847</v>
      </c>
      <c r="AE102" s="25">
        <f t="shared" si="60"/>
        <v>13.243681724743192</v>
      </c>
      <c r="AF102" s="25">
        <f t="shared" si="51"/>
        <v>13.243681724743192</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290.78918279358999</v>
      </c>
      <c r="AH102" s="25">
        <f t="shared" si="70"/>
        <v>0</v>
      </c>
      <c r="AI102" s="25">
        <f t="shared" si="71"/>
        <v>0</v>
      </c>
      <c r="AJ102" s="25">
        <f t="shared" si="72"/>
        <v>0</v>
      </c>
    </row>
    <row r="103" spans="1:36">
      <c r="A103">
        <f t="shared" si="52"/>
        <v>100</v>
      </c>
      <c r="B103">
        <f t="shared" si="61"/>
        <v>3</v>
      </c>
      <c r="C103">
        <f t="shared" si="39"/>
        <v>120</v>
      </c>
      <c r="D103">
        <f t="shared" si="53"/>
        <v>0</v>
      </c>
      <c r="E103">
        <f t="shared" si="73"/>
        <v>3</v>
      </c>
      <c r="F103">
        <f t="shared" si="40"/>
        <v>180</v>
      </c>
      <c r="G103">
        <f t="shared" si="54"/>
        <v>11</v>
      </c>
      <c r="H103">
        <f t="shared" si="62"/>
        <v>2</v>
      </c>
      <c r="I103">
        <f t="shared" si="41"/>
        <v>120</v>
      </c>
      <c r="J103">
        <f t="shared" si="55"/>
        <v>0</v>
      </c>
      <c r="K103">
        <f t="shared" si="63"/>
        <v>2</v>
      </c>
      <c r="L103">
        <f t="shared" si="42"/>
        <v>180</v>
      </c>
      <c r="M103">
        <f t="shared" si="56"/>
        <v>0</v>
      </c>
      <c r="N103">
        <f t="shared" si="64"/>
        <v>2</v>
      </c>
      <c r="O103">
        <f t="shared" si="43"/>
        <v>300</v>
      </c>
      <c r="P103">
        <f t="shared" si="65"/>
        <v>0</v>
      </c>
      <c r="Q103">
        <f t="shared" si="66"/>
        <v>2</v>
      </c>
      <c r="R103">
        <f t="shared" si="44"/>
        <v>300</v>
      </c>
      <c r="S103">
        <f t="shared" si="67"/>
        <v>0</v>
      </c>
      <c r="T103">
        <f t="shared" si="68"/>
        <v>-1</v>
      </c>
      <c r="U103">
        <f t="shared" si="57"/>
        <v>0</v>
      </c>
      <c r="V103">
        <f t="shared" si="58"/>
        <v>1</v>
      </c>
      <c r="W103">
        <f t="shared" si="45"/>
        <v>0</v>
      </c>
      <c r="X103">
        <f t="shared" si="69"/>
        <v>0</v>
      </c>
      <c r="Y103">
        <f t="shared" si="46"/>
        <v>0</v>
      </c>
      <c r="Z103">
        <f t="shared" si="47"/>
        <v>0</v>
      </c>
      <c r="AA103">
        <f t="shared" si="48"/>
        <v>0</v>
      </c>
      <c r="AB103" s="29">
        <f t="shared" si="49"/>
        <v>0.74178816089935007</v>
      </c>
      <c r="AC103" s="25">
        <f t="shared" si="59"/>
        <v>127.49804426656831</v>
      </c>
      <c r="AD103" s="29">
        <f t="shared" si="50"/>
        <v>1.0808524183153847</v>
      </c>
      <c r="AE103" s="25">
        <f t="shared" si="60"/>
        <v>13.243681724743192</v>
      </c>
      <c r="AF103" s="25">
        <f t="shared" si="51"/>
        <v>13.243681724743192</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290.78918279358999</v>
      </c>
      <c r="AH103" s="25">
        <f t="shared" si="70"/>
        <v>0</v>
      </c>
      <c r="AI103" s="25">
        <f t="shared" si="71"/>
        <v>0</v>
      </c>
      <c r="AJ103" s="25">
        <f t="shared" si="72"/>
        <v>0</v>
      </c>
    </row>
    <row r="104" spans="1:36">
      <c r="A104">
        <f t="shared" si="52"/>
        <v>101</v>
      </c>
      <c r="B104">
        <f t="shared" si="61"/>
        <v>3</v>
      </c>
      <c r="C104">
        <f t="shared" si="39"/>
        <v>120</v>
      </c>
      <c r="D104">
        <f t="shared" si="53"/>
        <v>0</v>
      </c>
      <c r="E104">
        <f t="shared" si="73"/>
        <v>3</v>
      </c>
      <c r="F104">
        <f t="shared" si="40"/>
        <v>180</v>
      </c>
      <c r="G104">
        <f t="shared" si="54"/>
        <v>12</v>
      </c>
      <c r="H104">
        <f t="shared" si="62"/>
        <v>2</v>
      </c>
      <c r="I104">
        <f t="shared" si="41"/>
        <v>120</v>
      </c>
      <c r="J104">
        <f t="shared" si="55"/>
        <v>0</v>
      </c>
      <c r="K104">
        <f t="shared" si="63"/>
        <v>2</v>
      </c>
      <c r="L104">
        <f t="shared" si="42"/>
        <v>180</v>
      </c>
      <c r="M104">
        <f t="shared" si="56"/>
        <v>0</v>
      </c>
      <c r="N104">
        <f t="shared" si="64"/>
        <v>2</v>
      </c>
      <c r="O104">
        <f t="shared" si="43"/>
        <v>300</v>
      </c>
      <c r="P104">
        <f t="shared" si="65"/>
        <v>0</v>
      </c>
      <c r="Q104">
        <f t="shared" si="66"/>
        <v>2</v>
      </c>
      <c r="R104">
        <f t="shared" si="44"/>
        <v>300</v>
      </c>
      <c r="S104">
        <f t="shared" si="67"/>
        <v>0</v>
      </c>
      <c r="T104">
        <f t="shared" si="68"/>
        <v>-1</v>
      </c>
      <c r="U104">
        <f t="shared" si="57"/>
        <v>0</v>
      </c>
      <c r="V104">
        <f t="shared" si="58"/>
        <v>1</v>
      </c>
      <c r="W104">
        <f t="shared" si="45"/>
        <v>0</v>
      </c>
      <c r="X104">
        <f t="shared" si="69"/>
        <v>0</v>
      </c>
      <c r="Y104">
        <f t="shared" si="46"/>
        <v>0</v>
      </c>
      <c r="Z104">
        <f t="shared" si="47"/>
        <v>0</v>
      </c>
      <c r="AA104">
        <f t="shared" si="48"/>
        <v>0</v>
      </c>
      <c r="AB104" s="29">
        <f t="shared" si="49"/>
        <v>0.74178816089935007</v>
      </c>
      <c r="AC104" s="25">
        <f t="shared" si="59"/>
        <v>127.49804426656831</v>
      </c>
      <c r="AD104" s="29">
        <f t="shared" si="50"/>
        <v>1.0808524183153847</v>
      </c>
      <c r="AE104" s="25">
        <f t="shared" si="60"/>
        <v>13.243681724743192</v>
      </c>
      <c r="AF104" s="25">
        <f t="shared" si="51"/>
        <v>13.243681724743192</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290.78918279358999</v>
      </c>
      <c r="AH104" s="25">
        <f t="shared" si="70"/>
        <v>0</v>
      </c>
      <c r="AI104" s="25">
        <f t="shared" si="71"/>
        <v>0</v>
      </c>
      <c r="AJ104" s="25">
        <f t="shared" si="72"/>
        <v>0</v>
      </c>
    </row>
    <row r="105" spans="1:36">
      <c r="A105">
        <f t="shared" si="52"/>
        <v>102</v>
      </c>
      <c r="B105">
        <f t="shared" si="61"/>
        <v>3</v>
      </c>
      <c r="C105">
        <f t="shared" si="39"/>
        <v>120</v>
      </c>
      <c r="D105">
        <f t="shared" si="53"/>
        <v>0</v>
      </c>
      <c r="E105">
        <f t="shared" si="73"/>
        <v>3</v>
      </c>
      <c r="F105">
        <f t="shared" si="40"/>
        <v>180</v>
      </c>
      <c r="G105">
        <f t="shared" si="54"/>
        <v>13</v>
      </c>
      <c r="H105">
        <f t="shared" si="62"/>
        <v>2</v>
      </c>
      <c r="I105">
        <f t="shared" si="41"/>
        <v>120</v>
      </c>
      <c r="J105">
        <f t="shared" si="55"/>
        <v>0</v>
      </c>
      <c r="K105">
        <f t="shared" si="63"/>
        <v>2</v>
      </c>
      <c r="L105">
        <f t="shared" si="42"/>
        <v>180</v>
      </c>
      <c r="M105">
        <f t="shared" si="56"/>
        <v>0</v>
      </c>
      <c r="N105">
        <f t="shared" si="64"/>
        <v>2</v>
      </c>
      <c r="O105">
        <f t="shared" si="43"/>
        <v>300</v>
      </c>
      <c r="P105">
        <f t="shared" si="65"/>
        <v>0</v>
      </c>
      <c r="Q105">
        <f t="shared" si="66"/>
        <v>2</v>
      </c>
      <c r="R105">
        <f t="shared" si="44"/>
        <v>300</v>
      </c>
      <c r="S105">
        <f t="shared" si="67"/>
        <v>0</v>
      </c>
      <c r="T105">
        <f t="shared" si="68"/>
        <v>-1</v>
      </c>
      <c r="U105">
        <f t="shared" si="57"/>
        <v>0</v>
      </c>
      <c r="V105">
        <f t="shared" si="58"/>
        <v>1</v>
      </c>
      <c r="W105">
        <f t="shared" si="45"/>
        <v>0</v>
      </c>
      <c r="X105">
        <f t="shared" si="69"/>
        <v>0</v>
      </c>
      <c r="Y105">
        <f t="shared" si="46"/>
        <v>0</v>
      </c>
      <c r="Z105">
        <f t="shared" si="47"/>
        <v>0</v>
      </c>
      <c r="AA105">
        <f t="shared" si="48"/>
        <v>0</v>
      </c>
      <c r="AB105" s="29">
        <f t="shared" si="49"/>
        <v>0.74178816089935007</v>
      </c>
      <c r="AC105" s="25">
        <f t="shared" si="59"/>
        <v>127.49804426656831</v>
      </c>
      <c r="AD105" s="29">
        <f t="shared" si="50"/>
        <v>1.0808524183153847</v>
      </c>
      <c r="AE105" s="25">
        <f t="shared" si="60"/>
        <v>13.243681724743192</v>
      </c>
      <c r="AF105" s="25">
        <f t="shared" si="51"/>
        <v>13.243681724743192</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290.78918279358999</v>
      </c>
      <c r="AH105" s="25">
        <f t="shared" si="70"/>
        <v>0</v>
      </c>
      <c r="AI105" s="25">
        <f t="shared" si="71"/>
        <v>0</v>
      </c>
      <c r="AJ105" s="25">
        <f t="shared" si="72"/>
        <v>0</v>
      </c>
    </row>
    <row r="106" spans="1:36">
      <c r="A106">
        <f t="shared" si="52"/>
        <v>103</v>
      </c>
      <c r="B106">
        <f t="shared" si="61"/>
        <v>3</v>
      </c>
      <c r="C106">
        <f t="shared" si="39"/>
        <v>120</v>
      </c>
      <c r="D106">
        <f t="shared" si="53"/>
        <v>0</v>
      </c>
      <c r="E106">
        <f t="shared" si="73"/>
        <v>3</v>
      </c>
      <c r="F106">
        <f t="shared" si="40"/>
        <v>180</v>
      </c>
      <c r="G106">
        <f t="shared" si="54"/>
        <v>14</v>
      </c>
      <c r="H106">
        <f t="shared" si="62"/>
        <v>2</v>
      </c>
      <c r="I106">
        <f t="shared" si="41"/>
        <v>120</v>
      </c>
      <c r="J106">
        <f t="shared" si="55"/>
        <v>0</v>
      </c>
      <c r="K106">
        <f t="shared" si="63"/>
        <v>2</v>
      </c>
      <c r="L106">
        <f t="shared" si="42"/>
        <v>180</v>
      </c>
      <c r="M106">
        <f t="shared" si="56"/>
        <v>0</v>
      </c>
      <c r="N106">
        <f t="shared" si="64"/>
        <v>2</v>
      </c>
      <c r="O106">
        <f t="shared" si="43"/>
        <v>300</v>
      </c>
      <c r="P106">
        <f t="shared" si="65"/>
        <v>0</v>
      </c>
      <c r="Q106">
        <f t="shared" si="66"/>
        <v>2</v>
      </c>
      <c r="R106">
        <f t="shared" si="44"/>
        <v>300</v>
      </c>
      <c r="S106">
        <f t="shared" si="67"/>
        <v>0</v>
      </c>
      <c r="T106">
        <f t="shared" si="68"/>
        <v>-1</v>
      </c>
      <c r="U106">
        <f t="shared" si="57"/>
        <v>0</v>
      </c>
      <c r="V106">
        <f t="shared" si="58"/>
        <v>1</v>
      </c>
      <c r="W106">
        <f t="shared" si="45"/>
        <v>0</v>
      </c>
      <c r="X106">
        <f t="shared" si="69"/>
        <v>0</v>
      </c>
      <c r="Y106">
        <f t="shared" si="46"/>
        <v>0</v>
      </c>
      <c r="Z106">
        <f t="shared" si="47"/>
        <v>0</v>
      </c>
      <c r="AA106">
        <f t="shared" si="48"/>
        <v>0</v>
      </c>
      <c r="AB106" s="29">
        <f t="shared" si="49"/>
        <v>0.74178816089935007</v>
      </c>
      <c r="AC106" s="25">
        <f t="shared" si="59"/>
        <v>127.49804426656831</v>
      </c>
      <c r="AD106" s="29">
        <f t="shared" si="50"/>
        <v>1.0808524183153847</v>
      </c>
      <c r="AE106" s="25">
        <f t="shared" si="60"/>
        <v>13.243681724743192</v>
      </c>
      <c r="AF106" s="25">
        <f t="shared" si="51"/>
        <v>13.243681724743192</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290.78918279358999</v>
      </c>
      <c r="AH106" s="25">
        <f t="shared" si="70"/>
        <v>0</v>
      </c>
      <c r="AI106" s="25">
        <f t="shared" si="71"/>
        <v>0</v>
      </c>
      <c r="AJ106" s="25">
        <f t="shared" si="72"/>
        <v>0</v>
      </c>
    </row>
    <row r="107" spans="1:36">
      <c r="A107">
        <f t="shared" si="52"/>
        <v>104</v>
      </c>
      <c r="B107">
        <f t="shared" si="61"/>
        <v>3</v>
      </c>
      <c r="C107">
        <f t="shared" si="39"/>
        <v>120</v>
      </c>
      <c r="D107">
        <f t="shared" si="53"/>
        <v>0</v>
      </c>
      <c r="E107">
        <f t="shared" si="73"/>
        <v>3</v>
      </c>
      <c r="F107">
        <f t="shared" si="40"/>
        <v>180</v>
      </c>
      <c r="G107">
        <f t="shared" si="54"/>
        <v>15</v>
      </c>
      <c r="H107">
        <f t="shared" si="62"/>
        <v>2</v>
      </c>
      <c r="I107">
        <f t="shared" si="41"/>
        <v>120</v>
      </c>
      <c r="J107">
        <f t="shared" si="55"/>
        <v>0</v>
      </c>
      <c r="K107">
        <f t="shared" si="63"/>
        <v>2</v>
      </c>
      <c r="L107">
        <f t="shared" si="42"/>
        <v>180</v>
      </c>
      <c r="M107">
        <f t="shared" si="56"/>
        <v>0</v>
      </c>
      <c r="N107">
        <f t="shared" si="64"/>
        <v>2</v>
      </c>
      <c r="O107">
        <f t="shared" si="43"/>
        <v>300</v>
      </c>
      <c r="P107">
        <f t="shared" si="65"/>
        <v>0</v>
      </c>
      <c r="Q107">
        <f t="shared" si="66"/>
        <v>2</v>
      </c>
      <c r="R107">
        <f t="shared" si="44"/>
        <v>300</v>
      </c>
      <c r="S107">
        <f t="shared" si="67"/>
        <v>0</v>
      </c>
      <c r="T107">
        <f t="shared" si="68"/>
        <v>-1</v>
      </c>
      <c r="U107">
        <f t="shared" si="57"/>
        <v>0</v>
      </c>
      <c r="V107">
        <f t="shared" si="58"/>
        <v>1</v>
      </c>
      <c r="W107">
        <f t="shared" si="45"/>
        <v>0</v>
      </c>
      <c r="X107">
        <f t="shared" si="69"/>
        <v>0</v>
      </c>
      <c r="Y107">
        <f t="shared" si="46"/>
        <v>0</v>
      </c>
      <c r="Z107">
        <f t="shared" si="47"/>
        <v>0</v>
      </c>
      <c r="AA107">
        <f t="shared" si="48"/>
        <v>0</v>
      </c>
      <c r="AB107" s="29">
        <f t="shared" si="49"/>
        <v>0.74178816089935007</v>
      </c>
      <c r="AC107" s="25">
        <f t="shared" si="59"/>
        <v>127.49804426656831</v>
      </c>
      <c r="AD107" s="29">
        <f t="shared" si="50"/>
        <v>1.0808524183153847</v>
      </c>
      <c r="AE107" s="25">
        <f t="shared" si="60"/>
        <v>13.243681724743192</v>
      </c>
      <c r="AF107" s="25">
        <f t="shared" si="51"/>
        <v>13.243681724743192</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290.78918279358999</v>
      </c>
      <c r="AH107" s="25">
        <f t="shared" si="70"/>
        <v>0</v>
      </c>
      <c r="AI107" s="25">
        <f t="shared" si="71"/>
        <v>0</v>
      </c>
      <c r="AJ107" s="25">
        <f t="shared" si="72"/>
        <v>0</v>
      </c>
    </row>
    <row r="108" spans="1:36">
      <c r="A108">
        <f t="shared" si="52"/>
        <v>105</v>
      </c>
      <c r="B108">
        <f t="shared" si="61"/>
        <v>3</v>
      </c>
      <c r="C108">
        <f t="shared" si="39"/>
        <v>120</v>
      </c>
      <c r="D108">
        <f t="shared" si="53"/>
        <v>0</v>
      </c>
      <c r="E108">
        <f t="shared" si="73"/>
        <v>3</v>
      </c>
      <c r="F108">
        <f t="shared" si="40"/>
        <v>180</v>
      </c>
      <c r="G108">
        <f t="shared" si="54"/>
        <v>16</v>
      </c>
      <c r="H108">
        <f t="shared" si="62"/>
        <v>2</v>
      </c>
      <c r="I108">
        <f t="shared" si="41"/>
        <v>120</v>
      </c>
      <c r="J108">
        <f t="shared" si="55"/>
        <v>0</v>
      </c>
      <c r="K108">
        <f t="shared" si="63"/>
        <v>2</v>
      </c>
      <c r="L108">
        <f t="shared" si="42"/>
        <v>180</v>
      </c>
      <c r="M108">
        <f t="shared" si="56"/>
        <v>0</v>
      </c>
      <c r="N108">
        <f t="shared" si="64"/>
        <v>2</v>
      </c>
      <c r="O108">
        <f t="shared" si="43"/>
        <v>300</v>
      </c>
      <c r="P108">
        <f t="shared" si="65"/>
        <v>0</v>
      </c>
      <c r="Q108">
        <f t="shared" si="66"/>
        <v>2</v>
      </c>
      <c r="R108">
        <f t="shared" si="44"/>
        <v>300</v>
      </c>
      <c r="S108">
        <f t="shared" si="67"/>
        <v>0</v>
      </c>
      <c r="T108">
        <f t="shared" si="68"/>
        <v>-1</v>
      </c>
      <c r="U108">
        <f t="shared" si="57"/>
        <v>0</v>
      </c>
      <c r="V108">
        <f t="shared" si="58"/>
        <v>1</v>
      </c>
      <c r="W108">
        <f t="shared" si="45"/>
        <v>0</v>
      </c>
      <c r="X108">
        <f t="shared" si="69"/>
        <v>0</v>
      </c>
      <c r="Y108">
        <f t="shared" si="46"/>
        <v>0</v>
      </c>
      <c r="Z108">
        <f t="shared" si="47"/>
        <v>0</v>
      </c>
      <c r="AA108">
        <f t="shared" si="48"/>
        <v>0</v>
      </c>
      <c r="AB108" s="29">
        <f t="shared" si="49"/>
        <v>0.74178816089935007</v>
      </c>
      <c r="AC108" s="25">
        <f t="shared" si="59"/>
        <v>127.49804426656831</v>
      </c>
      <c r="AD108" s="29">
        <f t="shared" si="50"/>
        <v>1.0808524183153847</v>
      </c>
      <c r="AE108" s="25">
        <f t="shared" si="60"/>
        <v>13.243681724743192</v>
      </c>
      <c r="AF108" s="25">
        <f t="shared" si="51"/>
        <v>13.243681724743192</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290.78918279358999</v>
      </c>
      <c r="AH108" s="25">
        <f t="shared" si="70"/>
        <v>0</v>
      </c>
      <c r="AI108" s="25">
        <f t="shared" si="71"/>
        <v>0</v>
      </c>
      <c r="AJ108" s="25">
        <f t="shared" si="72"/>
        <v>0</v>
      </c>
    </row>
    <row r="109" spans="1:36">
      <c r="A109">
        <f t="shared" si="52"/>
        <v>106</v>
      </c>
      <c r="B109">
        <f t="shared" si="61"/>
        <v>3</v>
      </c>
      <c r="C109">
        <f t="shared" si="39"/>
        <v>120</v>
      </c>
      <c r="D109">
        <f t="shared" si="53"/>
        <v>0</v>
      </c>
      <c r="E109">
        <f t="shared" si="73"/>
        <v>3</v>
      </c>
      <c r="F109">
        <f t="shared" si="40"/>
        <v>180</v>
      </c>
      <c r="G109">
        <f t="shared" si="54"/>
        <v>17</v>
      </c>
      <c r="H109">
        <f t="shared" si="62"/>
        <v>2</v>
      </c>
      <c r="I109">
        <f t="shared" si="41"/>
        <v>120</v>
      </c>
      <c r="J109">
        <f t="shared" si="55"/>
        <v>0</v>
      </c>
      <c r="K109">
        <f t="shared" si="63"/>
        <v>2</v>
      </c>
      <c r="L109">
        <f t="shared" si="42"/>
        <v>180</v>
      </c>
      <c r="M109">
        <f t="shared" si="56"/>
        <v>0</v>
      </c>
      <c r="N109">
        <f t="shared" si="64"/>
        <v>2</v>
      </c>
      <c r="O109">
        <f t="shared" si="43"/>
        <v>300</v>
      </c>
      <c r="P109">
        <f t="shared" si="65"/>
        <v>0</v>
      </c>
      <c r="Q109">
        <f t="shared" si="66"/>
        <v>2</v>
      </c>
      <c r="R109">
        <f t="shared" si="44"/>
        <v>300</v>
      </c>
      <c r="S109">
        <f t="shared" si="67"/>
        <v>0</v>
      </c>
      <c r="T109">
        <f t="shared" si="68"/>
        <v>-1</v>
      </c>
      <c r="U109">
        <f t="shared" si="57"/>
        <v>0</v>
      </c>
      <c r="V109">
        <f t="shared" si="58"/>
        <v>1</v>
      </c>
      <c r="W109">
        <f t="shared" si="45"/>
        <v>0</v>
      </c>
      <c r="X109">
        <f t="shared" si="69"/>
        <v>0</v>
      </c>
      <c r="Y109">
        <f t="shared" si="46"/>
        <v>0</v>
      </c>
      <c r="Z109">
        <f t="shared" si="47"/>
        <v>0</v>
      </c>
      <c r="AA109">
        <f t="shared" si="48"/>
        <v>0</v>
      </c>
      <c r="AB109" s="29">
        <f t="shared" si="49"/>
        <v>0.74178816089935007</v>
      </c>
      <c r="AC109" s="25">
        <f t="shared" si="59"/>
        <v>127.49804426656831</v>
      </c>
      <c r="AD109" s="29">
        <f t="shared" si="50"/>
        <v>1.0808524183153847</v>
      </c>
      <c r="AE109" s="25">
        <f t="shared" si="60"/>
        <v>13.243681724743192</v>
      </c>
      <c r="AF109" s="25">
        <f t="shared" si="51"/>
        <v>13.243681724743192</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290.78918279358999</v>
      </c>
      <c r="AH109" s="25">
        <f t="shared" si="70"/>
        <v>0</v>
      </c>
      <c r="AI109" s="25">
        <f t="shared" si="71"/>
        <v>0</v>
      </c>
      <c r="AJ109" s="25">
        <f t="shared" si="72"/>
        <v>0</v>
      </c>
    </row>
    <row r="110" spans="1:36">
      <c r="A110">
        <f t="shared" si="52"/>
        <v>107</v>
      </c>
      <c r="B110">
        <f t="shared" si="61"/>
        <v>3</v>
      </c>
      <c r="C110">
        <f t="shared" si="39"/>
        <v>120</v>
      </c>
      <c r="D110">
        <f t="shared" si="53"/>
        <v>0</v>
      </c>
      <c r="E110">
        <f t="shared" si="73"/>
        <v>3</v>
      </c>
      <c r="F110">
        <f t="shared" si="40"/>
        <v>180</v>
      </c>
      <c r="G110">
        <f t="shared" si="54"/>
        <v>18</v>
      </c>
      <c r="H110">
        <f t="shared" si="62"/>
        <v>2</v>
      </c>
      <c r="I110">
        <f t="shared" si="41"/>
        <v>120</v>
      </c>
      <c r="J110">
        <f t="shared" si="55"/>
        <v>0</v>
      </c>
      <c r="K110">
        <f t="shared" si="63"/>
        <v>2</v>
      </c>
      <c r="L110">
        <f t="shared" si="42"/>
        <v>180</v>
      </c>
      <c r="M110">
        <f t="shared" si="56"/>
        <v>0</v>
      </c>
      <c r="N110">
        <f t="shared" si="64"/>
        <v>2</v>
      </c>
      <c r="O110">
        <f t="shared" si="43"/>
        <v>300</v>
      </c>
      <c r="P110">
        <f t="shared" si="65"/>
        <v>0</v>
      </c>
      <c r="Q110">
        <f t="shared" si="66"/>
        <v>2</v>
      </c>
      <c r="R110">
        <f t="shared" si="44"/>
        <v>300</v>
      </c>
      <c r="S110">
        <f t="shared" si="67"/>
        <v>0</v>
      </c>
      <c r="T110">
        <f t="shared" si="68"/>
        <v>-1</v>
      </c>
      <c r="U110">
        <f t="shared" si="57"/>
        <v>0</v>
      </c>
      <c r="V110">
        <f t="shared" si="58"/>
        <v>1</v>
      </c>
      <c r="W110">
        <f t="shared" si="45"/>
        <v>0</v>
      </c>
      <c r="X110">
        <f t="shared" si="69"/>
        <v>0</v>
      </c>
      <c r="Y110">
        <f t="shared" si="46"/>
        <v>0</v>
      </c>
      <c r="Z110">
        <f t="shared" si="47"/>
        <v>0</v>
      </c>
      <c r="AA110">
        <f t="shared" si="48"/>
        <v>0</v>
      </c>
      <c r="AB110" s="29">
        <f t="shared" si="49"/>
        <v>0.74178816089935007</v>
      </c>
      <c r="AC110" s="25">
        <f t="shared" si="59"/>
        <v>127.49804426656831</v>
      </c>
      <c r="AD110" s="29">
        <f t="shared" si="50"/>
        <v>1.0808524183153847</v>
      </c>
      <c r="AE110" s="25">
        <f t="shared" si="60"/>
        <v>13.243681724743192</v>
      </c>
      <c r="AF110" s="25">
        <f t="shared" si="51"/>
        <v>13.243681724743192</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290.78918279358999</v>
      </c>
      <c r="AH110" s="25">
        <f t="shared" si="70"/>
        <v>0</v>
      </c>
      <c r="AI110" s="25">
        <f t="shared" si="71"/>
        <v>0</v>
      </c>
      <c r="AJ110" s="25">
        <f t="shared" si="72"/>
        <v>0</v>
      </c>
    </row>
    <row r="111" spans="1:36">
      <c r="A111">
        <f t="shared" si="52"/>
        <v>108</v>
      </c>
      <c r="B111">
        <f t="shared" si="61"/>
        <v>3</v>
      </c>
      <c r="C111">
        <f t="shared" si="39"/>
        <v>120</v>
      </c>
      <c r="D111">
        <f t="shared" si="53"/>
        <v>0</v>
      </c>
      <c r="E111">
        <f t="shared" si="73"/>
        <v>3</v>
      </c>
      <c r="F111">
        <f t="shared" si="40"/>
        <v>180</v>
      </c>
      <c r="G111">
        <f t="shared" si="54"/>
        <v>19</v>
      </c>
      <c r="H111">
        <f t="shared" si="62"/>
        <v>2</v>
      </c>
      <c r="I111">
        <f t="shared" si="41"/>
        <v>120</v>
      </c>
      <c r="J111">
        <f t="shared" si="55"/>
        <v>0</v>
      </c>
      <c r="K111">
        <f t="shared" si="63"/>
        <v>2</v>
      </c>
      <c r="L111">
        <f t="shared" si="42"/>
        <v>180</v>
      </c>
      <c r="M111">
        <f t="shared" si="56"/>
        <v>0</v>
      </c>
      <c r="N111">
        <f t="shared" si="64"/>
        <v>2</v>
      </c>
      <c r="O111">
        <f t="shared" si="43"/>
        <v>300</v>
      </c>
      <c r="P111">
        <f t="shared" si="65"/>
        <v>0</v>
      </c>
      <c r="Q111">
        <f t="shared" si="66"/>
        <v>2</v>
      </c>
      <c r="R111">
        <f t="shared" si="44"/>
        <v>300</v>
      </c>
      <c r="S111">
        <f t="shared" si="67"/>
        <v>0</v>
      </c>
      <c r="T111">
        <f t="shared" si="68"/>
        <v>-1</v>
      </c>
      <c r="U111">
        <f t="shared" si="57"/>
        <v>0</v>
      </c>
      <c r="V111">
        <f t="shared" si="58"/>
        <v>1</v>
      </c>
      <c r="W111">
        <f t="shared" si="45"/>
        <v>0</v>
      </c>
      <c r="X111">
        <f t="shared" si="69"/>
        <v>0</v>
      </c>
      <c r="Y111">
        <f t="shared" si="46"/>
        <v>0</v>
      </c>
      <c r="Z111">
        <f t="shared" si="47"/>
        <v>0</v>
      </c>
      <c r="AA111">
        <f t="shared" si="48"/>
        <v>0</v>
      </c>
      <c r="AB111" s="29">
        <f t="shared" si="49"/>
        <v>0.74178816089935007</v>
      </c>
      <c r="AC111" s="25">
        <f t="shared" si="59"/>
        <v>127.49804426656831</v>
      </c>
      <c r="AD111" s="29">
        <f t="shared" si="50"/>
        <v>1.0808524183153847</v>
      </c>
      <c r="AE111" s="25">
        <f t="shared" si="60"/>
        <v>13.243681724743192</v>
      </c>
      <c r="AF111" s="25">
        <f t="shared" si="51"/>
        <v>13.243681724743192</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290.78918279358999</v>
      </c>
      <c r="AH111" s="25">
        <f t="shared" si="70"/>
        <v>0</v>
      </c>
      <c r="AI111" s="25">
        <f t="shared" si="71"/>
        <v>0</v>
      </c>
      <c r="AJ111" s="25">
        <f t="shared" si="72"/>
        <v>0</v>
      </c>
    </row>
    <row r="112" spans="1:36">
      <c r="A112">
        <f t="shared" si="52"/>
        <v>109</v>
      </c>
      <c r="B112">
        <f t="shared" si="61"/>
        <v>3</v>
      </c>
      <c r="C112">
        <f t="shared" si="39"/>
        <v>120</v>
      </c>
      <c r="D112">
        <f t="shared" si="53"/>
        <v>0</v>
      </c>
      <c r="E112">
        <f t="shared" si="73"/>
        <v>3</v>
      </c>
      <c r="F112">
        <f t="shared" si="40"/>
        <v>180</v>
      </c>
      <c r="G112">
        <f t="shared" si="54"/>
        <v>20</v>
      </c>
      <c r="H112">
        <f t="shared" si="62"/>
        <v>2</v>
      </c>
      <c r="I112">
        <f t="shared" si="41"/>
        <v>120</v>
      </c>
      <c r="J112">
        <f t="shared" si="55"/>
        <v>0</v>
      </c>
      <c r="K112">
        <f t="shared" si="63"/>
        <v>2</v>
      </c>
      <c r="L112">
        <f t="shared" si="42"/>
        <v>180</v>
      </c>
      <c r="M112">
        <f t="shared" si="56"/>
        <v>0</v>
      </c>
      <c r="N112">
        <f t="shared" si="64"/>
        <v>2</v>
      </c>
      <c r="O112">
        <f t="shared" si="43"/>
        <v>300</v>
      </c>
      <c r="P112">
        <f t="shared" si="65"/>
        <v>0</v>
      </c>
      <c r="Q112">
        <f t="shared" si="66"/>
        <v>2</v>
      </c>
      <c r="R112">
        <f t="shared" si="44"/>
        <v>300</v>
      </c>
      <c r="S112">
        <f t="shared" si="67"/>
        <v>0</v>
      </c>
      <c r="T112">
        <f t="shared" si="68"/>
        <v>-1</v>
      </c>
      <c r="U112">
        <f t="shared" si="57"/>
        <v>0</v>
      </c>
      <c r="V112">
        <f t="shared" si="58"/>
        <v>1</v>
      </c>
      <c r="W112">
        <f t="shared" si="45"/>
        <v>0</v>
      </c>
      <c r="X112">
        <f t="shared" si="69"/>
        <v>0</v>
      </c>
      <c r="Y112">
        <f t="shared" si="46"/>
        <v>0</v>
      </c>
      <c r="Z112">
        <f t="shared" si="47"/>
        <v>0</v>
      </c>
      <c r="AA112">
        <f t="shared" si="48"/>
        <v>0</v>
      </c>
      <c r="AB112" s="29">
        <f t="shared" si="49"/>
        <v>0.74178816089935007</v>
      </c>
      <c r="AC112" s="25">
        <f t="shared" si="59"/>
        <v>127.49804426656831</v>
      </c>
      <c r="AD112" s="29">
        <f t="shared" si="50"/>
        <v>1.0808524183153847</v>
      </c>
      <c r="AE112" s="25">
        <f t="shared" si="60"/>
        <v>13.243681724743192</v>
      </c>
      <c r="AF112" s="25">
        <f t="shared" si="51"/>
        <v>13.243681724743192</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290.78918279358999</v>
      </c>
      <c r="AH112" s="25">
        <f t="shared" si="70"/>
        <v>0</v>
      </c>
      <c r="AI112" s="25">
        <f t="shared" si="71"/>
        <v>0</v>
      </c>
      <c r="AJ112" s="25">
        <f t="shared" si="72"/>
        <v>0</v>
      </c>
    </row>
    <row r="113" spans="1:36">
      <c r="A113">
        <f t="shared" si="52"/>
        <v>110</v>
      </c>
      <c r="B113">
        <f t="shared" si="61"/>
        <v>3</v>
      </c>
      <c r="C113">
        <f t="shared" si="39"/>
        <v>120</v>
      </c>
      <c r="D113">
        <f t="shared" si="53"/>
        <v>0</v>
      </c>
      <c r="E113">
        <f t="shared" si="73"/>
        <v>3</v>
      </c>
      <c r="F113">
        <f t="shared" si="40"/>
        <v>180</v>
      </c>
      <c r="G113">
        <f t="shared" si="54"/>
        <v>21</v>
      </c>
      <c r="H113">
        <f t="shared" si="62"/>
        <v>2</v>
      </c>
      <c r="I113">
        <f t="shared" si="41"/>
        <v>120</v>
      </c>
      <c r="J113">
        <f t="shared" si="55"/>
        <v>0</v>
      </c>
      <c r="K113">
        <f t="shared" si="63"/>
        <v>2</v>
      </c>
      <c r="L113">
        <f t="shared" si="42"/>
        <v>180</v>
      </c>
      <c r="M113">
        <f t="shared" si="56"/>
        <v>0</v>
      </c>
      <c r="N113">
        <f t="shared" si="64"/>
        <v>2</v>
      </c>
      <c r="O113">
        <f t="shared" si="43"/>
        <v>300</v>
      </c>
      <c r="P113">
        <f t="shared" si="65"/>
        <v>0</v>
      </c>
      <c r="Q113">
        <f t="shared" si="66"/>
        <v>2</v>
      </c>
      <c r="R113">
        <f t="shared" si="44"/>
        <v>300</v>
      </c>
      <c r="S113">
        <f t="shared" si="67"/>
        <v>0</v>
      </c>
      <c r="T113">
        <f t="shared" si="68"/>
        <v>-1</v>
      </c>
      <c r="U113">
        <f t="shared" si="57"/>
        <v>0</v>
      </c>
      <c r="V113">
        <f t="shared" si="58"/>
        <v>1</v>
      </c>
      <c r="W113">
        <f t="shared" si="45"/>
        <v>0</v>
      </c>
      <c r="X113">
        <f t="shared" si="69"/>
        <v>0</v>
      </c>
      <c r="Y113">
        <f t="shared" si="46"/>
        <v>0</v>
      </c>
      <c r="Z113">
        <f t="shared" si="47"/>
        <v>0</v>
      </c>
      <c r="AA113">
        <f t="shared" si="48"/>
        <v>0</v>
      </c>
      <c r="AB113" s="29">
        <f t="shared" si="49"/>
        <v>0.74178816089935007</v>
      </c>
      <c r="AC113" s="25">
        <f t="shared" si="59"/>
        <v>127.49804426656831</v>
      </c>
      <c r="AD113" s="29">
        <f t="shared" si="50"/>
        <v>1.0808524183153847</v>
      </c>
      <c r="AE113" s="25">
        <f t="shared" si="60"/>
        <v>13.243681724743192</v>
      </c>
      <c r="AF113" s="25">
        <f t="shared" si="51"/>
        <v>13.243681724743192</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290.78918279358999</v>
      </c>
      <c r="AH113" s="25">
        <f t="shared" si="70"/>
        <v>0</v>
      </c>
      <c r="AI113" s="25">
        <f t="shared" si="71"/>
        <v>0</v>
      </c>
      <c r="AJ113" s="25">
        <f t="shared" si="72"/>
        <v>0</v>
      </c>
    </row>
    <row r="114" spans="1:36">
      <c r="A114">
        <f t="shared" si="52"/>
        <v>111</v>
      </c>
      <c r="B114">
        <f t="shared" si="61"/>
        <v>3</v>
      </c>
      <c r="C114">
        <f t="shared" si="39"/>
        <v>120</v>
      </c>
      <c r="D114">
        <f t="shared" si="53"/>
        <v>0</v>
      </c>
      <c r="E114">
        <f t="shared" si="73"/>
        <v>3</v>
      </c>
      <c r="F114">
        <f t="shared" si="40"/>
        <v>180</v>
      </c>
      <c r="G114">
        <f t="shared" si="54"/>
        <v>22</v>
      </c>
      <c r="H114">
        <f t="shared" si="62"/>
        <v>2</v>
      </c>
      <c r="I114">
        <f t="shared" si="41"/>
        <v>120</v>
      </c>
      <c r="J114">
        <f t="shared" si="55"/>
        <v>0</v>
      </c>
      <c r="K114">
        <f t="shared" si="63"/>
        <v>2</v>
      </c>
      <c r="L114">
        <f t="shared" si="42"/>
        <v>180</v>
      </c>
      <c r="M114">
        <f t="shared" si="56"/>
        <v>0</v>
      </c>
      <c r="N114">
        <f t="shared" si="64"/>
        <v>2</v>
      </c>
      <c r="O114">
        <f t="shared" si="43"/>
        <v>300</v>
      </c>
      <c r="P114">
        <f t="shared" si="65"/>
        <v>0</v>
      </c>
      <c r="Q114">
        <f t="shared" si="66"/>
        <v>2</v>
      </c>
      <c r="R114">
        <f t="shared" si="44"/>
        <v>300</v>
      </c>
      <c r="S114">
        <f t="shared" si="67"/>
        <v>0</v>
      </c>
      <c r="T114">
        <f t="shared" si="68"/>
        <v>-1</v>
      </c>
      <c r="U114">
        <f t="shared" si="57"/>
        <v>0</v>
      </c>
      <c r="V114">
        <f t="shared" si="58"/>
        <v>1</v>
      </c>
      <c r="W114">
        <f t="shared" si="45"/>
        <v>0</v>
      </c>
      <c r="X114">
        <f t="shared" si="69"/>
        <v>0</v>
      </c>
      <c r="Y114">
        <f t="shared" si="46"/>
        <v>0</v>
      </c>
      <c r="Z114">
        <f t="shared" si="47"/>
        <v>0</v>
      </c>
      <c r="AA114">
        <f t="shared" si="48"/>
        <v>0</v>
      </c>
      <c r="AB114" s="29">
        <f t="shared" si="49"/>
        <v>0.74178816089935007</v>
      </c>
      <c r="AC114" s="25">
        <f t="shared" si="59"/>
        <v>127.49804426656831</v>
      </c>
      <c r="AD114" s="29">
        <f t="shared" si="50"/>
        <v>1.0808524183153847</v>
      </c>
      <c r="AE114" s="25">
        <f t="shared" si="60"/>
        <v>13.243681724743192</v>
      </c>
      <c r="AF114" s="25">
        <f t="shared" si="51"/>
        <v>13.243681724743192</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290.78918279358999</v>
      </c>
      <c r="AH114" s="25">
        <f t="shared" si="70"/>
        <v>0</v>
      </c>
      <c r="AI114" s="25">
        <f t="shared" si="71"/>
        <v>0</v>
      </c>
      <c r="AJ114" s="25">
        <f t="shared" si="72"/>
        <v>0</v>
      </c>
    </row>
    <row r="115" spans="1:36">
      <c r="A115">
        <f t="shared" si="52"/>
        <v>112</v>
      </c>
      <c r="B115">
        <f t="shared" si="61"/>
        <v>3</v>
      </c>
      <c r="C115">
        <f t="shared" si="39"/>
        <v>120</v>
      </c>
      <c r="D115">
        <f t="shared" si="53"/>
        <v>0</v>
      </c>
      <c r="E115">
        <f t="shared" si="73"/>
        <v>3</v>
      </c>
      <c r="F115">
        <f t="shared" si="40"/>
        <v>180</v>
      </c>
      <c r="G115">
        <f t="shared" si="54"/>
        <v>23</v>
      </c>
      <c r="H115">
        <f t="shared" si="62"/>
        <v>2</v>
      </c>
      <c r="I115">
        <f t="shared" si="41"/>
        <v>120</v>
      </c>
      <c r="J115">
        <f t="shared" si="55"/>
        <v>0</v>
      </c>
      <c r="K115">
        <f t="shared" si="63"/>
        <v>2</v>
      </c>
      <c r="L115">
        <f t="shared" si="42"/>
        <v>180</v>
      </c>
      <c r="M115">
        <f t="shared" si="56"/>
        <v>0</v>
      </c>
      <c r="N115">
        <f t="shared" si="64"/>
        <v>2</v>
      </c>
      <c r="O115">
        <f t="shared" si="43"/>
        <v>300</v>
      </c>
      <c r="P115">
        <f t="shared" si="65"/>
        <v>0</v>
      </c>
      <c r="Q115">
        <f t="shared" si="66"/>
        <v>2</v>
      </c>
      <c r="R115">
        <f t="shared" si="44"/>
        <v>300</v>
      </c>
      <c r="S115">
        <f t="shared" si="67"/>
        <v>0</v>
      </c>
      <c r="T115">
        <f t="shared" si="68"/>
        <v>-1</v>
      </c>
      <c r="U115">
        <f t="shared" si="57"/>
        <v>0</v>
      </c>
      <c r="V115">
        <f t="shared" si="58"/>
        <v>1</v>
      </c>
      <c r="W115">
        <f t="shared" si="45"/>
        <v>0</v>
      </c>
      <c r="X115">
        <f t="shared" si="69"/>
        <v>0</v>
      </c>
      <c r="Y115">
        <f t="shared" si="46"/>
        <v>0</v>
      </c>
      <c r="Z115">
        <f t="shared" si="47"/>
        <v>0</v>
      </c>
      <c r="AA115">
        <f t="shared" si="48"/>
        <v>0</v>
      </c>
      <c r="AB115" s="29">
        <f t="shared" si="49"/>
        <v>0.74178816089935007</v>
      </c>
      <c r="AC115" s="25">
        <f t="shared" si="59"/>
        <v>127.49804426656831</v>
      </c>
      <c r="AD115" s="29">
        <f t="shared" si="50"/>
        <v>1.0808524183153847</v>
      </c>
      <c r="AE115" s="25">
        <f t="shared" si="60"/>
        <v>13.243681724743192</v>
      </c>
      <c r="AF115" s="25">
        <f t="shared" si="51"/>
        <v>13.243681724743192</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290.78918279358999</v>
      </c>
      <c r="AH115" s="25">
        <f t="shared" si="70"/>
        <v>0</v>
      </c>
      <c r="AI115" s="25">
        <f t="shared" si="71"/>
        <v>0</v>
      </c>
      <c r="AJ115" s="25">
        <f t="shared" si="72"/>
        <v>0</v>
      </c>
    </row>
    <row r="116" spans="1:36">
      <c r="A116">
        <f t="shared" si="52"/>
        <v>113</v>
      </c>
      <c r="B116">
        <f t="shared" si="61"/>
        <v>3</v>
      </c>
      <c r="C116">
        <f t="shared" si="39"/>
        <v>120</v>
      </c>
      <c r="D116">
        <f t="shared" si="53"/>
        <v>0</v>
      </c>
      <c r="E116">
        <f t="shared" si="73"/>
        <v>3</v>
      </c>
      <c r="F116">
        <f t="shared" si="40"/>
        <v>180</v>
      </c>
      <c r="G116">
        <f t="shared" si="54"/>
        <v>24</v>
      </c>
      <c r="H116">
        <f t="shared" si="62"/>
        <v>2</v>
      </c>
      <c r="I116">
        <f t="shared" si="41"/>
        <v>120</v>
      </c>
      <c r="J116">
        <f t="shared" si="55"/>
        <v>0</v>
      </c>
      <c r="K116">
        <f t="shared" si="63"/>
        <v>2</v>
      </c>
      <c r="L116">
        <f t="shared" si="42"/>
        <v>180</v>
      </c>
      <c r="M116">
        <f t="shared" si="56"/>
        <v>0</v>
      </c>
      <c r="N116">
        <f t="shared" si="64"/>
        <v>2</v>
      </c>
      <c r="O116">
        <f t="shared" si="43"/>
        <v>300</v>
      </c>
      <c r="P116">
        <f t="shared" si="65"/>
        <v>0</v>
      </c>
      <c r="Q116">
        <f t="shared" si="66"/>
        <v>2</v>
      </c>
      <c r="R116">
        <f t="shared" si="44"/>
        <v>300</v>
      </c>
      <c r="S116">
        <f t="shared" si="67"/>
        <v>0</v>
      </c>
      <c r="T116">
        <f t="shared" si="68"/>
        <v>-1</v>
      </c>
      <c r="U116">
        <f t="shared" si="57"/>
        <v>0</v>
      </c>
      <c r="V116">
        <f t="shared" si="58"/>
        <v>1</v>
      </c>
      <c r="W116">
        <f t="shared" si="45"/>
        <v>0</v>
      </c>
      <c r="X116">
        <f t="shared" si="69"/>
        <v>0</v>
      </c>
      <c r="Y116">
        <f t="shared" si="46"/>
        <v>0</v>
      </c>
      <c r="Z116">
        <f t="shared" si="47"/>
        <v>0</v>
      </c>
      <c r="AA116">
        <f t="shared" si="48"/>
        <v>0</v>
      </c>
      <c r="AB116" s="29">
        <f t="shared" si="49"/>
        <v>0.74178816089935007</v>
      </c>
      <c r="AC116" s="25">
        <f t="shared" si="59"/>
        <v>127.49804426656831</v>
      </c>
      <c r="AD116" s="29">
        <f t="shared" si="50"/>
        <v>1.0808524183153847</v>
      </c>
      <c r="AE116" s="25">
        <f t="shared" si="60"/>
        <v>13.243681724743192</v>
      </c>
      <c r="AF116" s="25">
        <f t="shared" si="51"/>
        <v>13.243681724743192</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290.78918279358999</v>
      </c>
      <c r="AH116" s="25">
        <f t="shared" si="70"/>
        <v>0</v>
      </c>
      <c r="AI116" s="25">
        <f t="shared" si="71"/>
        <v>0</v>
      </c>
      <c r="AJ116" s="25">
        <f t="shared" si="72"/>
        <v>0</v>
      </c>
    </row>
    <row r="117" spans="1:36">
      <c r="A117">
        <f t="shared" si="52"/>
        <v>114</v>
      </c>
      <c r="B117">
        <f t="shared" si="61"/>
        <v>3</v>
      </c>
      <c r="C117">
        <f t="shared" si="39"/>
        <v>120</v>
      </c>
      <c r="D117">
        <f t="shared" si="53"/>
        <v>0</v>
      </c>
      <c r="E117">
        <f t="shared" si="73"/>
        <v>3</v>
      </c>
      <c r="F117">
        <f t="shared" si="40"/>
        <v>180</v>
      </c>
      <c r="G117">
        <f t="shared" si="54"/>
        <v>25</v>
      </c>
      <c r="H117">
        <f t="shared" si="62"/>
        <v>2</v>
      </c>
      <c r="I117">
        <f t="shared" si="41"/>
        <v>120</v>
      </c>
      <c r="J117">
        <f t="shared" si="55"/>
        <v>0</v>
      </c>
      <c r="K117">
        <f t="shared" si="63"/>
        <v>2</v>
      </c>
      <c r="L117">
        <f t="shared" si="42"/>
        <v>180</v>
      </c>
      <c r="M117">
        <f t="shared" si="56"/>
        <v>0</v>
      </c>
      <c r="N117">
        <f t="shared" si="64"/>
        <v>2</v>
      </c>
      <c r="O117">
        <f t="shared" si="43"/>
        <v>300</v>
      </c>
      <c r="P117">
        <f t="shared" si="65"/>
        <v>0</v>
      </c>
      <c r="Q117">
        <f t="shared" si="66"/>
        <v>2</v>
      </c>
      <c r="R117">
        <f t="shared" si="44"/>
        <v>300</v>
      </c>
      <c r="S117">
        <f t="shared" si="67"/>
        <v>0</v>
      </c>
      <c r="T117">
        <f t="shared" si="68"/>
        <v>-1</v>
      </c>
      <c r="U117">
        <f t="shared" si="57"/>
        <v>0</v>
      </c>
      <c r="V117">
        <f t="shared" si="58"/>
        <v>1</v>
      </c>
      <c r="W117">
        <f t="shared" si="45"/>
        <v>0</v>
      </c>
      <c r="X117">
        <f t="shared" si="69"/>
        <v>0</v>
      </c>
      <c r="Y117">
        <f t="shared" si="46"/>
        <v>0</v>
      </c>
      <c r="Z117">
        <f t="shared" si="47"/>
        <v>0</v>
      </c>
      <c r="AA117">
        <f t="shared" si="48"/>
        <v>0</v>
      </c>
      <c r="AB117" s="29">
        <f t="shared" si="49"/>
        <v>0.74178816089935007</v>
      </c>
      <c r="AC117" s="25">
        <f t="shared" si="59"/>
        <v>127.49804426656831</v>
      </c>
      <c r="AD117" s="29">
        <f t="shared" si="50"/>
        <v>1.0808524183153847</v>
      </c>
      <c r="AE117" s="25">
        <f t="shared" si="60"/>
        <v>13.243681724743192</v>
      </c>
      <c r="AF117" s="25">
        <f t="shared" si="51"/>
        <v>13.243681724743192</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290.78918279358999</v>
      </c>
      <c r="AH117" s="25">
        <f t="shared" si="70"/>
        <v>0</v>
      </c>
      <c r="AI117" s="25">
        <f t="shared" si="71"/>
        <v>0</v>
      </c>
      <c r="AJ117" s="25">
        <f t="shared" si="72"/>
        <v>0</v>
      </c>
    </row>
    <row r="118" spans="1:36">
      <c r="A118">
        <f t="shared" si="52"/>
        <v>115</v>
      </c>
      <c r="B118">
        <f t="shared" si="61"/>
        <v>3</v>
      </c>
      <c r="C118">
        <f t="shared" si="39"/>
        <v>120</v>
      </c>
      <c r="D118">
        <f t="shared" si="53"/>
        <v>0</v>
      </c>
      <c r="E118">
        <f t="shared" si="73"/>
        <v>3</v>
      </c>
      <c r="F118">
        <f t="shared" si="40"/>
        <v>180</v>
      </c>
      <c r="G118">
        <f t="shared" si="54"/>
        <v>26</v>
      </c>
      <c r="H118">
        <f t="shared" si="62"/>
        <v>2</v>
      </c>
      <c r="I118">
        <f t="shared" si="41"/>
        <v>120</v>
      </c>
      <c r="J118">
        <f t="shared" si="55"/>
        <v>0</v>
      </c>
      <c r="K118">
        <f t="shared" si="63"/>
        <v>2</v>
      </c>
      <c r="L118">
        <f t="shared" si="42"/>
        <v>180</v>
      </c>
      <c r="M118">
        <f t="shared" si="56"/>
        <v>0</v>
      </c>
      <c r="N118">
        <f t="shared" si="64"/>
        <v>2</v>
      </c>
      <c r="O118">
        <f t="shared" si="43"/>
        <v>300</v>
      </c>
      <c r="P118">
        <f t="shared" si="65"/>
        <v>0</v>
      </c>
      <c r="Q118">
        <f t="shared" si="66"/>
        <v>2</v>
      </c>
      <c r="R118">
        <f t="shared" si="44"/>
        <v>300</v>
      </c>
      <c r="S118">
        <f t="shared" si="67"/>
        <v>0</v>
      </c>
      <c r="T118">
        <f t="shared" si="68"/>
        <v>-1</v>
      </c>
      <c r="U118">
        <f t="shared" si="57"/>
        <v>0</v>
      </c>
      <c r="V118">
        <f t="shared" si="58"/>
        <v>1</v>
      </c>
      <c r="W118">
        <f t="shared" si="45"/>
        <v>0</v>
      </c>
      <c r="X118">
        <f t="shared" si="69"/>
        <v>0</v>
      </c>
      <c r="Y118">
        <f t="shared" si="46"/>
        <v>0</v>
      </c>
      <c r="Z118">
        <f t="shared" si="47"/>
        <v>0</v>
      </c>
      <c r="AA118">
        <f t="shared" si="48"/>
        <v>0</v>
      </c>
      <c r="AB118" s="29">
        <f t="shared" si="49"/>
        <v>0.74178816089935007</v>
      </c>
      <c r="AC118" s="25">
        <f t="shared" si="59"/>
        <v>127.49804426656831</v>
      </c>
      <c r="AD118" s="29">
        <f t="shared" si="50"/>
        <v>1.0808524183153847</v>
      </c>
      <c r="AE118" s="25">
        <f t="shared" si="60"/>
        <v>13.243681724743192</v>
      </c>
      <c r="AF118" s="25">
        <f t="shared" si="51"/>
        <v>13.243681724743192</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290.78918279358999</v>
      </c>
      <c r="AH118" s="25">
        <f t="shared" si="70"/>
        <v>0</v>
      </c>
      <c r="AI118" s="25">
        <f t="shared" si="71"/>
        <v>0</v>
      </c>
      <c r="AJ118" s="25">
        <f t="shared" si="72"/>
        <v>0</v>
      </c>
    </row>
    <row r="119" spans="1:36">
      <c r="A119">
        <f t="shared" si="52"/>
        <v>116</v>
      </c>
      <c r="B119">
        <f t="shared" si="61"/>
        <v>3</v>
      </c>
      <c r="C119">
        <f t="shared" si="39"/>
        <v>120</v>
      </c>
      <c r="D119">
        <f t="shared" si="53"/>
        <v>0</v>
      </c>
      <c r="E119">
        <f t="shared" si="73"/>
        <v>3</v>
      </c>
      <c r="F119">
        <f t="shared" si="40"/>
        <v>180</v>
      </c>
      <c r="G119">
        <f t="shared" si="54"/>
        <v>27</v>
      </c>
      <c r="H119">
        <f t="shared" si="62"/>
        <v>2</v>
      </c>
      <c r="I119">
        <f t="shared" si="41"/>
        <v>120</v>
      </c>
      <c r="J119">
        <f t="shared" si="55"/>
        <v>0</v>
      </c>
      <c r="K119">
        <f t="shared" si="63"/>
        <v>2</v>
      </c>
      <c r="L119">
        <f t="shared" si="42"/>
        <v>180</v>
      </c>
      <c r="M119">
        <f t="shared" si="56"/>
        <v>0</v>
      </c>
      <c r="N119">
        <f t="shared" si="64"/>
        <v>2</v>
      </c>
      <c r="O119">
        <f t="shared" si="43"/>
        <v>300</v>
      </c>
      <c r="P119">
        <f t="shared" si="65"/>
        <v>0</v>
      </c>
      <c r="Q119">
        <f t="shared" si="66"/>
        <v>2</v>
      </c>
      <c r="R119">
        <f t="shared" si="44"/>
        <v>300</v>
      </c>
      <c r="S119">
        <f t="shared" si="67"/>
        <v>0</v>
      </c>
      <c r="T119">
        <f t="shared" si="68"/>
        <v>-1</v>
      </c>
      <c r="U119">
        <f t="shared" si="57"/>
        <v>0</v>
      </c>
      <c r="V119">
        <f t="shared" si="58"/>
        <v>1</v>
      </c>
      <c r="W119">
        <f t="shared" si="45"/>
        <v>0</v>
      </c>
      <c r="X119">
        <f t="shared" si="69"/>
        <v>0</v>
      </c>
      <c r="Y119">
        <f t="shared" si="46"/>
        <v>0</v>
      </c>
      <c r="Z119">
        <f t="shared" si="47"/>
        <v>0</v>
      </c>
      <c r="AA119">
        <f t="shared" si="48"/>
        <v>0</v>
      </c>
      <c r="AB119" s="29">
        <f t="shared" si="49"/>
        <v>0.74178816089935007</v>
      </c>
      <c r="AC119" s="25">
        <f t="shared" si="59"/>
        <v>127.49804426656831</v>
      </c>
      <c r="AD119" s="29">
        <f t="shared" si="50"/>
        <v>1.0808524183153847</v>
      </c>
      <c r="AE119" s="25">
        <f t="shared" si="60"/>
        <v>13.243681724743192</v>
      </c>
      <c r="AF119" s="25">
        <f t="shared" si="51"/>
        <v>13.243681724743192</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290.78918279358999</v>
      </c>
      <c r="AH119" s="25">
        <f t="shared" si="70"/>
        <v>0</v>
      </c>
      <c r="AI119" s="25">
        <f t="shared" si="71"/>
        <v>0</v>
      </c>
      <c r="AJ119" s="25">
        <f t="shared" si="72"/>
        <v>0</v>
      </c>
    </row>
    <row r="120" spans="1:36">
      <c r="A120">
        <f t="shared" si="52"/>
        <v>117</v>
      </c>
      <c r="B120">
        <f t="shared" si="61"/>
        <v>3</v>
      </c>
      <c r="C120">
        <f t="shared" si="39"/>
        <v>120</v>
      </c>
      <c r="D120">
        <f t="shared" si="53"/>
        <v>0</v>
      </c>
      <c r="E120">
        <f t="shared" si="73"/>
        <v>3</v>
      </c>
      <c r="F120">
        <f t="shared" si="40"/>
        <v>180</v>
      </c>
      <c r="G120">
        <f t="shared" si="54"/>
        <v>28</v>
      </c>
      <c r="H120">
        <f t="shared" si="62"/>
        <v>2</v>
      </c>
      <c r="I120">
        <f t="shared" si="41"/>
        <v>120</v>
      </c>
      <c r="J120">
        <f t="shared" si="55"/>
        <v>0</v>
      </c>
      <c r="K120">
        <f t="shared" si="63"/>
        <v>2</v>
      </c>
      <c r="L120">
        <f t="shared" si="42"/>
        <v>180</v>
      </c>
      <c r="M120">
        <f t="shared" si="56"/>
        <v>0</v>
      </c>
      <c r="N120">
        <f t="shared" si="64"/>
        <v>2</v>
      </c>
      <c r="O120">
        <f t="shared" si="43"/>
        <v>300</v>
      </c>
      <c r="P120">
        <f t="shared" si="65"/>
        <v>0</v>
      </c>
      <c r="Q120">
        <f t="shared" si="66"/>
        <v>2</v>
      </c>
      <c r="R120">
        <f t="shared" si="44"/>
        <v>300</v>
      </c>
      <c r="S120">
        <f t="shared" si="67"/>
        <v>0</v>
      </c>
      <c r="T120">
        <f t="shared" si="68"/>
        <v>-1</v>
      </c>
      <c r="U120">
        <f t="shared" si="57"/>
        <v>0</v>
      </c>
      <c r="V120">
        <f t="shared" si="58"/>
        <v>1</v>
      </c>
      <c r="W120">
        <f t="shared" si="45"/>
        <v>0</v>
      </c>
      <c r="X120">
        <f t="shared" si="69"/>
        <v>0</v>
      </c>
      <c r="Y120">
        <f t="shared" si="46"/>
        <v>0</v>
      </c>
      <c r="Z120">
        <f t="shared" si="47"/>
        <v>0</v>
      </c>
      <c r="AA120">
        <f t="shared" si="48"/>
        <v>0</v>
      </c>
      <c r="AB120" s="29">
        <f t="shared" si="49"/>
        <v>0.74178816089935007</v>
      </c>
      <c r="AC120" s="25">
        <f t="shared" si="59"/>
        <v>127.49804426656831</v>
      </c>
      <c r="AD120" s="29">
        <f t="shared" si="50"/>
        <v>1.0808524183153847</v>
      </c>
      <c r="AE120" s="25">
        <f t="shared" si="60"/>
        <v>13.243681724743192</v>
      </c>
      <c r="AF120" s="25">
        <f t="shared" si="51"/>
        <v>13.243681724743192</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290.78918279358999</v>
      </c>
      <c r="AH120" s="25">
        <f t="shared" si="70"/>
        <v>0</v>
      </c>
      <c r="AI120" s="25">
        <f t="shared" si="71"/>
        <v>0</v>
      </c>
      <c r="AJ120" s="25">
        <f t="shared" si="72"/>
        <v>0</v>
      </c>
    </row>
    <row r="121" spans="1:36">
      <c r="A121">
        <f t="shared" si="52"/>
        <v>118</v>
      </c>
      <c r="B121">
        <f t="shared" si="61"/>
        <v>3</v>
      </c>
      <c r="C121">
        <f t="shared" si="39"/>
        <v>120</v>
      </c>
      <c r="D121">
        <f t="shared" si="53"/>
        <v>0</v>
      </c>
      <c r="E121">
        <f t="shared" si="73"/>
        <v>3</v>
      </c>
      <c r="F121">
        <f t="shared" si="40"/>
        <v>180</v>
      </c>
      <c r="G121">
        <f t="shared" si="54"/>
        <v>29</v>
      </c>
      <c r="H121">
        <f t="shared" si="62"/>
        <v>2</v>
      </c>
      <c r="I121">
        <f t="shared" si="41"/>
        <v>120</v>
      </c>
      <c r="J121">
        <f t="shared" si="55"/>
        <v>0</v>
      </c>
      <c r="K121">
        <f t="shared" si="63"/>
        <v>2</v>
      </c>
      <c r="L121">
        <f t="shared" si="42"/>
        <v>180</v>
      </c>
      <c r="M121">
        <f t="shared" si="56"/>
        <v>0</v>
      </c>
      <c r="N121">
        <f t="shared" si="64"/>
        <v>2</v>
      </c>
      <c r="O121">
        <f t="shared" si="43"/>
        <v>300</v>
      </c>
      <c r="P121">
        <f t="shared" si="65"/>
        <v>0</v>
      </c>
      <c r="Q121">
        <f t="shared" si="66"/>
        <v>2</v>
      </c>
      <c r="R121">
        <f t="shared" si="44"/>
        <v>300</v>
      </c>
      <c r="S121">
        <f t="shared" si="67"/>
        <v>0</v>
      </c>
      <c r="T121">
        <f t="shared" si="68"/>
        <v>-1</v>
      </c>
      <c r="U121">
        <f t="shared" si="57"/>
        <v>0</v>
      </c>
      <c r="V121">
        <f t="shared" si="58"/>
        <v>1</v>
      </c>
      <c r="W121">
        <f t="shared" si="45"/>
        <v>0</v>
      </c>
      <c r="X121">
        <f t="shared" si="69"/>
        <v>0</v>
      </c>
      <c r="Y121">
        <f t="shared" si="46"/>
        <v>0</v>
      </c>
      <c r="Z121">
        <f t="shared" si="47"/>
        <v>0</v>
      </c>
      <c r="AA121">
        <f t="shared" si="48"/>
        <v>0</v>
      </c>
      <c r="AB121" s="29">
        <f t="shared" si="49"/>
        <v>0.74178816089935007</v>
      </c>
      <c r="AC121" s="25">
        <f t="shared" si="59"/>
        <v>127.49804426656831</v>
      </c>
      <c r="AD121" s="29">
        <f t="shared" si="50"/>
        <v>1.0808524183153847</v>
      </c>
      <c r="AE121" s="25">
        <f t="shared" si="60"/>
        <v>13.243681724743192</v>
      </c>
      <c r="AF121" s="25">
        <f t="shared" si="51"/>
        <v>13.243681724743192</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290.78918279358999</v>
      </c>
      <c r="AH121" s="25">
        <f t="shared" si="70"/>
        <v>0</v>
      </c>
      <c r="AI121" s="25">
        <f t="shared" si="71"/>
        <v>0</v>
      </c>
      <c r="AJ121" s="25">
        <f t="shared" si="72"/>
        <v>0</v>
      </c>
    </row>
    <row r="122" spans="1:36">
      <c r="A122">
        <f t="shared" si="52"/>
        <v>119</v>
      </c>
      <c r="B122">
        <f t="shared" si="61"/>
        <v>3</v>
      </c>
      <c r="C122">
        <f t="shared" si="39"/>
        <v>120</v>
      </c>
      <c r="D122">
        <f t="shared" si="53"/>
        <v>0</v>
      </c>
      <c r="E122">
        <f t="shared" si="73"/>
        <v>3</v>
      </c>
      <c r="F122">
        <f t="shared" si="40"/>
        <v>180</v>
      </c>
      <c r="G122">
        <f t="shared" si="54"/>
        <v>30</v>
      </c>
      <c r="H122">
        <f t="shared" si="62"/>
        <v>2</v>
      </c>
      <c r="I122">
        <f t="shared" si="41"/>
        <v>120</v>
      </c>
      <c r="J122">
        <f t="shared" si="55"/>
        <v>0</v>
      </c>
      <c r="K122">
        <f t="shared" si="63"/>
        <v>2</v>
      </c>
      <c r="L122">
        <f t="shared" si="42"/>
        <v>180</v>
      </c>
      <c r="M122">
        <f t="shared" si="56"/>
        <v>0</v>
      </c>
      <c r="N122">
        <f t="shared" si="64"/>
        <v>2</v>
      </c>
      <c r="O122">
        <f t="shared" si="43"/>
        <v>300</v>
      </c>
      <c r="P122">
        <f t="shared" si="65"/>
        <v>0</v>
      </c>
      <c r="Q122">
        <f t="shared" si="66"/>
        <v>2</v>
      </c>
      <c r="R122">
        <f t="shared" si="44"/>
        <v>300</v>
      </c>
      <c r="S122">
        <f t="shared" si="67"/>
        <v>0</v>
      </c>
      <c r="T122">
        <f t="shared" si="68"/>
        <v>-1</v>
      </c>
      <c r="U122">
        <f t="shared" si="57"/>
        <v>0</v>
      </c>
      <c r="V122">
        <f t="shared" si="58"/>
        <v>1</v>
      </c>
      <c r="W122">
        <f t="shared" si="45"/>
        <v>0</v>
      </c>
      <c r="X122">
        <f t="shared" si="69"/>
        <v>0</v>
      </c>
      <c r="Y122">
        <f t="shared" si="46"/>
        <v>0</v>
      </c>
      <c r="Z122">
        <f t="shared" si="47"/>
        <v>0</v>
      </c>
      <c r="AA122">
        <f t="shared" si="48"/>
        <v>0</v>
      </c>
      <c r="AB122" s="29">
        <f t="shared" si="49"/>
        <v>0.74178816089935007</v>
      </c>
      <c r="AC122" s="25">
        <f t="shared" si="59"/>
        <v>127.49804426656831</v>
      </c>
      <c r="AD122" s="29">
        <f t="shared" si="50"/>
        <v>1.0808524183153847</v>
      </c>
      <c r="AE122" s="25">
        <f t="shared" si="60"/>
        <v>13.243681724743192</v>
      </c>
      <c r="AF122" s="25">
        <f t="shared" si="51"/>
        <v>13.243681724743192</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290.78918279358999</v>
      </c>
      <c r="AH122" s="25">
        <f t="shared" si="70"/>
        <v>0</v>
      </c>
      <c r="AI122" s="25">
        <f t="shared" si="71"/>
        <v>0</v>
      </c>
      <c r="AJ122" s="25">
        <f t="shared" si="72"/>
        <v>0</v>
      </c>
    </row>
    <row r="123" spans="1:36">
      <c r="A123">
        <f t="shared" si="52"/>
        <v>120</v>
      </c>
      <c r="B123">
        <f t="shared" si="61"/>
        <v>3</v>
      </c>
      <c r="C123">
        <f t="shared" si="39"/>
        <v>120</v>
      </c>
      <c r="D123">
        <f t="shared" si="53"/>
        <v>1</v>
      </c>
      <c r="E123">
        <f t="shared" si="73"/>
        <v>3</v>
      </c>
      <c r="F123">
        <f t="shared" si="40"/>
        <v>180</v>
      </c>
      <c r="G123">
        <f t="shared" si="54"/>
        <v>0</v>
      </c>
      <c r="H123">
        <f t="shared" si="62"/>
        <v>2</v>
      </c>
      <c r="I123">
        <f t="shared" si="41"/>
        <v>120</v>
      </c>
      <c r="J123">
        <f t="shared" si="55"/>
        <v>1</v>
      </c>
      <c r="K123">
        <f t="shared" si="63"/>
        <v>2</v>
      </c>
      <c r="L123">
        <f t="shared" si="42"/>
        <v>180</v>
      </c>
      <c r="M123">
        <f t="shared" si="56"/>
        <v>0</v>
      </c>
      <c r="N123">
        <f t="shared" si="64"/>
        <v>2</v>
      </c>
      <c r="O123">
        <f t="shared" si="43"/>
        <v>300</v>
      </c>
      <c r="P123">
        <f t="shared" si="65"/>
        <v>0</v>
      </c>
      <c r="Q123">
        <f t="shared" si="66"/>
        <v>2</v>
      </c>
      <c r="R123">
        <f t="shared" si="44"/>
        <v>300</v>
      </c>
      <c r="S123">
        <f t="shared" si="67"/>
        <v>0</v>
      </c>
      <c r="T123">
        <f t="shared" si="68"/>
        <v>-1</v>
      </c>
      <c r="U123">
        <f t="shared" si="57"/>
        <v>0</v>
      </c>
      <c r="V123">
        <f t="shared" si="58"/>
        <v>1</v>
      </c>
      <c r="W123">
        <f t="shared" si="45"/>
        <v>0</v>
      </c>
      <c r="X123">
        <f t="shared" si="69"/>
        <v>0</v>
      </c>
      <c r="Y123">
        <f t="shared" si="46"/>
        <v>0</v>
      </c>
      <c r="Z123">
        <f t="shared" si="47"/>
        <v>278</v>
      </c>
      <c r="AA123">
        <f t="shared" si="48"/>
        <v>0</v>
      </c>
      <c r="AB123" s="29">
        <f t="shared" si="49"/>
        <v>0.74178816089935007</v>
      </c>
      <c r="AC123" s="25">
        <f t="shared" si="59"/>
        <v>607.49804426656829</v>
      </c>
      <c r="AD123" s="29">
        <f t="shared" si="50"/>
        <v>1.6622911946613885</v>
      </c>
      <c r="AE123" s="25">
        <f t="shared" si="60"/>
        <v>-11.756318275256808</v>
      </c>
      <c r="AF123" s="25">
        <f t="shared" si="51"/>
        <v>-11.756318275256808</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-272.80074649840844</v>
      </c>
      <c r="AH123" s="25">
        <f t="shared" si="70"/>
        <v>11.756318275256808</v>
      </c>
      <c r="AI123" s="25">
        <f t="shared" si="71"/>
        <v>11.756318275256808</v>
      </c>
      <c r="AJ123" s="25">
        <f t="shared" si="72"/>
        <v>11.756318275256808</v>
      </c>
    </row>
    <row r="124" spans="1:36">
      <c r="A124">
        <f t="shared" si="52"/>
        <v>121</v>
      </c>
      <c r="B124">
        <f t="shared" si="61"/>
        <v>4</v>
      </c>
      <c r="C124">
        <f t="shared" si="39"/>
        <v>180</v>
      </c>
      <c r="D124">
        <f t="shared" si="53"/>
        <v>2</v>
      </c>
      <c r="E124">
        <f t="shared" si="73"/>
        <v>3</v>
      </c>
      <c r="F124">
        <f t="shared" si="40"/>
        <v>180</v>
      </c>
      <c r="G124">
        <f t="shared" si="54"/>
        <v>0</v>
      </c>
      <c r="H124">
        <f t="shared" si="62"/>
        <v>3</v>
      </c>
      <c r="I124">
        <f t="shared" si="41"/>
        <v>240</v>
      </c>
      <c r="J124">
        <f t="shared" si="55"/>
        <v>2</v>
      </c>
      <c r="K124">
        <f t="shared" si="63"/>
        <v>2</v>
      </c>
      <c r="L124">
        <f t="shared" si="42"/>
        <v>180</v>
      </c>
      <c r="M124">
        <f t="shared" si="56"/>
        <v>0</v>
      </c>
      <c r="N124">
        <f t="shared" si="64"/>
        <v>2</v>
      </c>
      <c r="O124">
        <f t="shared" si="43"/>
        <v>300</v>
      </c>
      <c r="P124">
        <f t="shared" si="65"/>
        <v>0</v>
      </c>
      <c r="Q124">
        <f t="shared" si="66"/>
        <v>2</v>
      </c>
      <c r="R124">
        <f t="shared" si="44"/>
        <v>300</v>
      </c>
      <c r="S124">
        <f t="shared" si="67"/>
        <v>0</v>
      </c>
      <c r="T124">
        <f t="shared" si="68"/>
        <v>-1</v>
      </c>
      <c r="U124">
        <f t="shared" si="57"/>
        <v>0</v>
      </c>
      <c r="V124">
        <f t="shared" si="58"/>
        <v>1</v>
      </c>
      <c r="W124">
        <f t="shared" si="45"/>
        <v>0</v>
      </c>
      <c r="X124">
        <f t="shared" si="69"/>
        <v>0</v>
      </c>
      <c r="Y124">
        <f t="shared" si="46"/>
        <v>0</v>
      </c>
      <c r="Z124">
        <f t="shared" si="47"/>
        <v>278</v>
      </c>
      <c r="AA124">
        <f t="shared" si="48"/>
        <v>0</v>
      </c>
      <c r="AB124" s="29">
        <f t="shared" si="49"/>
        <v>0.74178816089935007</v>
      </c>
      <c r="AC124" s="25">
        <f t="shared" si="59"/>
        <v>607.49804426656829</v>
      </c>
      <c r="AD124" s="29">
        <f t="shared" si="50"/>
        <v>1.6622911946613885</v>
      </c>
      <c r="AE124" s="25">
        <f t="shared" si="60"/>
        <v>13.243681724743192</v>
      </c>
      <c r="AF124" s="25">
        <f t="shared" si="51"/>
        <v>13.243681724743192</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307.31443095592368</v>
      </c>
      <c r="AH124" s="25">
        <f t="shared" si="70"/>
        <v>0</v>
      </c>
      <c r="AI124" s="25">
        <f t="shared" si="71"/>
        <v>0</v>
      </c>
      <c r="AJ124" s="25">
        <f t="shared" si="72"/>
        <v>0</v>
      </c>
    </row>
    <row r="125" spans="1:36">
      <c r="A125">
        <f t="shared" si="52"/>
        <v>122</v>
      </c>
      <c r="B125">
        <f t="shared" si="61"/>
        <v>4</v>
      </c>
      <c r="C125">
        <f t="shared" si="39"/>
        <v>180</v>
      </c>
      <c r="D125">
        <f t="shared" si="53"/>
        <v>3</v>
      </c>
      <c r="E125">
        <f t="shared" si="73"/>
        <v>3</v>
      </c>
      <c r="F125">
        <f t="shared" si="40"/>
        <v>180</v>
      </c>
      <c r="G125">
        <f t="shared" si="54"/>
        <v>0</v>
      </c>
      <c r="H125">
        <f t="shared" si="62"/>
        <v>3</v>
      </c>
      <c r="I125">
        <f t="shared" si="41"/>
        <v>240</v>
      </c>
      <c r="J125">
        <f t="shared" si="55"/>
        <v>3</v>
      </c>
      <c r="K125">
        <f t="shared" si="63"/>
        <v>2</v>
      </c>
      <c r="L125">
        <f t="shared" si="42"/>
        <v>180</v>
      </c>
      <c r="M125">
        <f t="shared" si="56"/>
        <v>0</v>
      </c>
      <c r="N125">
        <f t="shared" si="64"/>
        <v>2</v>
      </c>
      <c r="O125">
        <f t="shared" si="43"/>
        <v>300</v>
      </c>
      <c r="P125">
        <f t="shared" si="65"/>
        <v>0</v>
      </c>
      <c r="Q125">
        <f t="shared" si="66"/>
        <v>2</v>
      </c>
      <c r="R125">
        <f t="shared" si="44"/>
        <v>300</v>
      </c>
      <c r="S125">
        <f t="shared" si="67"/>
        <v>0</v>
      </c>
      <c r="T125">
        <f t="shared" si="68"/>
        <v>-1</v>
      </c>
      <c r="U125">
        <f t="shared" si="57"/>
        <v>0</v>
      </c>
      <c r="V125">
        <f t="shared" si="58"/>
        <v>1</v>
      </c>
      <c r="W125">
        <f t="shared" si="45"/>
        <v>0</v>
      </c>
      <c r="X125">
        <f t="shared" si="69"/>
        <v>0</v>
      </c>
      <c r="Y125">
        <f t="shared" si="46"/>
        <v>0</v>
      </c>
      <c r="Z125">
        <f t="shared" si="47"/>
        <v>278</v>
      </c>
      <c r="AA125">
        <f t="shared" si="48"/>
        <v>0</v>
      </c>
      <c r="AB125" s="29">
        <f t="shared" si="49"/>
        <v>0.74178816089935007</v>
      </c>
      <c r="AC125" s="25">
        <f t="shared" si="59"/>
        <v>607.49804426656829</v>
      </c>
      <c r="AD125" s="29">
        <f t="shared" si="50"/>
        <v>1.6622911946613885</v>
      </c>
      <c r="AE125" s="25">
        <f t="shared" si="60"/>
        <v>13.243681724743192</v>
      </c>
      <c r="AF125" s="25">
        <f t="shared" si="51"/>
        <v>13.243681724743192</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307.31443095592368</v>
      </c>
      <c r="AH125" s="25">
        <f t="shared" si="70"/>
        <v>0</v>
      </c>
      <c r="AI125" s="25">
        <f t="shared" si="71"/>
        <v>0</v>
      </c>
      <c r="AJ125" s="25">
        <f t="shared" si="72"/>
        <v>0</v>
      </c>
    </row>
    <row r="126" spans="1:36">
      <c r="A126">
        <f t="shared" si="52"/>
        <v>123</v>
      </c>
      <c r="B126">
        <f t="shared" si="61"/>
        <v>4</v>
      </c>
      <c r="C126">
        <f t="shared" si="39"/>
        <v>180</v>
      </c>
      <c r="D126">
        <f t="shared" si="53"/>
        <v>4</v>
      </c>
      <c r="E126">
        <f t="shared" si="73"/>
        <v>3</v>
      </c>
      <c r="F126">
        <f t="shared" si="40"/>
        <v>180</v>
      </c>
      <c r="G126">
        <f t="shared" si="54"/>
        <v>0</v>
      </c>
      <c r="H126">
        <f t="shared" si="62"/>
        <v>3</v>
      </c>
      <c r="I126">
        <f t="shared" si="41"/>
        <v>240</v>
      </c>
      <c r="J126">
        <f t="shared" si="55"/>
        <v>4</v>
      </c>
      <c r="K126">
        <f t="shared" si="63"/>
        <v>2</v>
      </c>
      <c r="L126">
        <f t="shared" si="42"/>
        <v>180</v>
      </c>
      <c r="M126">
        <f t="shared" si="56"/>
        <v>0</v>
      </c>
      <c r="N126">
        <f t="shared" si="64"/>
        <v>2</v>
      </c>
      <c r="O126">
        <f t="shared" si="43"/>
        <v>300</v>
      </c>
      <c r="P126">
        <f t="shared" si="65"/>
        <v>0</v>
      </c>
      <c r="Q126">
        <f t="shared" si="66"/>
        <v>2</v>
      </c>
      <c r="R126">
        <f t="shared" si="44"/>
        <v>300</v>
      </c>
      <c r="S126">
        <f t="shared" si="67"/>
        <v>0</v>
      </c>
      <c r="T126">
        <f t="shared" si="68"/>
        <v>-1</v>
      </c>
      <c r="U126">
        <f t="shared" si="57"/>
        <v>0</v>
      </c>
      <c r="V126">
        <f t="shared" si="58"/>
        <v>1</v>
      </c>
      <c r="W126">
        <f t="shared" si="45"/>
        <v>0</v>
      </c>
      <c r="X126">
        <f t="shared" si="69"/>
        <v>0</v>
      </c>
      <c r="Y126">
        <f t="shared" si="46"/>
        <v>0</v>
      </c>
      <c r="Z126">
        <f t="shared" si="47"/>
        <v>278</v>
      </c>
      <c r="AA126">
        <f t="shared" si="48"/>
        <v>0</v>
      </c>
      <c r="AB126" s="29">
        <f t="shared" si="49"/>
        <v>0.74178816089935007</v>
      </c>
      <c r="AC126" s="25">
        <f t="shared" si="59"/>
        <v>607.49804426656829</v>
      </c>
      <c r="AD126" s="29">
        <f t="shared" si="50"/>
        <v>1.6622911946613885</v>
      </c>
      <c r="AE126" s="25">
        <f t="shared" si="60"/>
        <v>13.243681724743192</v>
      </c>
      <c r="AF126" s="25">
        <f t="shared" si="51"/>
        <v>13.243681724743192</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307.31443095592368</v>
      </c>
      <c r="AH126" s="25">
        <f t="shared" si="70"/>
        <v>0</v>
      </c>
      <c r="AI126" s="25">
        <f t="shared" si="71"/>
        <v>0</v>
      </c>
      <c r="AJ126" s="25">
        <f t="shared" si="72"/>
        <v>0</v>
      </c>
    </row>
    <row r="127" spans="1:36">
      <c r="A127">
        <f t="shared" si="52"/>
        <v>124</v>
      </c>
      <c r="B127">
        <f t="shared" si="61"/>
        <v>4</v>
      </c>
      <c r="C127">
        <f t="shared" si="39"/>
        <v>180</v>
      </c>
      <c r="D127">
        <f t="shared" si="53"/>
        <v>5</v>
      </c>
      <c r="E127">
        <f t="shared" si="73"/>
        <v>3</v>
      </c>
      <c r="F127">
        <f t="shared" si="40"/>
        <v>180</v>
      </c>
      <c r="G127">
        <f t="shared" si="54"/>
        <v>0</v>
      </c>
      <c r="H127">
        <f t="shared" si="62"/>
        <v>3</v>
      </c>
      <c r="I127">
        <f t="shared" si="41"/>
        <v>240</v>
      </c>
      <c r="J127">
        <f t="shared" si="55"/>
        <v>5</v>
      </c>
      <c r="K127">
        <f t="shared" si="63"/>
        <v>2</v>
      </c>
      <c r="L127">
        <f t="shared" si="42"/>
        <v>180</v>
      </c>
      <c r="M127">
        <f t="shared" si="56"/>
        <v>0</v>
      </c>
      <c r="N127">
        <f t="shared" si="64"/>
        <v>2</v>
      </c>
      <c r="O127">
        <f t="shared" si="43"/>
        <v>300</v>
      </c>
      <c r="P127">
        <f t="shared" si="65"/>
        <v>0</v>
      </c>
      <c r="Q127">
        <f t="shared" si="66"/>
        <v>2</v>
      </c>
      <c r="R127">
        <f t="shared" si="44"/>
        <v>300</v>
      </c>
      <c r="S127">
        <f t="shared" si="67"/>
        <v>0</v>
      </c>
      <c r="T127">
        <f t="shared" si="68"/>
        <v>-1</v>
      </c>
      <c r="U127">
        <f t="shared" si="57"/>
        <v>0</v>
      </c>
      <c r="V127">
        <f t="shared" si="58"/>
        <v>1</v>
      </c>
      <c r="W127">
        <f t="shared" si="45"/>
        <v>0</v>
      </c>
      <c r="X127">
        <f t="shared" si="69"/>
        <v>0</v>
      </c>
      <c r="Y127">
        <f t="shared" si="46"/>
        <v>0</v>
      </c>
      <c r="Z127">
        <f t="shared" si="47"/>
        <v>278</v>
      </c>
      <c r="AA127">
        <f t="shared" si="48"/>
        <v>0</v>
      </c>
      <c r="AB127" s="29">
        <f t="shared" si="49"/>
        <v>0.74178816089935007</v>
      </c>
      <c r="AC127" s="25">
        <f t="shared" si="59"/>
        <v>607.49804426656829</v>
      </c>
      <c r="AD127" s="29">
        <f t="shared" si="50"/>
        <v>1.6622911946613885</v>
      </c>
      <c r="AE127" s="25">
        <f t="shared" si="60"/>
        <v>13.243681724743192</v>
      </c>
      <c r="AF127" s="25">
        <f t="shared" si="51"/>
        <v>13.243681724743192</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307.31443095592368</v>
      </c>
      <c r="AH127" s="25">
        <f t="shared" si="70"/>
        <v>0</v>
      </c>
      <c r="AI127" s="25">
        <f t="shared" si="71"/>
        <v>0</v>
      </c>
      <c r="AJ127" s="25">
        <f t="shared" si="72"/>
        <v>0</v>
      </c>
    </row>
    <row r="128" spans="1:36">
      <c r="A128">
        <f t="shared" si="52"/>
        <v>125</v>
      </c>
      <c r="B128">
        <f t="shared" si="61"/>
        <v>4</v>
      </c>
      <c r="C128">
        <f t="shared" si="39"/>
        <v>180</v>
      </c>
      <c r="D128">
        <f t="shared" si="53"/>
        <v>6</v>
      </c>
      <c r="E128">
        <f t="shared" si="73"/>
        <v>3</v>
      </c>
      <c r="F128">
        <f t="shared" si="40"/>
        <v>180</v>
      </c>
      <c r="G128">
        <f t="shared" si="54"/>
        <v>0</v>
      </c>
      <c r="H128">
        <f t="shared" si="62"/>
        <v>3</v>
      </c>
      <c r="I128">
        <f t="shared" si="41"/>
        <v>240</v>
      </c>
      <c r="J128">
        <f t="shared" si="55"/>
        <v>6</v>
      </c>
      <c r="K128">
        <f t="shared" si="63"/>
        <v>2</v>
      </c>
      <c r="L128">
        <f t="shared" si="42"/>
        <v>180</v>
      </c>
      <c r="M128">
        <f t="shared" si="56"/>
        <v>0</v>
      </c>
      <c r="N128">
        <f t="shared" si="64"/>
        <v>2</v>
      </c>
      <c r="O128">
        <f t="shared" si="43"/>
        <v>300</v>
      </c>
      <c r="P128">
        <f t="shared" si="65"/>
        <v>0</v>
      </c>
      <c r="Q128">
        <f t="shared" si="66"/>
        <v>2</v>
      </c>
      <c r="R128">
        <f t="shared" si="44"/>
        <v>300</v>
      </c>
      <c r="S128">
        <f t="shared" si="67"/>
        <v>0</v>
      </c>
      <c r="T128">
        <f t="shared" si="68"/>
        <v>-1</v>
      </c>
      <c r="U128">
        <f t="shared" si="57"/>
        <v>0</v>
      </c>
      <c r="V128">
        <f t="shared" si="58"/>
        <v>1</v>
      </c>
      <c r="W128">
        <f t="shared" si="45"/>
        <v>0</v>
      </c>
      <c r="X128">
        <f t="shared" si="69"/>
        <v>0</v>
      </c>
      <c r="Y128">
        <f t="shared" si="46"/>
        <v>0</v>
      </c>
      <c r="Z128">
        <f t="shared" si="47"/>
        <v>278</v>
      </c>
      <c r="AA128">
        <f t="shared" si="48"/>
        <v>0</v>
      </c>
      <c r="AB128" s="29">
        <f t="shared" si="49"/>
        <v>0.74178816089935007</v>
      </c>
      <c r="AC128" s="25">
        <f t="shared" si="59"/>
        <v>607.49804426656829</v>
      </c>
      <c r="AD128" s="29">
        <f t="shared" si="50"/>
        <v>1.6622911946613885</v>
      </c>
      <c r="AE128" s="25">
        <f t="shared" si="60"/>
        <v>13.243681724743192</v>
      </c>
      <c r="AF128" s="25">
        <f t="shared" si="51"/>
        <v>13.243681724743192</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307.31443095592368</v>
      </c>
      <c r="AH128" s="25">
        <f t="shared" si="70"/>
        <v>0</v>
      </c>
      <c r="AI128" s="25">
        <f t="shared" si="71"/>
        <v>0</v>
      </c>
      <c r="AJ128" s="25">
        <f t="shared" si="72"/>
        <v>0</v>
      </c>
    </row>
    <row r="129" spans="1:36">
      <c r="A129">
        <f t="shared" si="52"/>
        <v>126</v>
      </c>
      <c r="B129">
        <f t="shared" si="61"/>
        <v>4</v>
      </c>
      <c r="C129">
        <f t="shared" si="39"/>
        <v>180</v>
      </c>
      <c r="D129">
        <f t="shared" si="53"/>
        <v>7</v>
      </c>
      <c r="E129">
        <f t="shared" si="73"/>
        <v>3</v>
      </c>
      <c r="F129">
        <f t="shared" si="40"/>
        <v>180</v>
      </c>
      <c r="G129">
        <f t="shared" si="54"/>
        <v>0</v>
      </c>
      <c r="H129">
        <f t="shared" si="62"/>
        <v>3</v>
      </c>
      <c r="I129">
        <f t="shared" si="41"/>
        <v>240</v>
      </c>
      <c r="J129">
        <f t="shared" si="55"/>
        <v>7</v>
      </c>
      <c r="K129">
        <f t="shared" si="63"/>
        <v>2</v>
      </c>
      <c r="L129">
        <f t="shared" si="42"/>
        <v>180</v>
      </c>
      <c r="M129">
        <f t="shared" si="56"/>
        <v>0</v>
      </c>
      <c r="N129">
        <f t="shared" si="64"/>
        <v>2</v>
      </c>
      <c r="O129">
        <f t="shared" si="43"/>
        <v>300</v>
      </c>
      <c r="P129">
        <f t="shared" si="65"/>
        <v>0</v>
      </c>
      <c r="Q129">
        <f t="shared" si="66"/>
        <v>2</v>
      </c>
      <c r="R129">
        <f t="shared" si="44"/>
        <v>300</v>
      </c>
      <c r="S129">
        <f t="shared" si="67"/>
        <v>0</v>
      </c>
      <c r="T129">
        <f t="shared" si="68"/>
        <v>-1</v>
      </c>
      <c r="U129">
        <f t="shared" si="57"/>
        <v>0</v>
      </c>
      <c r="V129">
        <f t="shared" si="58"/>
        <v>1</v>
      </c>
      <c r="W129">
        <f t="shared" si="45"/>
        <v>0</v>
      </c>
      <c r="X129">
        <f t="shared" si="69"/>
        <v>0</v>
      </c>
      <c r="Y129">
        <f t="shared" si="46"/>
        <v>0</v>
      </c>
      <c r="Z129">
        <f t="shared" si="47"/>
        <v>278</v>
      </c>
      <c r="AA129">
        <f t="shared" si="48"/>
        <v>0</v>
      </c>
      <c r="AB129" s="29">
        <f t="shared" si="49"/>
        <v>0.74178816089935007</v>
      </c>
      <c r="AC129" s="25">
        <f t="shared" si="59"/>
        <v>607.49804426656829</v>
      </c>
      <c r="AD129" s="29">
        <f t="shared" si="50"/>
        <v>1.6622911946613885</v>
      </c>
      <c r="AE129" s="25">
        <f t="shared" si="60"/>
        <v>13.243681724743192</v>
      </c>
      <c r="AF129" s="25">
        <f t="shared" si="51"/>
        <v>13.243681724743192</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307.31443095592368</v>
      </c>
      <c r="AH129" s="25">
        <f t="shared" si="70"/>
        <v>0</v>
      </c>
      <c r="AI129" s="25">
        <f t="shared" si="71"/>
        <v>0</v>
      </c>
      <c r="AJ129" s="25">
        <f t="shared" si="72"/>
        <v>0</v>
      </c>
    </row>
    <row r="130" spans="1:36">
      <c r="A130">
        <f t="shared" si="52"/>
        <v>127</v>
      </c>
      <c r="B130">
        <f t="shared" si="61"/>
        <v>4</v>
      </c>
      <c r="C130">
        <f t="shared" si="39"/>
        <v>180</v>
      </c>
      <c r="D130">
        <f t="shared" si="53"/>
        <v>8</v>
      </c>
      <c r="E130">
        <f t="shared" si="73"/>
        <v>3</v>
      </c>
      <c r="F130">
        <f t="shared" si="40"/>
        <v>180</v>
      </c>
      <c r="G130">
        <f t="shared" si="54"/>
        <v>0</v>
      </c>
      <c r="H130">
        <f t="shared" si="62"/>
        <v>3</v>
      </c>
      <c r="I130">
        <f t="shared" si="41"/>
        <v>240</v>
      </c>
      <c r="J130">
        <f t="shared" si="55"/>
        <v>8</v>
      </c>
      <c r="K130">
        <f t="shared" si="63"/>
        <v>2</v>
      </c>
      <c r="L130">
        <f t="shared" si="42"/>
        <v>180</v>
      </c>
      <c r="M130">
        <f t="shared" si="56"/>
        <v>0</v>
      </c>
      <c r="N130">
        <f t="shared" si="64"/>
        <v>2</v>
      </c>
      <c r="O130">
        <f t="shared" si="43"/>
        <v>300</v>
      </c>
      <c r="P130">
        <f t="shared" si="65"/>
        <v>0</v>
      </c>
      <c r="Q130">
        <f t="shared" si="66"/>
        <v>2</v>
      </c>
      <c r="R130">
        <f t="shared" si="44"/>
        <v>300</v>
      </c>
      <c r="S130">
        <f t="shared" si="67"/>
        <v>0</v>
      </c>
      <c r="T130">
        <f t="shared" si="68"/>
        <v>-1</v>
      </c>
      <c r="U130">
        <f t="shared" si="57"/>
        <v>0</v>
      </c>
      <c r="V130">
        <f t="shared" si="58"/>
        <v>1</v>
      </c>
      <c r="W130">
        <f t="shared" si="45"/>
        <v>0</v>
      </c>
      <c r="X130">
        <f t="shared" si="69"/>
        <v>0</v>
      </c>
      <c r="Y130">
        <f t="shared" si="46"/>
        <v>0</v>
      </c>
      <c r="Z130">
        <f t="shared" si="47"/>
        <v>278</v>
      </c>
      <c r="AA130">
        <f t="shared" si="48"/>
        <v>0</v>
      </c>
      <c r="AB130" s="29">
        <f t="shared" si="49"/>
        <v>0.74178816089935007</v>
      </c>
      <c r="AC130" s="25">
        <f t="shared" si="59"/>
        <v>607.49804426656829</v>
      </c>
      <c r="AD130" s="29">
        <f t="shared" si="50"/>
        <v>1.6622911946613885</v>
      </c>
      <c r="AE130" s="25">
        <f t="shared" si="60"/>
        <v>13.243681724743192</v>
      </c>
      <c r="AF130" s="25">
        <f t="shared" si="51"/>
        <v>13.243681724743192</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307.31443095592368</v>
      </c>
      <c r="AH130" s="25">
        <f t="shared" si="70"/>
        <v>0</v>
      </c>
      <c r="AI130" s="25">
        <f t="shared" si="71"/>
        <v>0</v>
      </c>
      <c r="AJ130" s="25">
        <f t="shared" si="72"/>
        <v>0</v>
      </c>
    </row>
    <row r="131" spans="1:36">
      <c r="A131">
        <f t="shared" si="52"/>
        <v>128</v>
      </c>
      <c r="B131">
        <f t="shared" si="61"/>
        <v>4</v>
      </c>
      <c r="C131">
        <f t="shared" ref="C131:C194" si="74">IF(AND(cdspec60,cdspec60plus),CHOOSE($B131,cdspec601,cdspec602,cdspec603,cdspec604,cdspec605,cdspec606,cdspec607,cdspec608,cdspec609,cdspec6010),($B131-1)*60+IF(cdspec60,cdspec601,0))</f>
        <v>180</v>
      </c>
      <c r="D131">
        <f t="shared" si="53"/>
        <v>9</v>
      </c>
      <c r="E131">
        <f t="shared" si="73"/>
        <v>3</v>
      </c>
      <c r="F131">
        <f t="shared" ref="F131:F194" si="75">IF(AND(cdspec90,cdspec90plus),CHOOSE(E131,cdspec901,cdspec902,cdspec903,cdspec904,cdspec905,cdspec906),(E131-1)*IF(cdtreat90as120,120,90)+IF(cdspec90,cdspec901,0))</f>
        <v>180</v>
      </c>
      <c r="G131">
        <f t="shared" si="54"/>
        <v>0</v>
      </c>
      <c r="H131">
        <f t="shared" si="62"/>
        <v>3</v>
      </c>
      <c r="I131">
        <f t="shared" ref="I131:I194" si="76">IF(AND(cdspec120,cdspec120plus),CHOOSE(H131,cdspec1201,cdspec1202,cdspec1203,cdspec1204,cdspec1205),(H131-1)*120+IF(cdspec120,cdspec1201,0))</f>
        <v>240</v>
      </c>
      <c r="J131">
        <f t="shared" si="55"/>
        <v>9</v>
      </c>
      <c r="K131">
        <f t="shared" si="63"/>
        <v>2</v>
      </c>
      <c r="L131">
        <f t="shared" ref="L131:L194" si="77">IF(AND(cdspec180,cdspec180plus),CHOOSE(K131,cdspec1801,cdspec1802,cdspec1803,cdspec1804),(K131-1)*IF(cdtreat180as240,240,180)+IF(cdspec180,cdspec1801,0))</f>
        <v>180</v>
      </c>
      <c r="M131">
        <f t="shared" si="56"/>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7"/>
        <v>0</v>
      </c>
      <c r="V131">
        <f t="shared" si="58"/>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si="59"/>
        <v>607.49804426656829</v>
      </c>
      <c r="AD131" s="29">
        <f t="shared" ref="AD131:AD194" si="85">IF($A131&lt;0,0,(1+$AC131/(hasterate*100))*(1+$AS$26/100*AND($J131&gt;0,$J131&lt;=$AT$26))*(1+$AS$35/100*AND($M131&gt;0,$M131&lt;=$AT$35))*(1+0.3*($X131&gt;0)))</f>
        <v>1.6622911946613885</v>
      </c>
      <c r="AE131" s="25">
        <f t="shared" si="60"/>
        <v>13.243681724743192</v>
      </c>
      <c r="AF131" s="25">
        <f t="shared" ref="AF131:AF194" si="86">MIN(instcost,AE131)</f>
        <v>13.243681724743192</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307.31443095592368</v>
      </c>
      <c r="AH131" s="25">
        <f t="shared" si="70"/>
        <v>0</v>
      </c>
      <c r="AI131" s="25">
        <f t="shared" si="71"/>
        <v>0</v>
      </c>
      <c r="AJ131" s="25">
        <f t="shared" si="72"/>
        <v>0</v>
      </c>
    </row>
    <row r="132" spans="1:36">
      <c r="A132">
        <f t="shared" ref="A132:A195" si="87">IF(A131&lt;0,-1,IF(A131+1&gt;=time,-1,A131+1))</f>
        <v>129</v>
      </c>
      <c r="B132">
        <f t="shared" si="61"/>
        <v>4</v>
      </c>
      <c r="C132">
        <f t="shared" si="74"/>
        <v>180</v>
      </c>
      <c r="D132">
        <f t="shared" ref="D132:D195" si="88">IF($A132=$C132,1,IF(AND($D131&gt;0,$D131&lt;30),$D131+1,0))</f>
        <v>10</v>
      </c>
      <c r="E132">
        <f t="shared" si="73"/>
        <v>3</v>
      </c>
      <c r="F132">
        <f t="shared" si="75"/>
        <v>180</v>
      </c>
      <c r="G132">
        <f t="shared" ref="G132:G195" si="89">IF($A132=F132,1,IF(AND(G131&gt;0,G131&lt;30),G131+1,0))</f>
        <v>0</v>
      </c>
      <c r="H132">
        <f t="shared" si="62"/>
        <v>3</v>
      </c>
      <c r="I132">
        <f t="shared" si="76"/>
        <v>240</v>
      </c>
      <c r="J132">
        <f t="shared" ref="J132:J195" si="90">IF($A132=I132,1,IF(AND(J131&gt;0,J131&lt;30),J131+1,0))</f>
        <v>10</v>
      </c>
      <c r="K132">
        <f t="shared" si="63"/>
        <v>2</v>
      </c>
      <c r="L132">
        <f t="shared" si="77"/>
        <v>180</v>
      </c>
      <c r="M132">
        <f t="shared" ref="M132:M195" si="91">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2">IF($A132=T132,1,IF(AND(U131&gt;0,U131&lt;$AT$3),U131+1,0))</f>
        <v>0</v>
      </c>
      <c r="V132">
        <f t="shared" ref="V132:V195" si="93">MIN(IF(X131=1,V131+1,V131),blustcount)</f>
        <v>1</v>
      </c>
      <c r="W132">
        <f t="shared" si="80"/>
        <v>0</v>
      </c>
      <c r="X132">
        <f t="shared" si="69"/>
        <v>0</v>
      </c>
      <c r="Y132">
        <f t="shared" si="81"/>
        <v>0</v>
      </c>
      <c r="Z132">
        <f t="shared" si="82"/>
        <v>278</v>
      </c>
      <c r="AA132">
        <f t="shared" si="83"/>
        <v>0</v>
      </c>
      <c r="AB132" s="29">
        <f t="shared" si="84"/>
        <v>0.74178816089935007</v>
      </c>
      <c r="AC132" s="25">
        <f t="shared" ref="AC132:AC195" si="94">IF($A132&lt;0,0,$AN$43+IF($J132=0, 0, $AR$15*($J132&lt;=$AT$15)+$AR$22*($J132&lt;=$AT$22)+$AR$28*($J132&lt;=$AT$28)+$AR$29*($J132&lt;=$AT$29)-IF($AW$14, $AR$3*($J132&lt;=$AT$3)))+IF($U132=0,0,$AR$3))</f>
        <v>607.49804426656829</v>
      </c>
      <c r="AD132" s="29">
        <f t="shared" si="85"/>
        <v>1.6622911946613885</v>
      </c>
      <c r="AE132" s="25">
        <f t="shared" ref="AE132:AE195" si="95">IF($A132&lt;0,0,$AN$45+IF($P132&gt;0,$AN$37*$AL$37,0)+$S132*(60-IF(CharLevel&gt;60,(CharLevel-60)*2,0))*$AL$38+IF($J132=1,$AL$26*-25+IF($AL$39, 30, 0),0)+IF($M132=1,$AL$35*-10,0)+IF(AE131&gt;instcost,AE131-instcost,0))</f>
        <v>13.243681724743192</v>
      </c>
      <c r="AF132" s="25">
        <f t="shared" si="86"/>
        <v>13.243681724743192</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307.31443095592368</v>
      </c>
      <c r="AH132" s="25">
        <f t="shared" si="70"/>
        <v>0</v>
      </c>
      <c r="AI132" s="25">
        <f t="shared" si="71"/>
        <v>0</v>
      </c>
      <c r="AJ132" s="25">
        <f t="shared" si="72"/>
        <v>0</v>
      </c>
    </row>
    <row r="133" spans="1:36">
      <c r="A133">
        <f t="shared" si="87"/>
        <v>130</v>
      </c>
      <c r="B133">
        <f t="shared" ref="B133:B196" si="96">MIN(IF(D132=1,B132+1,B132),10)</f>
        <v>4</v>
      </c>
      <c r="C133">
        <f t="shared" si="74"/>
        <v>180</v>
      </c>
      <c r="D133">
        <f t="shared" si="88"/>
        <v>11</v>
      </c>
      <c r="E133">
        <f t="shared" si="73"/>
        <v>3</v>
      </c>
      <c r="F133">
        <f t="shared" si="75"/>
        <v>180</v>
      </c>
      <c r="G133">
        <f t="shared" si="89"/>
        <v>0</v>
      </c>
      <c r="H133">
        <f t="shared" ref="H133:H196" si="97">MIN(IF(J132=1,H132+1,H132),5)</f>
        <v>3</v>
      </c>
      <c r="I133">
        <f t="shared" si="76"/>
        <v>240</v>
      </c>
      <c r="J133">
        <f t="shared" si="90"/>
        <v>11</v>
      </c>
      <c r="K133">
        <f t="shared" ref="K133:K196" si="98">MIN(IF(M132=1,K132+1,K132),4)</f>
        <v>2</v>
      </c>
      <c r="L133">
        <f t="shared" si="77"/>
        <v>180</v>
      </c>
      <c r="M133">
        <f t="shared" si="91"/>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2"/>
        <v>0</v>
      </c>
      <c r="V133">
        <f t="shared" si="93"/>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94"/>
        <v>607.49804426656829</v>
      </c>
      <c r="AD133" s="29">
        <f t="shared" si="85"/>
        <v>1.6622911946613885</v>
      </c>
      <c r="AE133" s="25">
        <f t="shared" si="95"/>
        <v>13.243681724743192</v>
      </c>
      <c r="AF133" s="25">
        <f t="shared" si="86"/>
        <v>13.243681724743192</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307.31443095592368</v>
      </c>
      <c r="AH133" s="25">
        <f t="shared" ref="AH133:AH196" si="105">IF(AH132-$AF133&lt;0,0,AH132-$AF133)</f>
        <v>0</v>
      </c>
      <c r="AI133" s="25">
        <f t="shared" ref="AI133:AI196" si="106">IF(AI132-AF133&lt;0,0,AI132-AF133)</f>
        <v>0</v>
      </c>
      <c r="AJ133" s="25">
        <f t="shared" ref="AJ133:AJ196" si="107">IF(AJ132-$AF133&lt;0,0,AJ132-$AF133)</f>
        <v>0</v>
      </c>
    </row>
    <row r="134" spans="1:36">
      <c r="A134">
        <f t="shared" si="87"/>
        <v>131</v>
      </c>
      <c r="B134">
        <f t="shared" si="96"/>
        <v>4</v>
      </c>
      <c r="C134">
        <f t="shared" si="74"/>
        <v>180</v>
      </c>
      <c r="D134">
        <f t="shared" si="88"/>
        <v>12</v>
      </c>
      <c r="E134">
        <f t="shared" ref="E134:E197" si="108">MIN(IF(G133=1,E133+1,E133),6)</f>
        <v>3</v>
      </c>
      <c r="F134">
        <f t="shared" si="75"/>
        <v>180</v>
      </c>
      <c r="G134">
        <f t="shared" si="89"/>
        <v>0</v>
      </c>
      <c r="H134">
        <f t="shared" si="97"/>
        <v>3</v>
      </c>
      <c r="I134">
        <f t="shared" si="76"/>
        <v>240</v>
      </c>
      <c r="J134">
        <f t="shared" si="90"/>
        <v>12</v>
      </c>
      <c r="K134">
        <f t="shared" si="98"/>
        <v>2</v>
      </c>
      <c r="L134">
        <f t="shared" si="77"/>
        <v>180</v>
      </c>
      <c r="M134">
        <f t="shared" si="91"/>
        <v>0</v>
      </c>
      <c r="N134">
        <f t="shared" si="99"/>
        <v>2</v>
      </c>
      <c r="O134">
        <f t="shared" si="78"/>
        <v>300</v>
      </c>
      <c r="P134">
        <f t="shared" si="100"/>
        <v>0</v>
      </c>
      <c r="Q134">
        <f t="shared" si="101"/>
        <v>2</v>
      </c>
      <c r="R134">
        <f t="shared" si="79"/>
        <v>300</v>
      </c>
      <c r="S134">
        <f t="shared" si="102"/>
        <v>0</v>
      </c>
      <c r="T134">
        <f t="shared" si="103"/>
        <v>-1</v>
      </c>
      <c r="U134">
        <f t="shared" si="92"/>
        <v>0</v>
      </c>
      <c r="V134">
        <f t="shared" si="93"/>
        <v>1</v>
      </c>
      <c r="W134">
        <f t="shared" si="80"/>
        <v>0</v>
      </c>
      <c r="X134">
        <f t="shared" si="104"/>
        <v>0</v>
      </c>
      <c r="Y134">
        <f t="shared" si="81"/>
        <v>0</v>
      </c>
      <c r="Z134">
        <f t="shared" si="82"/>
        <v>278</v>
      </c>
      <c r="AA134">
        <f t="shared" si="83"/>
        <v>0</v>
      </c>
      <c r="AB134" s="29">
        <f t="shared" si="84"/>
        <v>0.74178816089935007</v>
      </c>
      <c r="AC134" s="25">
        <f t="shared" si="94"/>
        <v>607.49804426656829</v>
      </c>
      <c r="AD134" s="29">
        <f t="shared" si="85"/>
        <v>1.6622911946613885</v>
      </c>
      <c r="AE134" s="25">
        <f t="shared" si="95"/>
        <v>13.243681724743192</v>
      </c>
      <c r="AF134" s="25">
        <f t="shared" si="86"/>
        <v>13.243681724743192</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307.31443095592368</v>
      </c>
      <c r="AH134" s="25">
        <f t="shared" si="105"/>
        <v>0</v>
      </c>
      <c r="AI134" s="25">
        <f t="shared" si="106"/>
        <v>0</v>
      </c>
      <c r="AJ134" s="25">
        <f t="shared" si="107"/>
        <v>0</v>
      </c>
    </row>
    <row r="135" spans="1:36">
      <c r="A135">
        <f t="shared" si="87"/>
        <v>132</v>
      </c>
      <c r="B135">
        <f t="shared" si="96"/>
        <v>4</v>
      </c>
      <c r="C135">
        <f t="shared" si="74"/>
        <v>180</v>
      </c>
      <c r="D135">
        <f t="shared" si="88"/>
        <v>13</v>
      </c>
      <c r="E135">
        <f t="shared" si="108"/>
        <v>3</v>
      </c>
      <c r="F135">
        <f t="shared" si="75"/>
        <v>180</v>
      </c>
      <c r="G135">
        <f t="shared" si="89"/>
        <v>0</v>
      </c>
      <c r="H135">
        <f t="shared" si="97"/>
        <v>3</v>
      </c>
      <c r="I135">
        <f t="shared" si="76"/>
        <v>240</v>
      </c>
      <c r="J135">
        <f t="shared" si="90"/>
        <v>13</v>
      </c>
      <c r="K135">
        <f t="shared" si="98"/>
        <v>2</v>
      </c>
      <c r="L135">
        <f t="shared" si="77"/>
        <v>180</v>
      </c>
      <c r="M135">
        <f t="shared" si="91"/>
        <v>0</v>
      </c>
      <c r="N135">
        <f t="shared" si="99"/>
        <v>2</v>
      </c>
      <c r="O135">
        <f t="shared" si="78"/>
        <v>300</v>
      </c>
      <c r="P135">
        <f t="shared" si="100"/>
        <v>0</v>
      </c>
      <c r="Q135">
        <f t="shared" si="101"/>
        <v>2</v>
      </c>
      <c r="R135">
        <f t="shared" si="79"/>
        <v>300</v>
      </c>
      <c r="S135">
        <f t="shared" si="102"/>
        <v>0</v>
      </c>
      <c r="T135">
        <f t="shared" si="103"/>
        <v>-1</v>
      </c>
      <c r="U135">
        <f t="shared" si="92"/>
        <v>0</v>
      </c>
      <c r="V135">
        <f t="shared" si="93"/>
        <v>1</v>
      </c>
      <c r="W135">
        <f t="shared" si="80"/>
        <v>0</v>
      </c>
      <c r="X135">
        <f t="shared" si="104"/>
        <v>0</v>
      </c>
      <c r="Y135">
        <f t="shared" si="81"/>
        <v>0</v>
      </c>
      <c r="Z135">
        <f t="shared" si="82"/>
        <v>278</v>
      </c>
      <c r="AA135">
        <f t="shared" si="83"/>
        <v>0</v>
      </c>
      <c r="AB135" s="29">
        <f t="shared" si="84"/>
        <v>0.74178816089935007</v>
      </c>
      <c r="AC135" s="25">
        <f t="shared" si="94"/>
        <v>607.49804426656829</v>
      </c>
      <c r="AD135" s="29">
        <f t="shared" si="85"/>
        <v>1.6622911946613885</v>
      </c>
      <c r="AE135" s="25">
        <f t="shared" si="95"/>
        <v>13.243681724743192</v>
      </c>
      <c r="AF135" s="25">
        <f t="shared" si="86"/>
        <v>13.243681724743192</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307.31443095592368</v>
      </c>
      <c r="AH135" s="25">
        <f t="shared" si="105"/>
        <v>0</v>
      </c>
      <c r="AI135" s="25">
        <f t="shared" si="106"/>
        <v>0</v>
      </c>
      <c r="AJ135" s="25">
        <f t="shared" si="107"/>
        <v>0</v>
      </c>
    </row>
    <row r="136" spans="1:36">
      <c r="A136">
        <f t="shared" si="87"/>
        <v>133</v>
      </c>
      <c r="B136">
        <f t="shared" si="96"/>
        <v>4</v>
      </c>
      <c r="C136">
        <f t="shared" si="74"/>
        <v>180</v>
      </c>
      <c r="D136">
        <f t="shared" si="88"/>
        <v>14</v>
      </c>
      <c r="E136">
        <f t="shared" si="108"/>
        <v>3</v>
      </c>
      <c r="F136">
        <f t="shared" si="75"/>
        <v>180</v>
      </c>
      <c r="G136">
        <f t="shared" si="89"/>
        <v>0</v>
      </c>
      <c r="H136">
        <f t="shared" si="97"/>
        <v>3</v>
      </c>
      <c r="I136">
        <f t="shared" si="76"/>
        <v>240</v>
      </c>
      <c r="J136">
        <f t="shared" si="90"/>
        <v>14</v>
      </c>
      <c r="K136">
        <f t="shared" si="98"/>
        <v>2</v>
      </c>
      <c r="L136">
        <f t="shared" si="77"/>
        <v>180</v>
      </c>
      <c r="M136">
        <f t="shared" si="91"/>
        <v>0</v>
      </c>
      <c r="N136">
        <f t="shared" si="99"/>
        <v>2</v>
      </c>
      <c r="O136">
        <f t="shared" si="78"/>
        <v>300</v>
      </c>
      <c r="P136">
        <f t="shared" si="100"/>
        <v>0</v>
      </c>
      <c r="Q136">
        <f t="shared" si="101"/>
        <v>2</v>
      </c>
      <c r="R136">
        <f t="shared" si="79"/>
        <v>300</v>
      </c>
      <c r="S136">
        <f t="shared" si="102"/>
        <v>0</v>
      </c>
      <c r="T136">
        <f t="shared" si="103"/>
        <v>-1</v>
      </c>
      <c r="U136">
        <f t="shared" si="92"/>
        <v>0</v>
      </c>
      <c r="V136">
        <f t="shared" si="93"/>
        <v>1</v>
      </c>
      <c r="W136">
        <f t="shared" si="80"/>
        <v>0</v>
      </c>
      <c r="X136">
        <f t="shared" si="104"/>
        <v>0</v>
      </c>
      <c r="Y136">
        <f t="shared" si="81"/>
        <v>0</v>
      </c>
      <c r="Z136">
        <f t="shared" si="82"/>
        <v>278</v>
      </c>
      <c r="AA136">
        <f t="shared" si="83"/>
        <v>0</v>
      </c>
      <c r="AB136" s="29">
        <f t="shared" si="84"/>
        <v>0.74178816089935007</v>
      </c>
      <c r="AC136" s="25">
        <f t="shared" si="94"/>
        <v>607.49804426656829</v>
      </c>
      <c r="AD136" s="29">
        <f t="shared" si="85"/>
        <v>1.6622911946613885</v>
      </c>
      <c r="AE136" s="25">
        <f t="shared" si="95"/>
        <v>13.243681724743192</v>
      </c>
      <c r="AF136" s="25">
        <f t="shared" si="86"/>
        <v>13.243681724743192</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307.31443095592368</v>
      </c>
      <c r="AH136" s="25">
        <f t="shared" si="105"/>
        <v>0</v>
      </c>
      <c r="AI136" s="25">
        <f t="shared" si="106"/>
        <v>0</v>
      </c>
      <c r="AJ136" s="25">
        <f t="shared" si="107"/>
        <v>0</v>
      </c>
    </row>
    <row r="137" spans="1:36">
      <c r="A137">
        <f t="shared" si="87"/>
        <v>134</v>
      </c>
      <c r="B137">
        <f t="shared" si="96"/>
        <v>4</v>
      </c>
      <c r="C137">
        <f t="shared" si="74"/>
        <v>180</v>
      </c>
      <c r="D137">
        <f t="shared" si="88"/>
        <v>15</v>
      </c>
      <c r="E137">
        <f t="shared" si="108"/>
        <v>3</v>
      </c>
      <c r="F137">
        <f t="shared" si="75"/>
        <v>180</v>
      </c>
      <c r="G137">
        <f t="shared" si="89"/>
        <v>0</v>
      </c>
      <c r="H137">
        <f t="shared" si="97"/>
        <v>3</v>
      </c>
      <c r="I137">
        <f t="shared" si="76"/>
        <v>240</v>
      </c>
      <c r="J137">
        <f t="shared" si="90"/>
        <v>15</v>
      </c>
      <c r="K137">
        <f t="shared" si="98"/>
        <v>2</v>
      </c>
      <c r="L137">
        <f t="shared" si="77"/>
        <v>180</v>
      </c>
      <c r="M137">
        <f t="shared" si="91"/>
        <v>0</v>
      </c>
      <c r="N137">
        <f t="shared" si="99"/>
        <v>2</v>
      </c>
      <c r="O137">
        <f t="shared" si="78"/>
        <v>300</v>
      </c>
      <c r="P137">
        <f t="shared" si="100"/>
        <v>0</v>
      </c>
      <c r="Q137">
        <f t="shared" si="101"/>
        <v>2</v>
      </c>
      <c r="R137">
        <f t="shared" si="79"/>
        <v>300</v>
      </c>
      <c r="S137">
        <f t="shared" si="102"/>
        <v>0</v>
      </c>
      <c r="T137">
        <f t="shared" si="103"/>
        <v>-1</v>
      </c>
      <c r="U137">
        <f t="shared" si="92"/>
        <v>0</v>
      </c>
      <c r="V137">
        <f t="shared" si="93"/>
        <v>1</v>
      </c>
      <c r="W137">
        <f t="shared" si="80"/>
        <v>0</v>
      </c>
      <c r="X137">
        <f t="shared" si="104"/>
        <v>0</v>
      </c>
      <c r="Y137">
        <f t="shared" si="81"/>
        <v>0</v>
      </c>
      <c r="Z137">
        <f t="shared" si="82"/>
        <v>278</v>
      </c>
      <c r="AA137">
        <f t="shared" si="83"/>
        <v>0</v>
      </c>
      <c r="AB137" s="29">
        <f t="shared" si="84"/>
        <v>0.74178816089935007</v>
      </c>
      <c r="AC137" s="25">
        <f t="shared" si="94"/>
        <v>607.49804426656829</v>
      </c>
      <c r="AD137" s="29">
        <f t="shared" si="85"/>
        <v>1.6622911946613885</v>
      </c>
      <c r="AE137" s="25">
        <f t="shared" si="95"/>
        <v>13.243681724743192</v>
      </c>
      <c r="AF137" s="25">
        <f t="shared" si="86"/>
        <v>13.243681724743192</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307.31443095592368</v>
      </c>
      <c r="AH137" s="25">
        <f t="shared" si="105"/>
        <v>0</v>
      </c>
      <c r="AI137" s="25">
        <f t="shared" si="106"/>
        <v>0</v>
      </c>
      <c r="AJ137" s="25">
        <f t="shared" si="107"/>
        <v>0</v>
      </c>
    </row>
    <row r="138" spans="1:36">
      <c r="A138">
        <f t="shared" si="87"/>
        <v>135</v>
      </c>
      <c r="B138">
        <f t="shared" si="96"/>
        <v>4</v>
      </c>
      <c r="C138">
        <f t="shared" si="74"/>
        <v>180</v>
      </c>
      <c r="D138">
        <f t="shared" si="88"/>
        <v>16</v>
      </c>
      <c r="E138">
        <f t="shared" si="108"/>
        <v>3</v>
      </c>
      <c r="F138">
        <f t="shared" si="75"/>
        <v>180</v>
      </c>
      <c r="G138">
        <f t="shared" si="89"/>
        <v>0</v>
      </c>
      <c r="H138">
        <f t="shared" si="97"/>
        <v>3</v>
      </c>
      <c r="I138">
        <f t="shared" si="76"/>
        <v>240</v>
      </c>
      <c r="J138">
        <f t="shared" si="90"/>
        <v>16</v>
      </c>
      <c r="K138">
        <f t="shared" si="98"/>
        <v>2</v>
      </c>
      <c r="L138">
        <f t="shared" si="77"/>
        <v>180</v>
      </c>
      <c r="M138">
        <f t="shared" si="91"/>
        <v>0</v>
      </c>
      <c r="N138">
        <f t="shared" si="99"/>
        <v>2</v>
      </c>
      <c r="O138">
        <f t="shared" si="78"/>
        <v>300</v>
      </c>
      <c r="P138">
        <f t="shared" si="100"/>
        <v>0</v>
      </c>
      <c r="Q138">
        <f t="shared" si="101"/>
        <v>2</v>
      </c>
      <c r="R138">
        <f t="shared" si="79"/>
        <v>300</v>
      </c>
      <c r="S138">
        <f t="shared" si="102"/>
        <v>0</v>
      </c>
      <c r="T138">
        <f t="shared" si="103"/>
        <v>-1</v>
      </c>
      <c r="U138">
        <f t="shared" si="92"/>
        <v>0</v>
      </c>
      <c r="V138">
        <f t="shared" si="93"/>
        <v>1</v>
      </c>
      <c r="W138">
        <f t="shared" si="80"/>
        <v>0</v>
      </c>
      <c r="X138">
        <f t="shared" si="104"/>
        <v>0</v>
      </c>
      <c r="Y138">
        <f t="shared" si="81"/>
        <v>0</v>
      </c>
      <c r="Z138">
        <f t="shared" si="82"/>
        <v>278</v>
      </c>
      <c r="AA138">
        <f t="shared" si="83"/>
        <v>0</v>
      </c>
      <c r="AB138" s="29">
        <f t="shared" si="84"/>
        <v>0.74178816089935007</v>
      </c>
      <c r="AC138" s="25">
        <f t="shared" si="94"/>
        <v>207.49804426656831</v>
      </c>
      <c r="AD138" s="29">
        <f t="shared" si="85"/>
        <v>1.1315841256324579</v>
      </c>
      <c r="AE138" s="25">
        <f t="shared" si="95"/>
        <v>13.243681724743192</v>
      </c>
      <c r="AF138" s="25">
        <f t="shared" si="86"/>
        <v>13.243681724743192</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307.31443095592368</v>
      </c>
      <c r="AH138" s="25">
        <f t="shared" si="105"/>
        <v>0</v>
      </c>
      <c r="AI138" s="25">
        <f t="shared" si="106"/>
        <v>0</v>
      </c>
      <c r="AJ138" s="25">
        <f t="shared" si="107"/>
        <v>0</v>
      </c>
    </row>
    <row r="139" spans="1:36">
      <c r="A139">
        <f t="shared" si="87"/>
        <v>136</v>
      </c>
      <c r="B139">
        <f t="shared" si="96"/>
        <v>4</v>
      </c>
      <c r="C139">
        <f t="shared" si="74"/>
        <v>180</v>
      </c>
      <c r="D139">
        <f t="shared" si="88"/>
        <v>17</v>
      </c>
      <c r="E139">
        <f t="shared" si="108"/>
        <v>3</v>
      </c>
      <c r="F139">
        <f t="shared" si="75"/>
        <v>180</v>
      </c>
      <c r="G139">
        <f t="shared" si="89"/>
        <v>0</v>
      </c>
      <c r="H139">
        <f t="shared" si="97"/>
        <v>3</v>
      </c>
      <c r="I139">
        <f t="shared" si="76"/>
        <v>240</v>
      </c>
      <c r="J139">
        <f t="shared" si="90"/>
        <v>17</v>
      </c>
      <c r="K139">
        <f t="shared" si="98"/>
        <v>2</v>
      </c>
      <c r="L139">
        <f t="shared" si="77"/>
        <v>180</v>
      </c>
      <c r="M139">
        <f t="shared" si="91"/>
        <v>0</v>
      </c>
      <c r="N139">
        <f t="shared" si="99"/>
        <v>2</v>
      </c>
      <c r="O139">
        <f t="shared" si="78"/>
        <v>300</v>
      </c>
      <c r="P139">
        <f t="shared" si="100"/>
        <v>0</v>
      </c>
      <c r="Q139">
        <f t="shared" si="101"/>
        <v>2</v>
      </c>
      <c r="R139">
        <f t="shared" si="79"/>
        <v>300</v>
      </c>
      <c r="S139">
        <f t="shared" si="102"/>
        <v>0</v>
      </c>
      <c r="T139">
        <f t="shared" si="103"/>
        <v>-1</v>
      </c>
      <c r="U139">
        <f t="shared" si="92"/>
        <v>0</v>
      </c>
      <c r="V139">
        <f t="shared" si="93"/>
        <v>1</v>
      </c>
      <c r="W139">
        <f t="shared" si="80"/>
        <v>0</v>
      </c>
      <c r="X139">
        <f t="shared" si="104"/>
        <v>0</v>
      </c>
      <c r="Y139">
        <f t="shared" si="81"/>
        <v>0</v>
      </c>
      <c r="Z139">
        <f t="shared" si="82"/>
        <v>278</v>
      </c>
      <c r="AA139">
        <f t="shared" si="83"/>
        <v>0</v>
      </c>
      <c r="AB139" s="29">
        <f t="shared" si="84"/>
        <v>0.74178816089935007</v>
      </c>
      <c r="AC139" s="25">
        <f t="shared" si="94"/>
        <v>207.49804426656831</v>
      </c>
      <c r="AD139" s="29">
        <f t="shared" si="85"/>
        <v>1.1315841256324579</v>
      </c>
      <c r="AE139" s="25">
        <f t="shared" si="95"/>
        <v>13.243681724743192</v>
      </c>
      <c r="AF139" s="25">
        <f t="shared" si="86"/>
        <v>13.243681724743192</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307.31443095592368</v>
      </c>
      <c r="AH139" s="25">
        <f t="shared" si="105"/>
        <v>0</v>
      </c>
      <c r="AI139" s="25">
        <f t="shared" si="106"/>
        <v>0</v>
      </c>
      <c r="AJ139" s="25">
        <f t="shared" si="107"/>
        <v>0</v>
      </c>
    </row>
    <row r="140" spans="1:36">
      <c r="A140">
        <f t="shared" si="87"/>
        <v>137</v>
      </c>
      <c r="B140">
        <f t="shared" si="96"/>
        <v>4</v>
      </c>
      <c r="C140">
        <f t="shared" si="74"/>
        <v>180</v>
      </c>
      <c r="D140">
        <f t="shared" si="88"/>
        <v>18</v>
      </c>
      <c r="E140">
        <f t="shared" si="108"/>
        <v>3</v>
      </c>
      <c r="F140">
        <f t="shared" si="75"/>
        <v>180</v>
      </c>
      <c r="G140">
        <f t="shared" si="89"/>
        <v>0</v>
      </c>
      <c r="H140">
        <f t="shared" si="97"/>
        <v>3</v>
      </c>
      <c r="I140">
        <f t="shared" si="76"/>
        <v>240</v>
      </c>
      <c r="J140">
        <f t="shared" si="90"/>
        <v>18</v>
      </c>
      <c r="K140">
        <f t="shared" si="98"/>
        <v>2</v>
      </c>
      <c r="L140">
        <f t="shared" si="77"/>
        <v>180</v>
      </c>
      <c r="M140">
        <f t="shared" si="91"/>
        <v>0</v>
      </c>
      <c r="N140">
        <f t="shared" si="99"/>
        <v>2</v>
      </c>
      <c r="O140">
        <f t="shared" si="78"/>
        <v>300</v>
      </c>
      <c r="P140">
        <f t="shared" si="100"/>
        <v>0</v>
      </c>
      <c r="Q140">
        <f t="shared" si="101"/>
        <v>2</v>
      </c>
      <c r="R140">
        <f t="shared" si="79"/>
        <v>300</v>
      </c>
      <c r="S140">
        <f t="shared" si="102"/>
        <v>0</v>
      </c>
      <c r="T140">
        <f t="shared" si="103"/>
        <v>-1</v>
      </c>
      <c r="U140">
        <f t="shared" si="92"/>
        <v>0</v>
      </c>
      <c r="V140">
        <f t="shared" si="93"/>
        <v>1</v>
      </c>
      <c r="W140">
        <f t="shared" si="80"/>
        <v>0</v>
      </c>
      <c r="X140">
        <f t="shared" si="104"/>
        <v>0</v>
      </c>
      <c r="Y140">
        <f t="shared" si="81"/>
        <v>0</v>
      </c>
      <c r="Z140">
        <f t="shared" si="82"/>
        <v>278</v>
      </c>
      <c r="AA140">
        <f t="shared" si="83"/>
        <v>0</v>
      </c>
      <c r="AB140" s="29">
        <f t="shared" si="84"/>
        <v>0.74178816089935007</v>
      </c>
      <c r="AC140" s="25">
        <f t="shared" si="94"/>
        <v>207.49804426656831</v>
      </c>
      <c r="AD140" s="29">
        <f t="shared" si="85"/>
        <v>1.1315841256324579</v>
      </c>
      <c r="AE140" s="25">
        <f t="shared" si="95"/>
        <v>13.243681724743192</v>
      </c>
      <c r="AF140" s="25">
        <f t="shared" si="86"/>
        <v>13.243681724743192</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307.31443095592368</v>
      </c>
      <c r="AH140" s="25">
        <f t="shared" si="105"/>
        <v>0</v>
      </c>
      <c r="AI140" s="25">
        <f t="shared" si="106"/>
        <v>0</v>
      </c>
      <c r="AJ140" s="25">
        <f t="shared" si="107"/>
        <v>0</v>
      </c>
    </row>
    <row r="141" spans="1:36">
      <c r="A141">
        <f t="shared" si="87"/>
        <v>138</v>
      </c>
      <c r="B141">
        <f t="shared" si="96"/>
        <v>4</v>
      </c>
      <c r="C141">
        <f t="shared" si="74"/>
        <v>180</v>
      </c>
      <c r="D141">
        <f t="shared" si="88"/>
        <v>19</v>
      </c>
      <c r="E141">
        <f t="shared" si="108"/>
        <v>3</v>
      </c>
      <c r="F141">
        <f t="shared" si="75"/>
        <v>180</v>
      </c>
      <c r="G141">
        <f t="shared" si="89"/>
        <v>0</v>
      </c>
      <c r="H141">
        <f t="shared" si="97"/>
        <v>3</v>
      </c>
      <c r="I141">
        <f t="shared" si="76"/>
        <v>240</v>
      </c>
      <c r="J141">
        <f t="shared" si="90"/>
        <v>19</v>
      </c>
      <c r="K141">
        <f t="shared" si="98"/>
        <v>2</v>
      </c>
      <c r="L141">
        <f t="shared" si="77"/>
        <v>180</v>
      </c>
      <c r="M141">
        <f t="shared" si="91"/>
        <v>0</v>
      </c>
      <c r="N141">
        <f t="shared" si="99"/>
        <v>2</v>
      </c>
      <c r="O141">
        <f t="shared" si="78"/>
        <v>300</v>
      </c>
      <c r="P141">
        <f t="shared" si="100"/>
        <v>0</v>
      </c>
      <c r="Q141">
        <f t="shared" si="101"/>
        <v>2</v>
      </c>
      <c r="R141">
        <f t="shared" si="79"/>
        <v>300</v>
      </c>
      <c r="S141">
        <f t="shared" si="102"/>
        <v>0</v>
      </c>
      <c r="T141">
        <f t="shared" si="103"/>
        <v>-1</v>
      </c>
      <c r="U141">
        <f t="shared" si="92"/>
        <v>0</v>
      </c>
      <c r="V141">
        <f t="shared" si="93"/>
        <v>1</v>
      </c>
      <c r="W141">
        <f t="shared" si="80"/>
        <v>0</v>
      </c>
      <c r="X141">
        <f t="shared" si="104"/>
        <v>0</v>
      </c>
      <c r="Y141">
        <f t="shared" si="81"/>
        <v>0</v>
      </c>
      <c r="Z141">
        <f t="shared" si="82"/>
        <v>278</v>
      </c>
      <c r="AA141">
        <f t="shared" si="83"/>
        <v>0</v>
      </c>
      <c r="AB141" s="29">
        <f t="shared" si="84"/>
        <v>0.74178816089935007</v>
      </c>
      <c r="AC141" s="25">
        <f t="shared" si="94"/>
        <v>207.49804426656831</v>
      </c>
      <c r="AD141" s="29">
        <f t="shared" si="85"/>
        <v>1.1315841256324579</v>
      </c>
      <c r="AE141" s="25">
        <f t="shared" si="95"/>
        <v>13.243681724743192</v>
      </c>
      <c r="AF141" s="25">
        <f t="shared" si="86"/>
        <v>13.243681724743192</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307.31443095592368</v>
      </c>
      <c r="AH141" s="25">
        <f t="shared" si="105"/>
        <v>0</v>
      </c>
      <c r="AI141" s="25">
        <f t="shared" si="106"/>
        <v>0</v>
      </c>
      <c r="AJ141" s="25">
        <f t="shared" si="107"/>
        <v>0</v>
      </c>
    </row>
    <row r="142" spans="1:36">
      <c r="A142">
        <f t="shared" si="87"/>
        <v>139</v>
      </c>
      <c r="B142">
        <f t="shared" si="96"/>
        <v>4</v>
      </c>
      <c r="C142">
        <f t="shared" si="74"/>
        <v>180</v>
      </c>
      <c r="D142">
        <f t="shared" si="88"/>
        <v>20</v>
      </c>
      <c r="E142">
        <f t="shared" si="108"/>
        <v>3</v>
      </c>
      <c r="F142">
        <f t="shared" si="75"/>
        <v>180</v>
      </c>
      <c r="G142">
        <f t="shared" si="89"/>
        <v>0</v>
      </c>
      <c r="H142">
        <f t="shared" si="97"/>
        <v>3</v>
      </c>
      <c r="I142">
        <f t="shared" si="76"/>
        <v>240</v>
      </c>
      <c r="J142">
        <f t="shared" si="90"/>
        <v>20</v>
      </c>
      <c r="K142">
        <f t="shared" si="98"/>
        <v>2</v>
      </c>
      <c r="L142">
        <f t="shared" si="77"/>
        <v>180</v>
      </c>
      <c r="M142">
        <f t="shared" si="91"/>
        <v>0</v>
      </c>
      <c r="N142">
        <f t="shared" si="99"/>
        <v>2</v>
      </c>
      <c r="O142">
        <f t="shared" si="78"/>
        <v>300</v>
      </c>
      <c r="P142">
        <f t="shared" si="100"/>
        <v>0</v>
      </c>
      <c r="Q142">
        <f t="shared" si="101"/>
        <v>2</v>
      </c>
      <c r="R142">
        <f t="shared" si="79"/>
        <v>300</v>
      </c>
      <c r="S142">
        <f t="shared" si="102"/>
        <v>0</v>
      </c>
      <c r="T142">
        <f t="shared" si="103"/>
        <v>-1</v>
      </c>
      <c r="U142">
        <f t="shared" si="92"/>
        <v>0</v>
      </c>
      <c r="V142">
        <f t="shared" si="93"/>
        <v>1</v>
      </c>
      <c r="W142">
        <f t="shared" si="80"/>
        <v>0</v>
      </c>
      <c r="X142">
        <f t="shared" si="104"/>
        <v>0</v>
      </c>
      <c r="Y142">
        <f t="shared" si="81"/>
        <v>0</v>
      </c>
      <c r="Z142">
        <f t="shared" si="82"/>
        <v>278</v>
      </c>
      <c r="AA142">
        <f t="shared" si="83"/>
        <v>0</v>
      </c>
      <c r="AB142" s="29">
        <f t="shared" si="84"/>
        <v>0.74178816089935007</v>
      </c>
      <c r="AC142" s="25">
        <f t="shared" si="94"/>
        <v>207.49804426656831</v>
      </c>
      <c r="AD142" s="29">
        <f t="shared" si="85"/>
        <v>1.1315841256324579</v>
      </c>
      <c r="AE142" s="25">
        <f t="shared" si="95"/>
        <v>13.243681724743192</v>
      </c>
      <c r="AF142" s="25">
        <f t="shared" si="86"/>
        <v>13.243681724743192</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307.31443095592368</v>
      </c>
      <c r="AH142" s="25">
        <f t="shared" si="105"/>
        <v>0</v>
      </c>
      <c r="AI142" s="25">
        <f t="shared" si="106"/>
        <v>0</v>
      </c>
      <c r="AJ142" s="25">
        <f t="shared" si="107"/>
        <v>0</v>
      </c>
    </row>
    <row r="143" spans="1:36">
      <c r="A143">
        <f t="shared" si="87"/>
        <v>140</v>
      </c>
      <c r="B143">
        <f t="shared" si="96"/>
        <v>4</v>
      </c>
      <c r="C143">
        <f t="shared" si="74"/>
        <v>180</v>
      </c>
      <c r="D143">
        <f t="shared" si="88"/>
        <v>21</v>
      </c>
      <c r="E143">
        <f t="shared" si="108"/>
        <v>3</v>
      </c>
      <c r="F143">
        <f t="shared" si="75"/>
        <v>180</v>
      </c>
      <c r="G143">
        <f t="shared" si="89"/>
        <v>0</v>
      </c>
      <c r="H143">
        <f t="shared" si="97"/>
        <v>3</v>
      </c>
      <c r="I143">
        <f t="shared" si="76"/>
        <v>240</v>
      </c>
      <c r="J143">
        <f t="shared" si="90"/>
        <v>21</v>
      </c>
      <c r="K143">
        <f t="shared" si="98"/>
        <v>2</v>
      </c>
      <c r="L143">
        <f t="shared" si="77"/>
        <v>180</v>
      </c>
      <c r="M143">
        <f t="shared" si="91"/>
        <v>0</v>
      </c>
      <c r="N143">
        <f t="shared" si="99"/>
        <v>2</v>
      </c>
      <c r="O143">
        <f t="shared" si="78"/>
        <v>300</v>
      </c>
      <c r="P143">
        <f t="shared" si="100"/>
        <v>0</v>
      </c>
      <c r="Q143">
        <f t="shared" si="101"/>
        <v>2</v>
      </c>
      <c r="R143">
        <f t="shared" si="79"/>
        <v>300</v>
      </c>
      <c r="S143">
        <f t="shared" si="102"/>
        <v>0</v>
      </c>
      <c r="T143">
        <f t="shared" si="103"/>
        <v>-1</v>
      </c>
      <c r="U143">
        <f t="shared" si="92"/>
        <v>0</v>
      </c>
      <c r="V143">
        <f t="shared" si="93"/>
        <v>1</v>
      </c>
      <c r="W143">
        <f t="shared" si="80"/>
        <v>0</v>
      </c>
      <c r="X143">
        <f t="shared" si="104"/>
        <v>0</v>
      </c>
      <c r="Y143">
        <f t="shared" si="81"/>
        <v>0</v>
      </c>
      <c r="Z143">
        <f t="shared" si="82"/>
        <v>0</v>
      </c>
      <c r="AA143">
        <f t="shared" si="83"/>
        <v>0</v>
      </c>
      <c r="AB143" s="29">
        <f t="shared" si="84"/>
        <v>0.74178816089935007</v>
      </c>
      <c r="AC143" s="25">
        <f t="shared" si="94"/>
        <v>207.49804426656831</v>
      </c>
      <c r="AD143" s="29">
        <f t="shared" si="85"/>
        <v>1.1315841256324579</v>
      </c>
      <c r="AE143" s="25">
        <f t="shared" si="95"/>
        <v>13.243681724743192</v>
      </c>
      <c r="AF143" s="25">
        <f t="shared" si="86"/>
        <v>13.243681724743192</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290.78918279358999</v>
      </c>
      <c r="AH143" s="25">
        <f t="shared" si="105"/>
        <v>0</v>
      </c>
      <c r="AI143" s="25">
        <f t="shared" si="106"/>
        <v>0</v>
      </c>
      <c r="AJ143" s="25">
        <f t="shared" si="107"/>
        <v>0</v>
      </c>
    </row>
    <row r="144" spans="1:36">
      <c r="A144">
        <f t="shared" si="87"/>
        <v>141</v>
      </c>
      <c r="B144">
        <f t="shared" si="96"/>
        <v>4</v>
      </c>
      <c r="C144">
        <f t="shared" si="74"/>
        <v>180</v>
      </c>
      <c r="D144">
        <f t="shared" si="88"/>
        <v>22</v>
      </c>
      <c r="E144">
        <f t="shared" si="108"/>
        <v>3</v>
      </c>
      <c r="F144">
        <f t="shared" si="75"/>
        <v>180</v>
      </c>
      <c r="G144">
        <f t="shared" si="89"/>
        <v>0</v>
      </c>
      <c r="H144">
        <f t="shared" si="97"/>
        <v>3</v>
      </c>
      <c r="I144">
        <f t="shared" si="76"/>
        <v>240</v>
      </c>
      <c r="J144">
        <f t="shared" si="90"/>
        <v>22</v>
      </c>
      <c r="K144">
        <f t="shared" si="98"/>
        <v>2</v>
      </c>
      <c r="L144">
        <f t="shared" si="77"/>
        <v>180</v>
      </c>
      <c r="M144">
        <f t="shared" si="91"/>
        <v>0</v>
      </c>
      <c r="N144">
        <f t="shared" si="99"/>
        <v>2</v>
      </c>
      <c r="O144">
        <f t="shared" si="78"/>
        <v>300</v>
      </c>
      <c r="P144">
        <f t="shared" si="100"/>
        <v>0</v>
      </c>
      <c r="Q144">
        <f t="shared" si="101"/>
        <v>2</v>
      </c>
      <c r="R144">
        <f t="shared" si="79"/>
        <v>300</v>
      </c>
      <c r="S144">
        <f t="shared" si="102"/>
        <v>0</v>
      </c>
      <c r="T144">
        <f t="shared" si="103"/>
        <v>-1</v>
      </c>
      <c r="U144">
        <f t="shared" si="92"/>
        <v>0</v>
      </c>
      <c r="V144">
        <f t="shared" si="93"/>
        <v>1</v>
      </c>
      <c r="W144">
        <f t="shared" si="80"/>
        <v>0</v>
      </c>
      <c r="X144">
        <f t="shared" si="104"/>
        <v>0</v>
      </c>
      <c r="Y144">
        <f t="shared" si="81"/>
        <v>0</v>
      </c>
      <c r="Z144">
        <f t="shared" si="82"/>
        <v>0</v>
      </c>
      <c r="AA144">
        <f t="shared" si="83"/>
        <v>0</v>
      </c>
      <c r="AB144" s="29">
        <f t="shared" si="84"/>
        <v>0.74178816089935007</v>
      </c>
      <c r="AC144" s="25">
        <f t="shared" si="94"/>
        <v>207.49804426656831</v>
      </c>
      <c r="AD144" s="29">
        <f t="shared" si="85"/>
        <v>1.1315841256324579</v>
      </c>
      <c r="AE144" s="25">
        <f t="shared" si="95"/>
        <v>13.243681724743192</v>
      </c>
      <c r="AF144" s="25">
        <f t="shared" si="86"/>
        <v>13.243681724743192</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290.78918279358999</v>
      </c>
      <c r="AH144" s="25">
        <f t="shared" si="105"/>
        <v>0</v>
      </c>
      <c r="AI144" s="25">
        <f t="shared" si="106"/>
        <v>0</v>
      </c>
      <c r="AJ144" s="25">
        <f t="shared" si="107"/>
        <v>0</v>
      </c>
    </row>
    <row r="145" spans="1:36">
      <c r="A145">
        <f t="shared" si="87"/>
        <v>142</v>
      </c>
      <c r="B145">
        <f t="shared" si="96"/>
        <v>4</v>
      </c>
      <c r="C145">
        <f t="shared" si="74"/>
        <v>180</v>
      </c>
      <c r="D145">
        <f t="shared" si="88"/>
        <v>23</v>
      </c>
      <c r="E145">
        <f t="shared" si="108"/>
        <v>3</v>
      </c>
      <c r="F145">
        <f t="shared" si="75"/>
        <v>180</v>
      </c>
      <c r="G145">
        <f t="shared" si="89"/>
        <v>0</v>
      </c>
      <c r="H145">
        <f t="shared" si="97"/>
        <v>3</v>
      </c>
      <c r="I145">
        <f t="shared" si="76"/>
        <v>240</v>
      </c>
      <c r="J145">
        <f t="shared" si="90"/>
        <v>23</v>
      </c>
      <c r="K145">
        <f t="shared" si="98"/>
        <v>2</v>
      </c>
      <c r="L145">
        <f t="shared" si="77"/>
        <v>180</v>
      </c>
      <c r="M145">
        <f t="shared" si="91"/>
        <v>0</v>
      </c>
      <c r="N145">
        <f t="shared" si="99"/>
        <v>2</v>
      </c>
      <c r="O145">
        <f t="shared" si="78"/>
        <v>300</v>
      </c>
      <c r="P145">
        <f t="shared" si="100"/>
        <v>0</v>
      </c>
      <c r="Q145">
        <f t="shared" si="101"/>
        <v>2</v>
      </c>
      <c r="R145">
        <f t="shared" si="79"/>
        <v>300</v>
      </c>
      <c r="S145">
        <f t="shared" si="102"/>
        <v>0</v>
      </c>
      <c r="T145">
        <f t="shared" si="103"/>
        <v>-1</v>
      </c>
      <c r="U145">
        <f t="shared" si="92"/>
        <v>0</v>
      </c>
      <c r="V145">
        <f t="shared" si="93"/>
        <v>1</v>
      </c>
      <c r="W145">
        <f t="shared" si="80"/>
        <v>0</v>
      </c>
      <c r="X145">
        <f t="shared" si="104"/>
        <v>0</v>
      </c>
      <c r="Y145">
        <f t="shared" si="81"/>
        <v>0</v>
      </c>
      <c r="Z145">
        <f t="shared" si="82"/>
        <v>0</v>
      </c>
      <c r="AA145">
        <f t="shared" si="83"/>
        <v>0</v>
      </c>
      <c r="AB145" s="29">
        <f t="shared" si="84"/>
        <v>0.74178816089935007</v>
      </c>
      <c r="AC145" s="25">
        <f t="shared" si="94"/>
        <v>207.49804426656831</v>
      </c>
      <c r="AD145" s="29">
        <f t="shared" si="85"/>
        <v>1.1315841256324579</v>
      </c>
      <c r="AE145" s="25">
        <f t="shared" si="95"/>
        <v>13.243681724743192</v>
      </c>
      <c r="AF145" s="25">
        <f t="shared" si="86"/>
        <v>13.243681724743192</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290.78918279358999</v>
      </c>
      <c r="AH145" s="25">
        <f t="shared" si="105"/>
        <v>0</v>
      </c>
      <c r="AI145" s="25">
        <f t="shared" si="106"/>
        <v>0</v>
      </c>
      <c r="AJ145" s="25">
        <f t="shared" si="107"/>
        <v>0</v>
      </c>
    </row>
    <row r="146" spans="1:36">
      <c r="A146">
        <f t="shared" si="87"/>
        <v>143</v>
      </c>
      <c r="B146">
        <f t="shared" si="96"/>
        <v>4</v>
      </c>
      <c r="C146">
        <f t="shared" si="74"/>
        <v>180</v>
      </c>
      <c r="D146">
        <f t="shared" si="88"/>
        <v>24</v>
      </c>
      <c r="E146">
        <f t="shared" si="108"/>
        <v>3</v>
      </c>
      <c r="F146">
        <f t="shared" si="75"/>
        <v>180</v>
      </c>
      <c r="G146">
        <f t="shared" si="89"/>
        <v>0</v>
      </c>
      <c r="H146">
        <f t="shared" si="97"/>
        <v>3</v>
      </c>
      <c r="I146">
        <f t="shared" si="76"/>
        <v>240</v>
      </c>
      <c r="J146">
        <f t="shared" si="90"/>
        <v>24</v>
      </c>
      <c r="K146">
        <f t="shared" si="98"/>
        <v>2</v>
      </c>
      <c r="L146">
        <f t="shared" si="77"/>
        <v>180</v>
      </c>
      <c r="M146">
        <f t="shared" si="91"/>
        <v>0</v>
      </c>
      <c r="N146">
        <f t="shared" si="99"/>
        <v>2</v>
      </c>
      <c r="O146">
        <f t="shared" si="78"/>
        <v>300</v>
      </c>
      <c r="P146">
        <f t="shared" si="100"/>
        <v>0</v>
      </c>
      <c r="Q146">
        <f t="shared" si="101"/>
        <v>2</v>
      </c>
      <c r="R146">
        <f t="shared" si="79"/>
        <v>300</v>
      </c>
      <c r="S146">
        <f t="shared" si="102"/>
        <v>0</v>
      </c>
      <c r="T146">
        <f t="shared" si="103"/>
        <v>-1</v>
      </c>
      <c r="U146">
        <f t="shared" si="92"/>
        <v>0</v>
      </c>
      <c r="V146">
        <f t="shared" si="93"/>
        <v>1</v>
      </c>
      <c r="W146">
        <f t="shared" si="80"/>
        <v>0</v>
      </c>
      <c r="X146">
        <f t="shared" si="104"/>
        <v>0</v>
      </c>
      <c r="Y146">
        <f t="shared" si="81"/>
        <v>0</v>
      </c>
      <c r="Z146">
        <f t="shared" si="82"/>
        <v>0</v>
      </c>
      <c r="AA146">
        <f t="shared" si="83"/>
        <v>0</v>
      </c>
      <c r="AB146" s="29">
        <f t="shared" si="84"/>
        <v>0.74178816089935007</v>
      </c>
      <c r="AC146" s="25">
        <f t="shared" si="94"/>
        <v>207.49804426656831</v>
      </c>
      <c r="AD146" s="29">
        <f t="shared" si="85"/>
        <v>1.1315841256324579</v>
      </c>
      <c r="AE146" s="25">
        <f t="shared" si="95"/>
        <v>13.243681724743192</v>
      </c>
      <c r="AF146" s="25">
        <f t="shared" si="86"/>
        <v>13.243681724743192</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290.78918279358999</v>
      </c>
      <c r="AH146" s="25">
        <f t="shared" si="105"/>
        <v>0</v>
      </c>
      <c r="AI146" s="25">
        <f t="shared" si="106"/>
        <v>0</v>
      </c>
      <c r="AJ146" s="25">
        <f t="shared" si="107"/>
        <v>0</v>
      </c>
    </row>
    <row r="147" spans="1:36">
      <c r="A147">
        <f t="shared" si="87"/>
        <v>144</v>
      </c>
      <c r="B147">
        <f t="shared" si="96"/>
        <v>4</v>
      </c>
      <c r="C147">
        <f t="shared" si="74"/>
        <v>180</v>
      </c>
      <c r="D147">
        <f t="shared" si="88"/>
        <v>25</v>
      </c>
      <c r="E147">
        <f t="shared" si="108"/>
        <v>3</v>
      </c>
      <c r="F147">
        <f t="shared" si="75"/>
        <v>180</v>
      </c>
      <c r="G147">
        <f t="shared" si="89"/>
        <v>0</v>
      </c>
      <c r="H147">
        <f t="shared" si="97"/>
        <v>3</v>
      </c>
      <c r="I147">
        <f t="shared" si="76"/>
        <v>240</v>
      </c>
      <c r="J147">
        <f t="shared" si="90"/>
        <v>25</v>
      </c>
      <c r="K147">
        <f t="shared" si="98"/>
        <v>2</v>
      </c>
      <c r="L147">
        <f t="shared" si="77"/>
        <v>180</v>
      </c>
      <c r="M147">
        <f t="shared" si="91"/>
        <v>0</v>
      </c>
      <c r="N147">
        <f t="shared" si="99"/>
        <v>2</v>
      </c>
      <c r="O147">
        <f t="shared" si="78"/>
        <v>300</v>
      </c>
      <c r="P147">
        <f t="shared" si="100"/>
        <v>0</v>
      </c>
      <c r="Q147">
        <f t="shared" si="101"/>
        <v>2</v>
      </c>
      <c r="R147">
        <f t="shared" si="79"/>
        <v>300</v>
      </c>
      <c r="S147">
        <f t="shared" si="102"/>
        <v>0</v>
      </c>
      <c r="T147">
        <f t="shared" si="103"/>
        <v>-1</v>
      </c>
      <c r="U147">
        <f t="shared" si="92"/>
        <v>0</v>
      </c>
      <c r="V147">
        <f t="shared" si="93"/>
        <v>1</v>
      </c>
      <c r="W147">
        <f t="shared" si="80"/>
        <v>0</v>
      </c>
      <c r="X147">
        <f t="shared" si="104"/>
        <v>0</v>
      </c>
      <c r="Y147">
        <f t="shared" si="81"/>
        <v>0</v>
      </c>
      <c r="Z147">
        <f t="shared" si="82"/>
        <v>0</v>
      </c>
      <c r="AA147">
        <f t="shared" si="83"/>
        <v>0</v>
      </c>
      <c r="AB147" s="29">
        <f t="shared" si="84"/>
        <v>0.74178816089935007</v>
      </c>
      <c r="AC147" s="25">
        <f t="shared" si="94"/>
        <v>207.49804426656831</v>
      </c>
      <c r="AD147" s="29">
        <f t="shared" si="85"/>
        <v>1.1315841256324579</v>
      </c>
      <c r="AE147" s="25">
        <f t="shared" si="95"/>
        <v>13.243681724743192</v>
      </c>
      <c r="AF147" s="25">
        <f t="shared" si="86"/>
        <v>13.243681724743192</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290.78918279358999</v>
      </c>
      <c r="AH147" s="25">
        <f t="shared" si="105"/>
        <v>0</v>
      </c>
      <c r="AI147" s="25">
        <f t="shared" si="106"/>
        <v>0</v>
      </c>
      <c r="AJ147" s="25">
        <f t="shared" si="107"/>
        <v>0</v>
      </c>
    </row>
    <row r="148" spans="1:36">
      <c r="A148">
        <f t="shared" si="87"/>
        <v>145</v>
      </c>
      <c r="B148">
        <f t="shared" si="96"/>
        <v>4</v>
      </c>
      <c r="C148">
        <f t="shared" si="74"/>
        <v>180</v>
      </c>
      <c r="D148">
        <f t="shared" si="88"/>
        <v>26</v>
      </c>
      <c r="E148">
        <f t="shared" si="108"/>
        <v>3</v>
      </c>
      <c r="F148">
        <f t="shared" si="75"/>
        <v>180</v>
      </c>
      <c r="G148">
        <f t="shared" si="89"/>
        <v>0</v>
      </c>
      <c r="H148">
        <f t="shared" si="97"/>
        <v>3</v>
      </c>
      <c r="I148">
        <f t="shared" si="76"/>
        <v>240</v>
      </c>
      <c r="J148">
        <f t="shared" si="90"/>
        <v>26</v>
      </c>
      <c r="K148">
        <f t="shared" si="98"/>
        <v>2</v>
      </c>
      <c r="L148">
        <f t="shared" si="77"/>
        <v>180</v>
      </c>
      <c r="M148">
        <f t="shared" si="91"/>
        <v>0</v>
      </c>
      <c r="N148">
        <f t="shared" si="99"/>
        <v>2</v>
      </c>
      <c r="O148">
        <f t="shared" si="78"/>
        <v>300</v>
      </c>
      <c r="P148">
        <f t="shared" si="100"/>
        <v>0</v>
      </c>
      <c r="Q148">
        <f t="shared" si="101"/>
        <v>2</v>
      </c>
      <c r="R148">
        <f t="shared" si="79"/>
        <v>300</v>
      </c>
      <c r="S148">
        <f t="shared" si="102"/>
        <v>0</v>
      </c>
      <c r="T148">
        <f t="shared" si="103"/>
        <v>-1</v>
      </c>
      <c r="U148">
        <f t="shared" si="92"/>
        <v>0</v>
      </c>
      <c r="V148">
        <f t="shared" si="93"/>
        <v>1</v>
      </c>
      <c r="W148">
        <f t="shared" si="80"/>
        <v>0</v>
      </c>
      <c r="X148">
        <f t="shared" si="104"/>
        <v>0</v>
      </c>
      <c r="Y148">
        <f t="shared" si="81"/>
        <v>0</v>
      </c>
      <c r="Z148">
        <f t="shared" si="82"/>
        <v>0</v>
      </c>
      <c r="AA148">
        <f t="shared" si="83"/>
        <v>0</v>
      </c>
      <c r="AB148" s="29">
        <f t="shared" si="84"/>
        <v>0.74178816089935007</v>
      </c>
      <c r="AC148" s="25">
        <f t="shared" si="94"/>
        <v>207.49804426656831</v>
      </c>
      <c r="AD148" s="29">
        <f t="shared" si="85"/>
        <v>1.1315841256324579</v>
      </c>
      <c r="AE148" s="25">
        <f t="shared" si="95"/>
        <v>13.243681724743192</v>
      </c>
      <c r="AF148" s="25">
        <f t="shared" si="86"/>
        <v>13.243681724743192</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290.78918279358999</v>
      </c>
      <c r="AH148" s="25">
        <f t="shared" si="105"/>
        <v>0</v>
      </c>
      <c r="AI148" s="25">
        <f t="shared" si="106"/>
        <v>0</v>
      </c>
      <c r="AJ148" s="25">
        <f t="shared" si="107"/>
        <v>0</v>
      </c>
    </row>
    <row r="149" spans="1:36">
      <c r="A149">
        <f t="shared" si="87"/>
        <v>146</v>
      </c>
      <c r="B149">
        <f t="shared" si="96"/>
        <v>4</v>
      </c>
      <c r="C149">
        <f t="shared" si="74"/>
        <v>180</v>
      </c>
      <c r="D149">
        <f t="shared" si="88"/>
        <v>27</v>
      </c>
      <c r="E149">
        <f t="shared" si="108"/>
        <v>3</v>
      </c>
      <c r="F149">
        <f t="shared" si="75"/>
        <v>180</v>
      </c>
      <c r="G149">
        <f t="shared" si="89"/>
        <v>0</v>
      </c>
      <c r="H149">
        <f t="shared" si="97"/>
        <v>3</v>
      </c>
      <c r="I149">
        <f t="shared" si="76"/>
        <v>240</v>
      </c>
      <c r="J149">
        <f t="shared" si="90"/>
        <v>27</v>
      </c>
      <c r="K149">
        <f t="shared" si="98"/>
        <v>2</v>
      </c>
      <c r="L149">
        <f t="shared" si="77"/>
        <v>180</v>
      </c>
      <c r="M149">
        <f t="shared" si="91"/>
        <v>0</v>
      </c>
      <c r="N149">
        <f t="shared" si="99"/>
        <v>2</v>
      </c>
      <c r="O149">
        <f t="shared" si="78"/>
        <v>300</v>
      </c>
      <c r="P149">
        <f t="shared" si="100"/>
        <v>0</v>
      </c>
      <c r="Q149">
        <f t="shared" si="101"/>
        <v>2</v>
      </c>
      <c r="R149">
        <f t="shared" si="79"/>
        <v>300</v>
      </c>
      <c r="S149">
        <f t="shared" si="102"/>
        <v>0</v>
      </c>
      <c r="T149">
        <f t="shared" si="103"/>
        <v>-1</v>
      </c>
      <c r="U149">
        <f t="shared" si="92"/>
        <v>0</v>
      </c>
      <c r="V149">
        <f t="shared" si="93"/>
        <v>1</v>
      </c>
      <c r="W149">
        <f t="shared" si="80"/>
        <v>0</v>
      </c>
      <c r="X149">
        <f t="shared" si="104"/>
        <v>0</v>
      </c>
      <c r="Y149">
        <f t="shared" si="81"/>
        <v>0</v>
      </c>
      <c r="Z149">
        <f t="shared" si="82"/>
        <v>0</v>
      </c>
      <c r="AA149">
        <f t="shared" si="83"/>
        <v>0</v>
      </c>
      <c r="AB149" s="29">
        <f t="shared" si="84"/>
        <v>0.74178816089935007</v>
      </c>
      <c r="AC149" s="25">
        <f t="shared" si="94"/>
        <v>207.49804426656831</v>
      </c>
      <c r="AD149" s="29">
        <f t="shared" si="85"/>
        <v>1.1315841256324579</v>
      </c>
      <c r="AE149" s="25">
        <f t="shared" si="95"/>
        <v>13.243681724743192</v>
      </c>
      <c r="AF149" s="25">
        <f t="shared" si="86"/>
        <v>13.243681724743192</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290.78918279358999</v>
      </c>
      <c r="AH149" s="25">
        <f t="shared" si="105"/>
        <v>0</v>
      </c>
      <c r="AI149" s="25">
        <f t="shared" si="106"/>
        <v>0</v>
      </c>
      <c r="AJ149" s="25">
        <f t="shared" si="107"/>
        <v>0</v>
      </c>
    </row>
    <row r="150" spans="1:36">
      <c r="A150">
        <f t="shared" si="87"/>
        <v>147</v>
      </c>
      <c r="B150">
        <f t="shared" si="96"/>
        <v>4</v>
      </c>
      <c r="C150">
        <f t="shared" si="74"/>
        <v>180</v>
      </c>
      <c r="D150">
        <f t="shared" si="88"/>
        <v>28</v>
      </c>
      <c r="E150">
        <f t="shared" si="108"/>
        <v>3</v>
      </c>
      <c r="F150">
        <f t="shared" si="75"/>
        <v>180</v>
      </c>
      <c r="G150">
        <f t="shared" si="89"/>
        <v>0</v>
      </c>
      <c r="H150">
        <f t="shared" si="97"/>
        <v>3</v>
      </c>
      <c r="I150">
        <f t="shared" si="76"/>
        <v>240</v>
      </c>
      <c r="J150">
        <f t="shared" si="90"/>
        <v>28</v>
      </c>
      <c r="K150">
        <f t="shared" si="98"/>
        <v>2</v>
      </c>
      <c r="L150">
        <f t="shared" si="77"/>
        <v>180</v>
      </c>
      <c r="M150">
        <f t="shared" si="91"/>
        <v>0</v>
      </c>
      <c r="N150">
        <f t="shared" si="99"/>
        <v>2</v>
      </c>
      <c r="O150">
        <f t="shared" si="78"/>
        <v>300</v>
      </c>
      <c r="P150">
        <f t="shared" si="100"/>
        <v>0</v>
      </c>
      <c r="Q150">
        <f t="shared" si="101"/>
        <v>2</v>
      </c>
      <c r="R150">
        <f t="shared" si="79"/>
        <v>300</v>
      </c>
      <c r="S150">
        <f t="shared" si="102"/>
        <v>0</v>
      </c>
      <c r="T150">
        <f t="shared" si="103"/>
        <v>-1</v>
      </c>
      <c r="U150">
        <f t="shared" si="92"/>
        <v>0</v>
      </c>
      <c r="V150">
        <f t="shared" si="93"/>
        <v>1</v>
      </c>
      <c r="W150">
        <f t="shared" si="80"/>
        <v>0</v>
      </c>
      <c r="X150">
        <f t="shared" si="104"/>
        <v>0</v>
      </c>
      <c r="Y150">
        <f t="shared" si="81"/>
        <v>0</v>
      </c>
      <c r="Z150">
        <f t="shared" si="82"/>
        <v>0</v>
      </c>
      <c r="AA150">
        <f t="shared" si="83"/>
        <v>0</v>
      </c>
      <c r="AB150" s="29">
        <f t="shared" si="84"/>
        <v>0.74178816089935007</v>
      </c>
      <c r="AC150" s="25">
        <f t="shared" si="94"/>
        <v>207.49804426656831</v>
      </c>
      <c r="AD150" s="29">
        <f t="shared" si="85"/>
        <v>1.1315841256324579</v>
      </c>
      <c r="AE150" s="25">
        <f t="shared" si="95"/>
        <v>13.243681724743192</v>
      </c>
      <c r="AF150" s="25">
        <f t="shared" si="86"/>
        <v>13.243681724743192</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290.78918279358999</v>
      </c>
      <c r="AH150" s="25">
        <f t="shared" si="105"/>
        <v>0</v>
      </c>
      <c r="AI150" s="25">
        <f t="shared" si="106"/>
        <v>0</v>
      </c>
      <c r="AJ150" s="25">
        <f t="shared" si="107"/>
        <v>0</v>
      </c>
    </row>
    <row r="151" spans="1:36">
      <c r="A151">
        <f t="shared" si="87"/>
        <v>148</v>
      </c>
      <c r="B151">
        <f t="shared" si="96"/>
        <v>4</v>
      </c>
      <c r="C151">
        <f t="shared" si="74"/>
        <v>180</v>
      </c>
      <c r="D151">
        <f t="shared" si="88"/>
        <v>29</v>
      </c>
      <c r="E151">
        <f t="shared" si="108"/>
        <v>3</v>
      </c>
      <c r="F151">
        <f t="shared" si="75"/>
        <v>180</v>
      </c>
      <c r="G151">
        <f t="shared" si="89"/>
        <v>0</v>
      </c>
      <c r="H151">
        <f t="shared" si="97"/>
        <v>3</v>
      </c>
      <c r="I151">
        <f t="shared" si="76"/>
        <v>240</v>
      </c>
      <c r="J151">
        <f t="shared" si="90"/>
        <v>29</v>
      </c>
      <c r="K151">
        <f t="shared" si="98"/>
        <v>2</v>
      </c>
      <c r="L151">
        <f t="shared" si="77"/>
        <v>180</v>
      </c>
      <c r="M151">
        <f t="shared" si="91"/>
        <v>0</v>
      </c>
      <c r="N151">
        <f t="shared" si="99"/>
        <v>2</v>
      </c>
      <c r="O151">
        <f t="shared" si="78"/>
        <v>300</v>
      </c>
      <c r="P151">
        <f t="shared" si="100"/>
        <v>0</v>
      </c>
      <c r="Q151">
        <f t="shared" si="101"/>
        <v>2</v>
      </c>
      <c r="R151">
        <f t="shared" si="79"/>
        <v>300</v>
      </c>
      <c r="S151">
        <f t="shared" si="102"/>
        <v>0</v>
      </c>
      <c r="T151">
        <f t="shared" si="103"/>
        <v>-1</v>
      </c>
      <c r="U151">
        <f t="shared" si="92"/>
        <v>0</v>
      </c>
      <c r="V151">
        <f t="shared" si="93"/>
        <v>1</v>
      </c>
      <c r="W151">
        <f t="shared" si="80"/>
        <v>0</v>
      </c>
      <c r="X151">
        <f t="shared" si="104"/>
        <v>0</v>
      </c>
      <c r="Y151">
        <f t="shared" si="81"/>
        <v>0</v>
      </c>
      <c r="Z151">
        <f t="shared" si="82"/>
        <v>0</v>
      </c>
      <c r="AA151">
        <f t="shared" si="83"/>
        <v>0</v>
      </c>
      <c r="AB151" s="29">
        <f t="shared" si="84"/>
        <v>0.74178816089935007</v>
      </c>
      <c r="AC151" s="25">
        <f t="shared" si="94"/>
        <v>207.49804426656831</v>
      </c>
      <c r="AD151" s="29">
        <f t="shared" si="85"/>
        <v>1.1315841256324579</v>
      </c>
      <c r="AE151" s="25">
        <f t="shared" si="95"/>
        <v>13.243681724743192</v>
      </c>
      <c r="AF151" s="25">
        <f t="shared" si="86"/>
        <v>13.243681724743192</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290.78918279358999</v>
      </c>
      <c r="AH151" s="25">
        <f t="shared" si="105"/>
        <v>0</v>
      </c>
      <c r="AI151" s="25">
        <f t="shared" si="106"/>
        <v>0</v>
      </c>
      <c r="AJ151" s="25">
        <f t="shared" si="107"/>
        <v>0</v>
      </c>
    </row>
    <row r="152" spans="1:36">
      <c r="A152">
        <f t="shared" si="87"/>
        <v>149</v>
      </c>
      <c r="B152">
        <f t="shared" si="96"/>
        <v>4</v>
      </c>
      <c r="C152">
        <f t="shared" si="74"/>
        <v>180</v>
      </c>
      <c r="D152">
        <f t="shared" si="88"/>
        <v>30</v>
      </c>
      <c r="E152">
        <f t="shared" si="108"/>
        <v>3</v>
      </c>
      <c r="F152">
        <f t="shared" si="75"/>
        <v>180</v>
      </c>
      <c r="G152">
        <f t="shared" si="89"/>
        <v>0</v>
      </c>
      <c r="H152">
        <f t="shared" si="97"/>
        <v>3</v>
      </c>
      <c r="I152">
        <f t="shared" si="76"/>
        <v>240</v>
      </c>
      <c r="J152">
        <f t="shared" si="90"/>
        <v>30</v>
      </c>
      <c r="K152">
        <f t="shared" si="98"/>
        <v>2</v>
      </c>
      <c r="L152">
        <f t="shared" si="77"/>
        <v>180</v>
      </c>
      <c r="M152">
        <f t="shared" si="91"/>
        <v>0</v>
      </c>
      <c r="N152">
        <f t="shared" si="99"/>
        <v>2</v>
      </c>
      <c r="O152">
        <f t="shared" si="78"/>
        <v>300</v>
      </c>
      <c r="P152">
        <f t="shared" si="100"/>
        <v>0</v>
      </c>
      <c r="Q152">
        <f t="shared" si="101"/>
        <v>2</v>
      </c>
      <c r="R152">
        <f t="shared" si="79"/>
        <v>300</v>
      </c>
      <c r="S152">
        <f t="shared" si="102"/>
        <v>0</v>
      </c>
      <c r="T152">
        <f t="shared" si="103"/>
        <v>-1</v>
      </c>
      <c r="U152">
        <f t="shared" si="92"/>
        <v>0</v>
      </c>
      <c r="V152">
        <f t="shared" si="93"/>
        <v>1</v>
      </c>
      <c r="W152">
        <f t="shared" si="80"/>
        <v>0</v>
      </c>
      <c r="X152">
        <f t="shared" si="104"/>
        <v>0</v>
      </c>
      <c r="Y152">
        <f t="shared" si="81"/>
        <v>0</v>
      </c>
      <c r="Z152">
        <f t="shared" si="82"/>
        <v>0</v>
      </c>
      <c r="AA152">
        <f t="shared" si="83"/>
        <v>0</v>
      </c>
      <c r="AB152" s="29">
        <f t="shared" si="84"/>
        <v>0.74178816089935007</v>
      </c>
      <c r="AC152" s="25">
        <f t="shared" si="94"/>
        <v>207.49804426656831</v>
      </c>
      <c r="AD152" s="29">
        <f t="shared" si="85"/>
        <v>1.1315841256324579</v>
      </c>
      <c r="AE152" s="25">
        <f t="shared" si="95"/>
        <v>13.243681724743192</v>
      </c>
      <c r="AF152" s="25">
        <f t="shared" si="86"/>
        <v>13.243681724743192</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290.78918279358999</v>
      </c>
      <c r="AH152" s="25">
        <f t="shared" si="105"/>
        <v>0</v>
      </c>
      <c r="AI152" s="25">
        <f t="shared" si="106"/>
        <v>0</v>
      </c>
      <c r="AJ152" s="25">
        <f t="shared" si="107"/>
        <v>0</v>
      </c>
    </row>
    <row r="153" spans="1:36">
      <c r="A153">
        <f t="shared" si="87"/>
        <v>150</v>
      </c>
      <c r="B153">
        <f t="shared" si="96"/>
        <v>4</v>
      </c>
      <c r="C153">
        <f t="shared" si="74"/>
        <v>180</v>
      </c>
      <c r="D153">
        <f t="shared" si="88"/>
        <v>0</v>
      </c>
      <c r="E153">
        <f t="shared" si="108"/>
        <v>3</v>
      </c>
      <c r="F153">
        <f t="shared" si="75"/>
        <v>180</v>
      </c>
      <c r="G153">
        <f t="shared" si="89"/>
        <v>0</v>
      </c>
      <c r="H153">
        <f t="shared" si="97"/>
        <v>3</v>
      </c>
      <c r="I153">
        <f t="shared" si="76"/>
        <v>240</v>
      </c>
      <c r="J153">
        <f t="shared" si="90"/>
        <v>0</v>
      </c>
      <c r="K153">
        <f t="shared" si="98"/>
        <v>2</v>
      </c>
      <c r="L153">
        <f t="shared" si="77"/>
        <v>180</v>
      </c>
      <c r="M153">
        <f t="shared" si="91"/>
        <v>0</v>
      </c>
      <c r="N153">
        <f t="shared" si="99"/>
        <v>2</v>
      </c>
      <c r="O153">
        <f t="shared" si="78"/>
        <v>300</v>
      </c>
      <c r="P153">
        <f t="shared" si="100"/>
        <v>0</v>
      </c>
      <c r="Q153">
        <f t="shared" si="101"/>
        <v>2</v>
      </c>
      <c r="R153">
        <f t="shared" si="79"/>
        <v>300</v>
      </c>
      <c r="S153">
        <f t="shared" si="102"/>
        <v>0</v>
      </c>
      <c r="T153">
        <f t="shared" si="103"/>
        <v>-1</v>
      </c>
      <c r="U153">
        <f t="shared" si="92"/>
        <v>0</v>
      </c>
      <c r="V153">
        <f t="shared" si="93"/>
        <v>1</v>
      </c>
      <c r="W153">
        <f t="shared" si="80"/>
        <v>0</v>
      </c>
      <c r="X153">
        <f t="shared" si="104"/>
        <v>0</v>
      </c>
      <c r="Y153">
        <f t="shared" si="81"/>
        <v>0</v>
      </c>
      <c r="Z153">
        <f t="shared" si="82"/>
        <v>0</v>
      </c>
      <c r="AA153">
        <f t="shared" si="83"/>
        <v>0</v>
      </c>
      <c r="AB153" s="29">
        <f t="shared" si="84"/>
        <v>0.74178816089935007</v>
      </c>
      <c r="AC153" s="25">
        <f t="shared" si="94"/>
        <v>127.49804426656831</v>
      </c>
      <c r="AD153" s="29">
        <f t="shared" si="85"/>
        <v>1.0808524183153847</v>
      </c>
      <c r="AE153" s="25">
        <f t="shared" si="95"/>
        <v>13.243681724743192</v>
      </c>
      <c r="AF153" s="25">
        <f t="shared" si="86"/>
        <v>13.243681724743192</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290.78918279358999</v>
      </c>
      <c r="AH153" s="25">
        <f t="shared" si="105"/>
        <v>0</v>
      </c>
      <c r="AI153" s="25">
        <f t="shared" si="106"/>
        <v>0</v>
      </c>
      <c r="AJ153" s="25">
        <f t="shared" si="107"/>
        <v>0</v>
      </c>
    </row>
    <row r="154" spans="1:36">
      <c r="A154">
        <f t="shared" si="87"/>
        <v>151</v>
      </c>
      <c r="B154">
        <f t="shared" si="96"/>
        <v>4</v>
      </c>
      <c r="C154">
        <f t="shared" si="74"/>
        <v>180</v>
      </c>
      <c r="D154">
        <f t="shared" si="88"/>
        <v>0</v>
      </c>
      <c r="E154">
        <f t="shared" si="108"/>
        <v>3</v>
      </c>
      <c r="F154">
        <f t="shared" si="75"/>
        <v>180</v>
      </c>
      <c r="G154">
        <f t="shared" si="89"/>
        <v>0</v>
      </c>
      <c r="H154">
        <f t="shared" si="97"/>
        <v>3</v>
      </c>
      <c r="I154">
        <f t="shared" si="76"/>
        <v>240</v>
      </c>
      <c r="J154">
        <f t="shared" si="90"/>
        <v>0</v>
      </c>
      <c r="K154">
        <f t="shared" si="98"/>
        <v>2</v>
      </c>
      <c r="L154">
        <f t="shared" si="77"/>
        <v>180</v>
      </c>
      <c r="M154">
        <f t="shared" si="91"/>
        <v>0</v>
      </c>
      <c r="N154">
        <f t="shared" si="99"/>
        <v>2</v>
      </c>
      <c r="O154">
        <f t="shared" si="78"/>
        <v>300</v>
      </c>
      <c r="P154">
        <f t="shared" si="100"/>
        <v>0</v>
      </c>
      <c r="Q154">
        <f t="shared" si="101"/>
        <v>2</v>
      </c>
      <c r="R154">
        <f t="shared" si="79"/>
        <v>300</v>
      </c>
      <c r="S154">
        <f t="shared" si="102"/>
        <v>0</v>
      </c>
      <c r="T154">
        <f t="shared" si="103"/>
        <v>-1</v>
      </c>
      <c r="U154">
        <f t="shared" si="92"/>
        <v>0</v>
      </c>
      <c r="V154">
        <f t="shared" si="93"/>
        <v>1</v>
      </c>
      <c r="W154">
        <f t="shared" si="80"/>
        <v>0</v>
      </c>
      <c r="X154">
        <f t="shared" si="104"/>
        <v>0</v>
      </c>
      <c r="Y154">
        <f t="shared" si="81"/>
        <v>0</v>
      </c>
      <c r="Z154">
        <f t="shared" si="82"/>
        <v>0</v>
      </c>
      <c r="AA154">
        <f t="shared" si="83"/>
        <v>0</v>
      </c>
      <c r="AB154" s="29">
        <f t="shared" si="84"/>
        <v>0.74178816089935007</v>
      </c>
      <c r="AC154" s="25">
        <f t="shared" si="94"/>
        <v>127.49804426656831</v>
      </c>
      <c r="AD154" s="29">
        <f t="shared" si="85"/>
        <v>1.0808524183153847</v>
      </c>
      <c r="AE154" s="25">
        <f t="shared" si="95"/>
        <v>13.243681724743192</v>
      </c>
      <c r="AF154" s="25">
        <f t="shared" si="86"/>
        <v>13.243681724743192</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290.78918279358999</v>
      </c>
      <c r="AH154" s="25">
        <f t="shared" si="105"/>
        <v>0</v>
      </c>
      <c r="AI154" s="25">
        <f t="shared" si="106"/>
        <v>0</v>
      </c>
      <c r="AJ154" s="25">
        <f t="shared" si="107"/>
        <v>0</v>
      </c>
    </row>
    <row r="155" spans="1:36">
      <c r="A155">
        <f t="shared" si="87"/>
        <v>152</v>
      </c>
      <c r="B155">
        <f t="shared" si="96"/>
        <v>4</v>
      </c>
      <c r="C155">
        <f t="shared" si="74"/>
        <v>180</v>
      </c>
      <c r="D155">
        <f t="shared" si="88"/>
        <v>0</v>
      </c>
      <c r="E155">
        <f t="shared" si="108"/>
        <v>3</v>
      </c>
      <c r="F155">
        <f t="shared" si="75"/>
        <v>180</v>
      </c>
      <c r="G155">
        <f t="shared" si="89"/>
        <v>0</v>
      </c>
      <c r="H155">
        <f t="shared" si="97"/>
        <v>3</v>
      </c>
      <c r="I155">
        <f t="shared" si="76"/>
        <v>240</v>
      </c>
      <c r="J155">
        <f t="shared" si="90"/>
        <v>0</v>
      </c>
      <c r="K155">
        <f t="shared" si="98"/>
        <v>2</v>
      </c>
      <c r="L155">
        <f t="shared" si="77"/>
        <v>180</v>
      </c>
      <c r="M155">
        <f t="shared" si="91"/>
        <v>0</v>
      </c>
      <c r="N155">
        <f t="shared" si="99"/>
        <v>2</v>
      </c>
      <c r="O155">
        <f t="shared" si="78"/>
        <v>300</v>
      </c>
      <c r="P155">
        <f t="shared" si="100"/>
        <v>0</v>
      </c>
      <c r="Q155">
        <f t="shared" si="101"/>
        <v>2</v>
      </c>
      <c r="R155">
        <f t="shared" si="79"/>
        <v>300</v>
      </c>
      <c r="S155">
        <f t="shared" si="102"/>
        <v>0</v>
      </c>
      <c r="T155">
        <f t="shared" si="103"/>
        <v>-1</v>
      </c>
      <c r="U155">
        <f t="shared" si="92"/>
        <v>0</v>
      </c>
      <c r="V155">
        <f t="shared" si="93"/>
        <v>1</v>
      </c>
      <c r="W155">
        <f t="shared" si="80"/>
        <v>0</v>
      </c>
      <c r="X155">
        <f t="shared" si="104"/>
        <v>0</v>
      </c>
      <c r="Y155">
        <f t="shared" si="81"/>
        <v>0</v>
      </c>
      <c r="Z155">
        <f t="shared" si="82"/>
        <v>0</v>
      </c>
      <c r="AA155">
        <f t="shared" si="83"/>
        <v>0</v>
      </c>
      <c r="AB155" s="29">
        <f t="shared" si="84"/>
        <v>0.74178816089935007</v>
      </c>
      <c r="AC155" s="25">
        <f t="shared" si="94"/>
        <v>127.49804426656831</v>
      </c>
      <c r="AD155" s="29">
        <f t="shared" si="85"/>
        <v>1.0808524183153847</v>
      </c>
      <c r="AE155" s="25">
        <f t="shared" si="95"/>
        <v>13.243681724743192</v>
      </c>
      <c r="AF155" s="25">
        <f t="shared" si="86"/>
        <v>13.243681724743192</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290.78918279358999</v>
      </c>
      <c r="AH155" s="25">
        <f t="shared" si="105"/>
        <v>0</v>
      </c>
      <c r="AI155" s="25">
        <f t="shared" si="106"/>
        <v>0</v>
      </c>
      <c r="AJ155" s="25">
        <f t="shared" si="107"/>
        <v>0</v>
      </c>
    </row>
    <row r="156" spans="1:36">
      <c r="A156">
        <f t="shared" si="87"/>
        <v>153</v>
      </c>
      <c r="B156">
        <f t="shared" si="96"/>
        <v>4</v>
      </c>
      <c r="C156">
        <f t="shared" si="74"/>
        <v>180</v>
      </c>
      <c r="D156">
        <f t="shared" si="88"/>
        <v>0</v>
      </c>
      <c r="E156">
        <f t="shared" si="108"/>
        <v>3</v>
      </c>
      <c r="F156">
        <f t="shared" si="75"/>
        <v>180</v>
      </c>
      <c r="G156">
        <f t="shared" si="89"/>
        <v>0</v>
      </c>
      <c r="H156">
        <f t="shared" si="97"/>
        <v>3</v>
      </c>
      <c r="I156">
        <f t="shared" si="76"/>
        <v>240</v>
      </c>
      <c r="J156">
        <f t="shared" si="90"/>
        <v>0</v>
      </c>
      <c r="K156">
        <f t="shared" si="98"/>
        <v>2</v>
      </c>
      <c r="L156">
        <f t="shared" si="77"/>
        <v>180</v>
      </c>
      <c r="M156">
        <f t="shared" si="91"/>
        <v>0</v>
      </c>
      <c r="N156">
        <f t="shared" si="99"/>
        <v>2</v>
      </c>
      <c r="O156">
        <f t="shared" si="78"/>
        <v>300</v>
      </c>
      <c r="P156">
        <f t="shared" si="100"/>
        <v>0</v>
      </c>
      <c r="Q156">
        <f t="shared" si="101"/>
        <v>2</v>
      </c>
      <c r="R156">
        <f t="shared" si="79"/>
        <v>300</v>
      </c>
      <c r="S156">
        <f t="shared" si="102"/>
        <v>0</v>
      </c>
      <c r="T156">
        <f t="shared" si="103"/>
        <v>-1</v>
      </c>
      <c r="U156">
        <f t="shared" si="92"/>
        <v>0</v>
      </c>
      <c r="V156">
        <f t="shared" si="93"/>
        <v>1</v>
      </c>
      <c r="W156">
        <f t="shared" si="80"/>
        <v>0</v>
      </c>
      <c r="X156">
        <f t="shared" si="104"/>
        <v>0</v>
      </c>
      <c r="Y156">
        <f t="shared" si="81"/>
        <v>0</v>
      </c>
      <c r="Z156">
        <f t="shared" si="82"/>
        <v>0</v>
      </c>
      <c r="AA156">
        <f t="shared" si="83"/>
        <v>0</v>
      </c>
      <c r="AB156" s="29">
        <f t="shared" si="84"/>
        <v>0.74178816089935007</v>
      </c>
      <c r="AC156" s="25">
        <f t="shared" si="94"/>
        <v>127.49804426656831</v>
      </c>
      <c r="AD156" s="29">
        <f t="shared" si="85"/>
        <v>1.0808524183153847</v>
      </c>
      <c r="AE156" s="25">
        <f t="shared" si="95"/>
        <v>13.243681724743192</v>
      </c>
      <c r="AF156" s="25">
        <f t="shared" si="86"/>
        <v>13.243681724743192</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290.78918279358999</v>
      </c>
      <c r="AH156" s="25">
        <f t="shared" si="105"/>
        <v>0</v>
      </c>
      <c r="AI156" s="25">
        <f t="shared" si="106"/>
        <v>0</v>
      </c>
      <c r="AJ156" s="25">
        <f t="shared" si="107"/>
        <v>0</v>
      </c>
    </row>
    <row r="157" spans="1:36">
      <c r="A157">
        <f t="shared" si="87"/>
        <v>154</v>
      </c>
      <c r="B157">
        <f t="shared" si="96"/>
        <v>4</v>
      </c>
      <c r="C157">
        <f t="shared" si="74"/>
        <v>180</v>
      </c>
      <c r="D157">
        <f t="shared" si="88"/>
        <v>0</v>
      </c>
      <c r="E157">
        <f t="shared" si="108"/>
        <v>3</v>
      </c>
      <c r="F157">
        <f t="shared" si="75"/>
        <v>180</v>
      </c>
      <c r="G157">
        <f t="shared" si="89"/>
        <v>0</v>
      </c>
      <c r="H157">
        <f t="shared" si="97"/>
        <v>3</v>
      </c>
      <c r="I157">
        <f t="shared" si="76"/>
        <v>240</v>
      </c>
      <c r="J157">
        <f t="shared" si="90"/>
        <v>0</v>
      </c>
      <c r="K157">
        <f t="shared" si="98"/>
        <v>2</v>
      </c>
      <c r="L157">
        <f t="shared" si="77"/>
        <v>180</v>
      </c>
      <c r="M157">
        <f t="shared" si="91"/>
        <v>0</v>
      </c>
      <c r="N157">
        <f t="shared" si="99"/>
        <v>2</v>
      </c>
      <c r="O157">
        <f t="shared" si="78"/>
        <v>300</v>
      </c>
      <c r="P157">
        <f t="shared" si="100"/>
        <v>0</v>
      </c>
      <c r="Q157">
        <f t="shared" si="101"/>
        <v>2</v>
      </c>
      <c r="R157">
        <f t="shared" si="79"/>
        <v>300</v>
      </c>
      <c r="S157">
        <f t="shared" si="102"/>
        <v>0</v>
      </c>
      <c r="T157">
        <f t="shared" si="103"/>
        <v>-1</v>
      </c>
      <c r="U157">
        <f t="shared" si="92"/>
        <v>0</v>
      </c>
      <c r="V157">
        <f t="shared" si="93"/>
        <v>1</v>
      </c>
      <c r="W157">
        <f t="shared" si="80"/>
        <v>0</v>
      </c>
      <c r="X157">
        <f t="shared" si="104"/>
        <v>0</v>
      </c>
      <c r="Y157">
        <f t="shared" si="81"/>
        <v>0</v>
      </c>
      <c r="Z157">
        <f t="shared" si="82"/>
        <v>0</v>
      </c>
      <c r="AA157">
        <f t="shared" si="83"/>
        <v>0</v>
      </c>
      <c r="AB157" s="29">
        <f t="shared" si="84"/>
        <v>0.74178816089935007</v>
      </c>
      <c r="AC157" s="25">
        <f t="shared" si="94"/>
        <v>127.49804426656831</v>
      </c>
      <c r="AD157" s="29">
        <f t="shared" si="85"/>
        <v>1.0808524183153847</v>
      </c>
      <c r="AE157" s="25">
        <f t="shared" si="95"/>
        <v>13.243681724743192</v>
      </c>
      <c r="AF157" s="25">
        <f t="shared" si="86"/>
        <v>13.243681724743192</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290.78918279358999</v>
      </c>
      <c r="AH157" s="25">
        <f t="shared" si="105"/>
        <v>0</v>
      </c>
      <c r="AI157" s="25">
        <f t="shared" si="106"/>
        <v>0</v>
      </c>
      <c r="AJ157" s="25">
        <f t="shared" si="107"/>
        <v>0</v>
      </c>
    </row>
    <row r="158" spans="1:36">
      <c r="A158">
        <f t="shared" si="87"/>
        <v>155</v>
      </c>
      <c r="B158">
        <f t="shared" si="96"/>
        <v>4</v>
      </c>
      <c r="C158">
        <f t="shared" si="74"/>
        <v>180</v>
      </c>
      <c r="D158">
        <f t="shared" si="88"/>
        <v>0</v>
      </c>
      <c r="E158">
        <f t="shared" si="108"/>
        <v>3</v>
      </c>
      <c r="F158">
        <f t="shared" si="75"/>
        <v>180</v>
      </c>
      <c r="G158">
        <f t="shared" si="89"/>
        <v>0</v>
      </c>
      <c r="H158">
        <f t="shared" si="97"/>
        <v>3</v>
      </c>
      <c r="I158">
        <f t="shared" si="76"/>
        <v>240</v>
      </c>
      <c r="J158">
        <f t="shared" si="90"/>
        <v>0</v>
      </c>
      <c r="K158">
        <f t="shared" si="98"/>
        <v>2</v>
      </c>
      <c r="L158">
        <f t="shared" si="77"/>
        <v>180</v>
      </c>
      <c r="M158">
        <f t="shared" si="91"/>
        <v>0</v>
      </c>
      <c r="N158">
        <f t="shared" si="99"/>
        <v>2</v>
      </c>
      <c r="O158">
        <f t="shared" si="78"/>
        <v>300</v>
      </c>
      <c r="P158">
        <f t="shared" si="100"/>
        <v>0</v>
      </c>
      <c r="Q158">
        <f t="shared" si="101"/>
        <v>2</v>
      </c>
      <c r="R158">
        <f t="shared" si="79"/>
        <v>300</v>
      </c>
      <c r="S158">
        <f t="shared" si="102"/>
        <v>0</v>
      </c>
      <c r="T158">
        <f t="shared" si="103"/>
        <v>-1</v>
      </c>
      <c r="U158">
        <f t="shared" si="92"/>
        <v>0</v>
      </c>
      <c r="V158">
        <f t="shared" si="93"/>
        <v>1</v>
      </c>
      <c r="W158">
        <f t="shared" si="80"/>
        <v>0</v>
      </c>
      <c r="X158">
        <f t="shared" si="104"/>
        <v>0</v>
      </c>
      <c r="Y158">
        <f t="shared" si="81"/>
        <v>0</v>
      </c>
      <c r="Z158">
        <f t="shared" si="82"/>
        <v>0</v>
      </c>
      <c r="AA158">
        <f t="shared" si="83"/>
        <v>0</v>
      </c>
      <c r="AB158" s="29">
        <f t="shared" si="84"/>
        <v>0.74178816089935007</v>
      </c>
      <c r="AC158" s="25">
        <f t="shared" si="94"/>
        <v>127.49804426656831</v>
      </c>
      <c r="AD158" s="29">
        <f t="shared" si="85"/>
        <v>1.0808524183153847</v>
      </c>
      <c r="AE158" s="25">
        <f t="shared" si="95"/>
        <v>13.243681724743192</v>
      </c>
      <c r="AF158" s="25">
        <f t="shared" si="86"/>
        <v>13.243681724743192</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290.78918279358999</v>
      </c>
      <c r="AH158" s="25">
        <f t="shared" si="105"/>
        <v>0</v>
      </c>
      <c r="AI158" s="25">
        <f t="shared" si="106"/>
        <v>0</v>
      </c>
      <c r="AJ158" s="25">
        <f t="shared" si="107"/>
        <v>0</v>
      </c>
    </row>
    <row r="159" spans="1:36">
      <c r="A159">
        <f t="shared" si="87"/>
        <v>156</v>
      </c>
      <c r="B159">
        <f t="shared" si="96"/>
        <v>4</v>
      </c>
      <c r="C159">
        <f t="shared" si="74"/>
        <v>180</v>
      </c>
      <c r="D159">
        <f t="shared" si="88"/>
        <v>0</v>
      </c>
      <c r="E159">
        <f t="shared" si="108"/>
        <v>3</v>
      </c>
      <c r="F159">
        <f t="shared" si="75"/>
        <v>180</v>
      </c>
      <c r="G159">
        <f t="shared" si="89"/>
        <v>0</v>
      </c>
      <c r="H159">
        <f t="shared" si="97"/>
        <v>3</v>
      </c>
      <c r="I159">
        <f t="shared" si="76"/>
        <v>240</v>
      </c>
      <c r="J159">
        <f t="shared" si="90"/>
        <v>0</v>
      </c>
      <c r="K159">
        <f t="shared" si="98"/>
        <v>2</v>
      </c>
      <c r="L159">
        <f t="shared" si="77"/>
        <v>180</v>
      </c>
      <c r="M159">
        <f t="shared" si="91"/>
        <v>0</v>
      </c>
      <c r="N159">
        <f t="shared" si="99"/>
        <v>2</v>
      </c>
      <c r="O159">
        <f t="shared" si="78"/>
        <v>300</v>
      </c>
      <c r="P159">
        <f t="shared" si="100"/>
        <v>0</v>
      </c>
      <c r="Q159">
        <f t="shared" si="101"/>
        <v>2</v>
      </c>
      <c r="R159">
        <f t="shared" si="79"/>
        <v>300</v>
      </c>
      <c r="S159">
        <f t="shared" si="102"/>
        <v>0</v>
      </c>
      <c r="T159">
        <f t="shared" si="103"/>
        <v>-1</v>
      </c>
      <c r="U159">
        <f t="shared" si="92"/>
        <v>0</v>
      </c>
      <c r="V159">
        <f t="shared" si="93"/>
        <v>1</v>
      </c>
      <c r="W159">
        <f t="shared" si="80"/>
        <v>0</v>
      </c>
      <c r="X159">
        <f t="shared" si="104"/>
        <v>0</v>
      </c>
      <c r="Y159">
        <f t="shared" si="81"/>
        <v>0</v>
      </c>
      <c r="Z159">
        <f t="shared" si="82"/>
        <v>0</v>
      </c>
      <c r="AA159">
        <f t="shared" si="83"/>
        <v>0</v>
      </c>
      <c r="AB159" s="29">
        <f t="shared" si="84"/>
        <v>0.74178816089935007</v>
      </c>
      <c r="AC159" s="25">
        <f t="shared" si="94"/>
        <v>127.49804426656831</v>
      </c>
      <c r="AD159" s="29">
        <f t="shared" si="85"/>
        <v>1.0808524183153847</v>
      </c>
      <c r="AE159" s="25">
        <f t="shared" si="95"/>
        <v>13.243681724743192</v>
      </c>
      <c r="AF159" s="25">
        <f t="shared" si="86"/>
        <v>13.243681724743192</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290.78918279358999</v>
      </c>
      <c r="AH159" s="25">
        <f t="shared" si="105"/>
        <v>0</v>
      </c>
      <c r="AI159" s="25">
        <f t="shared" si="106"/>
        <v>0</v>
      </c>
      <c r="AJ159" s="25">
        <f t="shared" si="107"/>
        <v>0</v>
      </c>
    </row>
    <row r="160" spans="1:36">
      <c r="A160">
        <f t="shared" si="87"/>
        <v>157</v>
      </c>
      <c r="B160">
        <f t="shared" si="96"/>
        <v>4</v>
      </c>
      <c r="C160">
        <f t="shared" si="74"/>
        <v>180</v>
      </c>
      <c r="D160">
        <f t="shared" si="88"/>
        <v>0</v>
      </c>
      <c r="E160">
        <f t="shared" si="108"/>
        <v>3</v>
      </c>
      <c r="F160">
        <f t="shared" si="75"/>
        <v>180</v>
      </c>
      <c r="G160">
        <f t="shared" si="89"/>
        <v>0</v>
      </c>
      <c r="H160">
        <f t="shared" si="97"/>
        <v>3</v>
      </c>
      <c r="I160">
        <f t="shared" si="76"/>
        <v>240</v>
      </c>
      <c r="J160">
        <f t="shared" si="90"/>
        <v>0</v>
      </c>
      <c r="K160">
        <f t="shared" si="98"/>
        <v>2</v>
      </c>
      <c r="L160">
        <f t="shared" si="77"/>
        <v>180</v>
      </c>
      <c r="M160">
        <f t="shared" si="91"/>
        <v>0</v>
      </c>
      <c r="N160">
        <f t="shared" si="99"/>
        <v>2</v>
      </c>
      <c r="O160">
        <f t="shared" si="78"/>
        <v>300</v>
      </c>
      <c r="P160">
        <f t="shared" si="100"/>
        <v>0</v>
      </c>
      <c r="Q160">
        <f t="shared" si="101"/>
        <v>2</v>
      </c>
      <c r="R160">
        <f t="shared" si="79"/>
        <v>300</v>
      </c>
      <c r="S160">
        <f t="shared" si="102"/>
        <v>0</v>
      </c>
      <c r="T160">
        <f t="shared" si="103"/>
        <v>-1</v>
      </c>
      <c r="U160">
        <f t="shared" si="92"/>
        <v>0</v>
      </c>
      <c r="V160">
        <f t="shared" si="93"/>
        <v>1</v>
      </c>
      <c r="W160">
        <f t="shared" si="80"/>
        <v>0</v>
      </c>
      <c r="X160">
        <f t="shared" si="104"/>
        <v>0</v>
      </c>
      <c r="Y160">
        <f t="shared" si="81"/>
        <v>0</v>
      </c>
      <c r="Z160">
        <f t="shared" si="82"/>
        <v>0</v>
      </c>
      <c r="AA160">
        <f t="shared" si="83"/>
        <v>0</v>
      </c>
      <c r="AB160" s="29">
        <f t="shared" si="84"/>
        <v>0.74178816089935007</v>
      </c>
      <c r="AC160" s="25">
        <f t="shared" si="94"/>
        <v>127.49804426656831</v>
      </c>
      <c r="AD160" s="29">
        <f t="shared" si="85"/>
        <v>1.0808524183153847</v>
      </c>
      <c r="AE160" s="25">
        <f t="shared" si="95"/>
        <v>13.243681724743192</v>
      </c>
      <c r="AF160" s="25">
        <f t="shared" si="86"/>
        <v>13.243681724743192</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290.78918279358999</v>
      </c>
      <c r="AH160" s="25">
        <f t="shared" si="105"/>
        <v>0</v>
      </c>
      <c r="AI160" s="25">
        <f t="shared" si="106"/>
        <v>0</v>
      </c>
      <c r="AJ160" s="25">
        <f t="shared" si="107"/>
        <v>0</v>
      </c>
    </row>
    <row r="161" spans="1:36">
      <c r="A161">
        <f t="shared" si="87"/>
        <v>158</v>
      </c>
      <c r="B161">
        <f t="shared" si="96"/>
        <v>4</v>
      </c>
      <c r="C161">
        <f t="shared" si="74"/>
        <v>180</v>
      </c>
      <c r="D161">
        <f t="shared" si="88"/>
        <v>0</v>
      </c>
      <c r="E161">
        <f t="shared" si="108"/>
        <v>3</v>
      </c>
      <c r="F161">
        <f t="shared" si="75"/>
        <v>180</v>
      </c>
      <c r="G161">
        <f t="shared" si="89"/>
        <v>0</v>
      </c>
      <c r="H161">
        <f t="shared" si="97"/>
        <v>3</v>
      </c>
      <c r="I161">
        <f t="shared" si="76"/>
        <v>240</v>
      </c>
      <c r="J161">
        <f t="shared" si="90"/>
        <v>0</v>
      </c>
      <c r="K161">
        <f t="shared" si="98"/>
        <v>2</v>
      </c>
      <c r="L161">
        <f t="shared" si="77"/>
        <v>180</v>
      </c>
      <c r="M161">
        <f t="shared" si="91"/>
        <v>0</v>
      </c>
      <c r="N161">
        <f t="shared" si="99"/>
        <v>2</v>
      </c>
      <c r="O161">
        <f t="shared" si="78"/>
        <v>300</v>
      </c>
      <c r="P161">
        <f t="shared" si="100"/>
        <v>0</v>
      </c>
      <c r="Q161">
        <f t="shared" si="101"/>
        <v>2</v>
      </c>
      <c r="R161">
        <f t="shared" si="79"/>
        <v>300</v>
      </c>
      <c r="S161">
        <f t="shared" si="102"/>
        <v>0</v>
      </c>
      <c r="T161">
        <f t="shared" si="103"/>
        <v>-1</v>
      </c>
      <c r="U161">
        <f t="shared" si="92"/>
        <v>0</v>
      </c>
      <c r="V161">
        <f t="shared" si="93"/>
        <v>1</v>
      </c>
      <c r="W161">
        <f t="shared" si="80"/>
        <v>0</v>
      </c>
      <c r="X161">
        <f t="shared" si="104"/>
        <v>0</v>
      </c>
      <c r="Y161">
        <f t="shared" si="81"/>
        <v>0</v>
      </c>
      <c r="Z161">
        <f t="shared" si="82"/>
        <v>0</v>
      </c>
      <c r="AA161">
        <f t="shared" si="83"/>
        <v>0</v>
      </c>
      <c r="AB161" s="29">
        <f t="shared" si="84"/>
        <v>0.74178816089935007</v>
      </c>
      <c r="AC161" s="25">
        <f t="shared" si="94"/>
        <v>127.49804426656831</v>
      </c>
      <c r="AD161" s="29">
        <f t="shared" si="85"/>
        <v>1.0808524183153847</v>
      </c>
      <c r="AE161" s="25">
        <f t="shared" si="95"/>
        <v>13.243681724743192</v>
      </c>
      <c r="AF161" s="25">
        <f t="shared" si="86"/>
        <v>13.243681724743192</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290.78918279358999</v>
      </c>
      <c r="AH161" s="25">
        <f t="shared" si="105"/>
        <v>0</v>
      </c>
      <c r="AI161" s="25">
        <f t="shared" si="106"/>
        <v>0</v>
      </c>
      <c r="AJ161" s="25">
        <f t="shared" si="107"/>
        <v>0</v>
      </c>
    </row>
    <row r="162" spans="1:36">
      <c r="A162">
        <f t="shared" si="87"/>
        <v>159</v>
      </c>
      <c r="B162">
        <f t="shared" si="96"/>
        <v>4</v>
      </c>
      <c r="C162">
        <f t="shared" si="74"/>
        <v>180</v>
      </c>
      <c r="D162">
        <f t="shared" si="88"/>
        <v>0</v>
      </c>
      <c r="E162">
        <f t="shared" si="108"/>
        <v>3</v>
      </c>
      <c r="F162">
        <f t="shared" si="75"/>
        <v>180</v>
      </c>
      <c r="G162">
        <f t="shared" si="89"/>
        <v>0</v>
      </c>
      <c r="H162">
        <f t="shared" si="97"/>
        <v>3</v>
      </c>
      <c r="I162">
        <f t="shared" si="76"/>
        <v>240</v>
      </c>
      <c r="J162">
        <f t="shared" si="90"/>
        <v>0</v>
      </c>
      <c r="K162">
        <f t="shared" si="98"/>
        <v>2</v>
      </c>
      <c r="L162">
        <f t="shared" si="77"/>
        <v>180</v>
      </c>
      <c r="M162">
        <f t="shared" si="91"/>
        <v>0</v>
      </c>
      <c r="N162">
        <f t="shared" si="99"/>
        <v>2</v>
      </c>
      <c r="O162">
        <f t="shared" si="78"/>
        <v>300</v>
      </c>
      <c r="P162">
        <f t="shared" si="100"/>
        <v>0</v>
      </c>
      <c r="Q162">
        <f t="shared" si="101"/>
        <v>2</v>
      </c>
      <c r="R162">
        <f t="shared" si="79"/>
        <v>300</v>
      </c>
      <c r="S162">
        <f t="shared" si="102"/>
        <v>0</v>
      </c>
      <c r="T162">
        <f t="shared" si="103"/>
        <v>-1</v>
      </c>
      <c r="U162">
        <f t="shared" si="92"/>
        <v>0</v>
      </c>
      <c r="V162">
        <f t="shared" si="93"/>
        <v>1</v>
      </c>
      <c r="W162">
        <f t="shared" si="80"/>
        <v>0</v>
      </c>
      <c r="X162">
        <f t="shared" si="104"/>
        <v>0</v>
      </c>
      <c r="Y162">
        <f t="shared" si="81"/>
        <v>0</v>
      </c>
      <c r="Z162">
        <f t="shared" si="82"/>
        <v>0</v>
      </c>
      <c r="AA162">
        <f t="shared" si="83"/>
        <v>0</v>
      </c>
      <c r="AB162" s="29">
        <f t="shared" si="84"/>
        <v>0.74178816089935007</v>
      </c>
      <c r="AC162" s="25">
        <f t="shared" si="94"/>
        <v>127.49804426656831</v>
      </c>
      <c r="AD162" s="29">
        <f t="shared" si="85"/>
        <v>1.0808524183153847</v>
      </c>
      <c r="AE162" s="25">
        <f t="shared" si="95"/>
        <v>13.243681724743192</v>
      </c>
      <c r="AF162" s="25">
        <f t="shared" si="86"/>
        <v>13.243681724743192</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290.78918279358999</v>
      </c>
      <c r="AH162" s="25">
        <f t="shared" si="105"/>
        <v>0</v>
      </c>
      <c r="AI162" s="25">
        <f t="shared" si="106"/>
        <v>0</v>
      </c>
      <c r="AJ162" s="25">
        <f t="shared" si="107"/>
        <v>0</v>
      </c>
    </row>
    <row r="163" spans="1:36">
      <c r="A163">
        <f t="shared" si="87"/>
        <v>160</v>
      </c>
      <c r="B163">
        <f t="shared" si="96"/>
        <v>4</v>
      </c>
      <c r="C163">
        <f t="shared" si="74"/>
        <v>180</v>
      </c>
      <c r="D163">
        <f t="shared" si="88"/>
        <v>0</v>
      </c>
      <c r="E163">
        <f t="shared" si="108"/>
        <v>3</v>
      </c>
      <c r="F163">
        <f t="shared" si="75"/>
        <v>180</v>
      </c>
      <c r="G163">
        <f t="shared" si="89"/>
        <v>0</v>
      </c>
      <c r="H163">
        <f t="shared" si="97"/>
        <v>3</v>
      </c>
      <c r="I163">
        <f t="shared" si="76"/>
        <v>240</v>
      </c>
      <c r="J163">
        <f t="shared" si="90"/>
        <v>0</v>
      </c>
      <c r="K163">
        <f t="shared" si="98"/>
        <v>2</v>
      </c>
      <c r="L163">
        <f t="shared" si="77"/>
        <v>180</v>
      </c>
      <c r="M163">
        <f t="shared" si="91"/>
        <v>0</v>
      </c>
      <c r="N163">
        <f t="shared" si="99"/>
        <v>2</v>
      </c>
      <c r="O163">
        <f t="shared" si="78"/>
        <v>300</v>
      </c>
      <c r="P163">
        <f t="shared" si="100"/>
        <v>0</v>
      </c>
      <c r="Q163">
        <f t="shared" si="101"/>
        <v>2</v>
      </c>
      <c r="R163">
        <f t="shared" si="79"/>
        <v>300</v>
      </c>
      <c r="S163">
        <f t="shared" si="102"/>
        <v>0</v>
      </c>
      <c r="T163">
        <f t="shared" si="103"/>
        <v>-1</v>
      </c>
      <c r="U163">
        <f t="shared" si="92"/>
        <v>0</v>
      </c>
      <c r="V163">
        <f t="shared" si="93"/>
        <v>1</v>
      </c>
      <c r="W163">
        <f t="shared" si="80"/>
        <v>0</v>
      </c>
      <c r="X163">
        <f t="shared" si="104"/>
        <v>0</v>
      </c>
      <c r="Y163">
        <f t="shared" si="81"/>
        <v>0</v>
      </c>
      <c r="Z163">
        <f t="shared" si="82"/>
        <v>0</v>
      </c>
      <c r="AA163">
        <f t="shared" si="83"/>
        <v>0</v>
      </c>
      <c r="AB163" s="29">
        <f t="shared" si="84"/>
        <v>0.74178816089935007</v>
      </c>
      <c r="AC163" s="25">
        <f t="shared" si="94"/>
        <v>127.49804426656831</v>
      </c>
      <c r="AD163" s="29">
        <f t="shared" si="85"/>
        <v>1.0808524183153847</v>
      </c>
      <c r="AE163" s="25">
        <f t="shared" si="95"/>
        <v>13.243681724743192</v>
      </c>
      <c r="AF163" s="25">
        <f t="shared" si="86"/>
        <v>13.243681724743192</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290.78918279358999</v>
      </c>
      <c r="AH163" s="25">
        <f t="shared" si="105"/>
        <v>0</v>
      </c>
      <c r="AI163" s="25">
        <f t="shared" si="106"/>
        <v>0</v>
      </c>
      <c r="AJ163" s="25">
        <f t="shared" si="107"/>
        <v>0</v>
      </c>
    </row>
    <row r="164" spans="1:36">
      <c r="A164">
        <f t="shared" si="87"/>
        <v>161</v>
      </c>
      <c r="B164">
        <f t="shared" si="96"/>
        <v>4</v>
      </c>
      <c r="C164">
        <f t="shared" si="74"/>
        <v>180</v>
      </c>
      <c r="D164">
        <f t="shared" si="88"/>
        <v>0</v>
      </c>
      <c r="E164">
        <f t="shared" si="108"/>
        <v>3</v>
      </c>
      <c r="F164">
        <f t="shared" si="75"/>
        <v>180</v>
      </c>
      <c r="G164">
        <f t="shared" si="89"/>
        <v>0</v>
      </c>
      <c r="H164">
        <f t="shared" si="97"/>
        <v>3</v>
      </c>
      <c r="I164">
        <f t="shared" si="76"/>
        <v>240</v>
      </c>
      <c r="J164">
        <f t="shared" si="90"/>
        <v>0</v>
      </c>
      <c r="K164">
        <f t="shared" si="98"/>
        <v>2</v>
      </c>
      <c r="L164">
        <f t="shared" si="77"/>
        <v>180</v>
      </c>
      <c r="M164">
        <f t="shared" si="91"/>
        <v>0</v>
      </c>
      <c r="N164">
        <f t="shared" si="99"/>
        <v>2</v>
      </c>
      <c r="O164">
        <f t="shared" si="78"/>
        <v>300</v>
      </c>
      <c r="P164">
        <f t="shared" si="100"/>
        <v>0</v>
      </c>
      <c r="Q164">
        <f t="shared" si="101"/>
        <v>2</v>
      </c>
      <c r="R164">
        <f t="shared" si="79"/>
        <v>300</v>
      </c>
      <c r="S164">
        <f t="shared" si="102"/>
        <v>0</v>
      </c>
      <c r="T164">
        <f t="shared" si="103"/>
        <v>-1</v>
      </c>
      <c r="U164">
        <f t="shared" si="92"/>
        <v>0</v>
      </c>
      <c r="V164">
        <f t="shared" si="93"/>
        <v>1</v>
      </c>
      <c r="W164">
        <f t="shared" si="80"/>
        <v>0</v>
      </c>
      <c r="X164">
        <f t="shared" si="104"/>
        <v>0</v>
      </c>
      <c r="Y164">
        <f t="shared" si="81"/>
        <v>0</v>
      </c>
      <c r="Z164">
        <f t="shared" si="82"/>
        <v>0</v>
      </c>
      <c r="AA164">
        <f t="shared" si="83"/>
        <v>0</v>
      </c>
      <c r="AB164" s="29">
        <f t="shared" si="84"/>
        <v>0.74178816089935007</v>
      </c>
      <c r="AC164" s="25">
        <f t="shared" si="94"/>
        <v>127.49804426656831</v>
      </c>
      <c r="AD164" s="29">
        <f t="shared" si="85"/>
        <v>1.0808524183153847</v>
      </c>
      <c r="AE164" s="25">
        <f t="shared" si="95"/>
        <v>13.243681724743192</v>
      </c>
      <c r="AF164" s="25">
        <f t="shared" si="86"/>
        <v>13.243681724743192</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290.78918279358999</v>
      </c>
      <c r="AH164" s="25">
        <f t="shared" si="105"/>
        <v>0</v>
      </c>
      <c r="AI164" s="25">
        <f t="shared" si="106"/>
        <v>0</v>
      </c>
      <c r="AJ164" s="25">
        <f t="shared" si="107"/>
        <v>0</v>
      </c>
    </row>
    <row r="165" spans="1:36">
      <c r="A165">
        <f t="shared" si="87"/>
        <v>162</v>
      </c>
      <c r="B165">
        <f t="shared" si="96"/>
        <v>4</v>
      </c>
      <c r="C165">
        <f t="shared" si="74"/>
        <v>180</v>
      </c>
      <c r="D165">
        <f t="shared" si="88"/>
        <v>0</v>
      </c>
      <c r="E165">
        <f t="shared" si="108"/>
        <v>3</v>
      </c>
      <c r="F165">
        <f t="shared" si="75"/>
        <v>180</v>
      </c>
      <c r="G165">
        <f t="shared" si="89"/>
        <v>0</v>
      </c>
      <c r="H165">
        <f t="shared" si="97"/>
        <v>3</v>
      </c>
      <c r="I165">
        <f t="shared" si="76"/>
        <v>240</v>
      </c>
      <c r="J165">
        <f t="shared" si="90"/>
        <v>0</v>
      </c>
      <c r="K165">
        <f t="shared" si="98"/>
        <v>2</v>
      </c>
      <c r="L165">
        <f t="shared" si="77"/>
        <v>180</v>
      </c>
      <c r="M165">
        <f t="shared" si="91"/>
        <v>0</v>
      </c>
      <c r="N165">
        <f t="shared" si="99"/>
        <v>2</v>
      </c>
      <c r="O165">
        <f t="shared" si="78"/>
        <v>300</v>
      </c>
      <c r="P165">
        <f t="shared" si="100"/>
        <v>0</v>
      </c>
      <c r="Q165">
        <f t="shared" si="101"/>
        <v>2</v>
      </c>
      <c r="R165">
        <f t="shared" si="79"/>
        <v>300</v>
      </c>
      <c r="S165">
        <f t="shared" si="102"/>
        <v>0</v>
      </c>
      <c r="T165">
        <f t="shared" si="103"/>
        <v>-1</v>
      </c>
      <c r="U165">
        <f t="shared" si="92"/>
        <v>0</v>
      </c>
      <c r="V165">
        <f t="shared" si="93"/>
        <v>1</v>
      </c>
      <c r="W165">
        <f t="shared" si="80"/>
        <v>0</v>
      </c>
      <c r="X165">
        <f t="shared" si="104"/>
        <v>0</v>
      </c>
      <c r="Y165">
        <f t="shared" si="81"/>
        <v>0</v>
      </c>
      <c r="Z165">
        <f t="shared" si="82"/>
        <v>0</v>
      </c>
      <c r="AA165">
        <f t="shared" si="83"/>
        <v>0</v>
      </c>
      <c r="AB165" s="29">
        <f t="shared" si="84"/>
        <v>0.74178816089935007</v>
      </c>
      <c r="AC165" s="25">
        <f t="shared" si="94"/>
        <v>127.49804426656831</v>
      </c>
      <c r="AD165" s="29">
        <f t="shared" si="85"/>
        <v>1.0808524183153847</v>
      </c>
      <c r="AE165" s="25">
        <f t="shared" si="95"/>
        <v>13.243681724743192</v>
      </c>
      <c r="AF165" s="25">
        <f t="shared" si="86"/>
        <v>13.243681724743192</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290.78918279358999</v>
      </c>
      <c r="AH165" s="25">
        <f t="shared" si="105"/>
        <v>0</v>
      </c>
      <c r="AI165" s="25">
        <f t="shared" si="106"/>
        <v>0</v>
      </c>
      <c r="AJ165" s="25">
        <f t="shared" si="107"/>
        <v>0</v>
      </c>
    </row>
    <row r="166" spans="1:36">
      <c r="A166">
        <f t="shared" si="87"/>
        <v>163</v>
      </c>
      <c r="B166">
        <f t="shared" si="96"/>
        <v>4</v>
      </c>
      <c r="C166">
        <f t="shared" si="74"/>
        <v>180</v>
      </c>
      <c r="D166">
        <f t="shared" si="88"/>
        <v>0</v>
      </c>
      <c r="E166">
        <f t="shared" si="108"/>
        <v>3</v>
      </c>
      <c r="F166">
        <f t="shared" si="75"/>
        <v>180</v>
      </c>
      <c r="G166">
        <f t="shared" si="89"/>
        <v>0</v>
      </c>
      <c r="H166">
        <f t="shared" si="97"/>
        <v>3</v>
      </c>
      <c r="I166">
        <f t="shared" si="76"/>
        <v>240</v>
      </c>
      <c r="J166">
        <f t="shared" si="90"/>
        <v>0</v>
      </c>
      <c r="K166">
        <f t="shared" si="98"/>
        <v>2</v>
      </c>
      <c r="L166">
        <f t="shared" si="77"/>
        <v>180</v>
      </c>
      <c r="M166">
        <f t="shared" si="91"/>
        <v>0</v>
      </c>
      <c r="N166">
        <f t="shared" si="99"/>
        <v>2</v>
      </c>
      <c r="O166">
        <f t="shared" si="78"/>
        <v>300</v>
      </c>
      <c r="P166">
        <f t="shared" si="100"/>
        <v>0</v>
      </c>
      <c r="Q166">
        <f t="shared" si="101"/>
        <v>2</v>
      </c>
      <c r="R166">
        <f t="shared" si="79"/>
        <v>300</v>
      </c>
      <c r="S166">
        <f t="shared" si="102"/>
        <v>0</v>
      </c>
      <c r="T166">
        <f t="shared" si="103"/>
        <v>-1</v>
      </c>
      <c r="U166">
        <f t="shared" si="92"/>
        <v>0</v>
      </c>
      <c r="V166">
        <f t="shared" si="93"/>
        <v>1</v>
      </c>
      <c r="W166">
        <f t="shared" si="80"/>
        <v>0</v>
      </c>
      <c r="X166">
        <f t="shared" si="104"/>
        <v>0</v>
      </c>
      <c r="Y166">
        <f t="shared" si="81"/>
        <v>0</v>
      </c>
      <c r="Z166">
        <f t="shared" si="82"/>
        <v>0</v>
      </c>
      <c r="AA166">
        <f t="shared" si="83"/>
        <v>0</v>
      </c>
      <c r="AB166" s="29">
        <f t="shared" si="84"/>
        <v>0.74178816089935007</v>
      </c>
      <c r="AC166" s="25">
        <f t="shared" si="94"/>
        <v>127.49804426656831</v>
      </c>
      <c r="AD166" s="29">
        <f t="shared" si="85"/>
        <v>1.0808524183153847</v>
      </c>
      <c r="AE166" s="25">
        <f t="shared" si="95"/>
        <v>13.243681724743192</v>
      </c>
      <c r="AF166" s="25">
        <f t="shared" si="86"/>
        <v>13.243681724743192</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290.78918279358999</v>
      </c>
      <c r="AH166" s="25">
        <f t="shared" si="105"/>
        <v>0</v>
      </c>
      <c r="AI166" s="25">
        <f t="shared" si="106"/>
        <v>0</v>
      </c>
      <c r="AJ166" s="25">
        <f t="shared" si="107"/>
        <v>0</v>
      </c>
    </row>
    <row r="167" spans="1:36">
      <c r="A167">
        <f t="shared" si="87"/>
        <v>164</v>
      </c>
      <c r="B167">
        <f t="shared" si="96"/>
        <v>4</v>
      </c>
      <c r="C167">
        <f t="shared" si="74"/>
        <v>180</v>
      </c>
      <c r="D167">
        <f t="shared" si="88"/>
        <v>0</v>
      </c>
      <c r="E167">
        <f t="shared" si="108"/>
        <v>3</v>
      </c>
      <c r="F167">
        <f t="shared" si="75"/>
        <v>180</v>
      </c>
      <c r="G167">
        <f t="shared" si="89"/>
        <v>0</v>
      </c>
      <c r="H167">
        <f t="shared" si="97"/>
        <v>3</v>
      </c>
      <c r="I167">
        <f t="shared" si="76"/>
        <v>240</v>
      </c>
      <c r="J167">
        <f t="shared" si="90"/>
        <v>0</v>
      </c>
      <c r="K167">
        <f t="shared" si="98"/>
        <v>2</v>
      </c>
      <c r="L167">
        <f t="shared" si="77"/>
        <v>180</v>
      </c>
      <c r="M167">
        <f t="shared" si="91"/>
        <v>0</v>
      </c>
      <c r="N167">
        <f t="shared" si="99"/>
        <v>2</v>
      </c>
      <c r="O167">
        <f t="shared" si="78"/>
        <v>300</v>
      </c>
      <c r="P167">
        <f t="shared" si="100"/>
        <v>0</v>
      </c>
      <c r="Q167">
        <f t="shared" si="101"/>
        <v>2</v>
      </c>
      <c r="R167">
        <f t="shared" si="79"/>
        <v>300</v>
      </c>
      <c r="S167">
        <f t="shared" si="102"/>
        <v>0</v>
      </c>
      <c r="T167">
        <f t="shared" si="103"/>
        <v>-1</v>
      </c>
      <c r="U167">
        <f t="shared" si="92"/>
        <v>0</v>
      </c>
      <c r="V167">
        <f t="shared" si="93"/>
        <v>1</v>
      </c>
      <c r="W167">
        <f t="shared" si="80"/>
        <v>0</v>
      </c>
      <c r="X167">
        <f t="shared" si="104"/>
        <v>0</v>
      </c>
      <c r="Y167">
        <f t="shared" si="81"/>
        <v>0</v>
      </c>
      <c r="Z167">
        <f t="shared" si="82"/>
        <v>0</v>
      </c>
      <c r="AA167">
        <f t="shared" si="83"/>
        <v>0</v>
      </c>
      <c r="AB167" s="29">
        <f t="shared" si="84"/>
        <v>0.74178816089935007</v>
      </c>
      <c r="AC167" s="25">
        <f t="shared" si="94"/>
        <v>127.49804426656831</v>
      </c>
      <c r="AD167" s="29">
        <f t="shared" si="85"/>
        <v>1.0808524183153847</v>
      </c>
      <c r="AE167" s="25">
        <f t="shared" si="95"/>
        <v>13.243681724743192</v>
      </c>
      <c r="AF167" s="25">
        <f t="shared" si="86"/>
        <v>13.243681724743192</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290.78918279358999</v>
      </c>
      <c r="AH167" s="25">
        <f t="shared" si="105"/>
        <v>0</v>
      </c>
      <c r="AI167" s="25">
        <f t="shared" si="106"/>
        <v>0</v>
      </c>
      <c r="AJ167" s="25">
        <f t="shared" si="107"/>
        <v>0</v>
      </c>
    </row>
    <row r="168" spans="1:36">
      <c r="A168">
        <f t="shared" si="87"/>
        <v>165</v>
      </c>
      <c r="B168">
        <f t="shared" si="96"/>
        <v>4</v>
      </c>
      <c r="C168">
        <f t="shared" si="74"/>
        <v>180</v>
      </c>
      <c r="D168">
        <f t="shared" si="88"/>
        <v>0</v>
      </c>
      <c r="E168">
        <f t="shared" si="108"/>
        <v>3</v>
      </c>
      <c r="F168">
        <f t="shared" si="75"/>
        <v>180</v>
      </c>
      <c r="G168">
        <f t="shared" si="89"/>
        <v>0</v>
      </c>
      <c r="H168">
        <f t="shared" si="97"/>
        <v>3</v>
      </c>
      <c r="I168">
        <f t="shared" si="76"/>
        <v>240</v>
      </c>
      <c r="J168">
        <f t="shared" si="90"/>
        <v>0</v>
      </c>
      <c r="K168">
        <f t="shared" si="98"/>
        <v>2</v>
      </c>
      <c r="L168">
        <f t="shared" si="77"/>
        <v>180</v>
      </c>
      <c r="M168">
        <f t="shared" si="91"/>
        <v>0</v>
      </c>
      <c r="N168">
        <f t="shared" si="99"/>
        <v>2</v>
      </c>
      <c r="O168">
        <f t="shared" si="78"/>
        <v>300</v>
      </c>
      <c r="P168">
        <f t="shared" si="100"/>
        <v>0</v>
      </c>
      <c r="Q168">
        <f t="shared" si="101"/>
        <v>2</v>
      </c>
      <c r="R168">
        <f t="shared" si="79"/>
        <v>300</v>
      </c>
      <c r="S168">
        <f t="shared" si="102"/>
        <v>0</v>
      </c>
      <c r="T168">
        <f t="shared" si="103"/>
        <v>-1</v>
      </c>
      <c r="U168">
        <f t="shared" si="92"/>
        <v>0</v>
      </c>
      <c r="V168">
        <f t="shared" si="93"/>
        <v>1</v>
      </c>
      <c r="W168">
        <f t="shared" si="80"/>
        <v>0</v>
      </c>
      <c r="X168">
        <f t="shared" si="104"/>
        <v>0</v>
      </c>
      <c r="Y168">
        <f t="shared" si="81"/>
        <v>0</v>
      </c>
      <c r="Z168">
        <f t="shared" si="82"/>
        <v>0</v>
      </c>
      <c r="AA168">
        <f t="shared" si="83"/>
        <v>0</v>
      </c>
      <c r="AB168" s="29">
        <f t="shared" si="84"/>
        <v>0.74178816089935007</v>
      </c>
      <c r="AC168" s="25">
        <f t="shared" si="94"/>
        <v>127.49804426656831</v>
      </c>
      <c r="AD168" s="29">
        <f t="shared" si="85"/>
        <v>1.0808524183153847</v>
      </c>
      <c r="AE168" s="25">
        <f t="shared" si="95"/>
        <v>13.243681724743192</v>
      </c>
      <c r="AF168" s="25">
        <f t="shared" si="86"/>
        <v>13.243681724743192</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290.78918279358999</v>
      </c>
      <c r="AH168" s="25">
        <f t="shared" si="105"/>
        <v>0</v>
      </c>
      <c r="AI168" s="25">
        <f t="shared" si="106"/>
        <v>0</v>
      </c>
      <c r="AJ168" s="25">
        <f t="shared" si="107"/>
        <v>0</v>
      </c>
    </row>
    <row r="169" spans="1:36">
      <c r="A169">
        <f t="shared" si="87"/>
        <v>166</v>
      </c>
      <c r="B169">
        <f t="shared" si="96"/>
        <v>4</v>
      </c>
      <c r="C169">
        <f t="shared" si="74"/>
        <v>180</v>
      </c>
      <c r="D169">
        <f t="shared" si="88"/>
        <v>0</v>
      </c>
      <c r="E169">
        <f t="shared" si="108"/>
        <v>3</v>
      </c>
      <c r="F169">
        <f t="shared" si="75"/>
        <v>180</v>
      </c>
      <c r="G169">
        <f t="shared" si="89"/>
        <v>0</v>
      </c>
      <c r="H169">
        <f t="shared" si="97"/>
        <v>3</v>
      </c>
      <c r="I169">
        <f t="shared" si="76"/>
        <v>240</v>
      </c>
      <c r="J169">
        <f t="shared" si="90"/>
        <v>0</v>
      </c>
      <c r="K169">
        <f t="shared" si="98"/>
        <v>2</v>
      </c>
      <c r="L169">
        <f t="shared" si="77"/>
        <v>180</v>
      </c>
      <c r="M169">
        <f t="shared" si="91"/>
        <v>0</v>
      </c>
      <c r="N169">
        <f t="shared" si="99"/>
        <v>2</v>
      </c>
      <c r="O169">
        <f t="shared" si="78"/>
        <v>300</v>
      </c>
      <c r="P169">
        <f t="shared" si="100"/>
        <v>0</v>
      </c>
      <c r="Q169">
        <f t="shared" si="101"/>
        <v>2</v>
      </c>
      <c r="R169">
        <f t="shared" si="79"/>
        <v>300</v>
      </c>
      <c r="S169">
        <f t="shared" si="102"/>
        <v>0</v>
      </c>
      <c r="T169">
        <f t="shared" si="103"/>
        <v>-1</v>
      </c>
      <c r="U169">
        <f t="shared" si="92"/>
        <v>0</v>
      </c>
      <c r="V169">
        <f t="shared" si="93"/>
        <v>1</v>
      </c>
      <c r="W169">
        <f t="shared" si="80"/>
        <v>0</v>
      </c>
      <c r="X169">
        <f t="shared" si="104"/>
        <v>0</v>
      </c>
      <c r="Y169">
        <f t="shared" si="81"/>
        <v>0</v>
      </c>
      <c r="Z169">
        <f t="shared" si="82"/>
        <v>0</v>
      </c>
      <c r="AA169">
        <f t="shared" si="83"/>
        <v>0</v>
      </c>
      <c r="AB169" s="29">
        <f t="shared" si="84"/>
        <v>0.74178816089935007</v>
      </c>
      <c r="AC169" s="25">
        <f t="shared" si="94"/>
        <v>127.49804426656831</v>
      </c>
      <c r="AD169" s="29">
        <f t="shared" si="85"/>
        <v>1.0808524183153847</v>
      </c>
      <c r="AE169" s="25">
        <f t="shared" si="95"/>
        <v>13.243681724743192</v>
      </c>
      <c r="AF169" s="25">
        <f t="shared" si="86"/>
        <v>13.243681724743192</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290.78918279358999</v>
      </c>
      <c r="AH169" s="25">
        <f t="shared" si="105"/>
        <v>0</v>
      </c>
      <c r="AI169" s="25">
        <f t="shared" si="106"/>
        <v>0</v>
      </c>
      <c r="AJ169" s="25">
        <f t="shared" si="107"/>
        <v>0</v>
      </c>
    </row>
    <row r="170" spans="1:36">
      <c r="A170">
        <f t="shared" si="87"/>
        <v>167</v>
      </c>
      <c r="B170">
        <f t="shared" si="96"/>
        <v>4</v>
      </c>
      <c r="C170">
        <f t="shared" si="74"/>
        <v>180</v>
      </c>
      <c r="D170">
        <f t="shared" si="88"/>
        <v>0</v>
      </c>
      <c r="E170">
        <f t="shared" si="108"/>
        <v>3</v>
      </c>
      <c r="F170">
        <f t="shared" si="75"/>
        <v>180</v>
      </c>
      <c r="G170">
        <f t="shared" si="89"/>
        <v>0</v>
      </c>
      <c r="H170">
        <f t="shared" si="97"/>
        <v>3</v>
      </c>
      <c r="I170">
        <f t="shared" si="76"/>
        <v>240</v>
      </c>
      <c r="J170">
        <f t="shared" si="90"/>
        <v>0</v>
      </c>
      <c r="K170">
        <f t="shared" si="98"/>
        <v>2</v>
      </c>
      <c r="L170">
        <f t="shared" si="77"/>
        <v>180</v>
      </c>
      <c r="M170">
        <f t="shared" si="91"/>
        <v>0</v>
      </c>
      <c r="N170">
        <f t="shared" si="99"/>
        <v>2</v>
      </c>
      <c r="O170">
        <f t="shared" si="78"/>
        <v>300</v>
      </c>
      <c r="P170">
        <f t="shared" si="100"/>
        <v>0</v>
      </c>
      <c r="Q170">
        <f t="shared" si="101"/>
        <v>2</v>
      </c>
      <c r="R170">
        <f t="shared" si="79"/>
        <v>300</v>
      </c>
      <c r="S170">
        <f t="shared" si="102"/>
        <v>0</v>
      </c>
      <c r="T170">
        <f t="shared" si="103"/>
        <v>-1</v>
      </c>
      <c r="U170">
        <f t="shared" si="92"/>
        <v>0</v>
      </c>
      <c r="V170">
        <f t="shared" si="93"/>
        <v>1</v>
      </c>
      <c r="W170">
        <f t="shared" si="80"/>
        <v>0</v>
      </c>
      <c r="X170">
        <f t="shared" si="104"/>
        <v>0</v>
      </c>
      <c r="Y170">
        <f t="shared" si="81"/>
        <v>0</v>
      </c>
      <c r="Z170">
        <f t="shared" si="82"/>
        <v>0</v>
      </c>
      <c r="AA170">
        <f t="shared" si="83"/>
        <v>0</v>
      </c>
      <c r="AB170" s="29">
        <f t="shared" si="84"/>
        <v>0.74178816089935007</v>
      </c>
      <c r="AC170" s="25">
        <f t="shared" si="94"/>
        <v>127.49804426656831</v>
      </c>
      <c r="AD170" s="29">
        <f t="shared" si="85"/>
        <v>1.0808524183153847</v>
      </c>
      <c r="AE170" s="25">
        <f t="shared" si="95"/>
        <v>13.243681724743192</v>
      </c>
      <c r="AF170" s="25">
        <f t="shared" si="86"/>
        <v>13.243681724743192</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290.78918279358999</v>
      </c>
      <c r="AH170" s="25">
        <f t="shared" si="105"/>
        <v>0</v>
      </c>
      <c r="AI170" s="25">
        <f t="shared" si="106"/>
        <v>0</v>
      </c>
      <c r="AJ170" s="25">
        <f t="shared" si="107"/>
        <v>0</v>
      </c>
    </row>
    <row r="171" spans="1:36">
      <c r="A171">
        <f t="shared" si="87"/>
        <v>168</v>
      </c>
      <c r="B171">
        <f t="shared" si="96"/>
        <v>4</v>
      </c>
      <c r="C171">
        <f t="shared" si="74"/>
        <v>180</v>
      </c>
      <c r="D171">
        <f t="shared" si="88"/>
        <v>0</v>
      </c>
      <c r="E171">
        <f t="shared" si="108"/>
        <v>3</v>
      </c>
      <c r="F171">
        <f t="shared" si="75"/>
        <v>180</v>
      </c>
      <c r="G171">
        <f t="shared" si="89"/>
        <v>0</v>
      </c>
      <c r="H171">
        <f t="shared" si="97"/>
        <v>3</v>
      </c>
      <c r="I171">
        <f t="shared" si="76"/>
        <v>240</v>
      </c>
      <c r="J171">
        <f t="shared" si="90"/>
        <v>0</v>
      </c>
      <c r="K171">
        <f t="shared" si="98"/>
        <v>2</v>
      </c>
      <c r="L171">
        <f t="shared" si="77"/>
        <v>180</v>
      </c>
      <c r="M171">
        <f t="shared" si="91"/>
        <v>0</v>
      </c>
      <c r="N171">
        <f t="shared" si="99"/>
        <v>2</v>
      </c>
      <c r="O171">
        <f t="shared" si="78"/>
        <v>300</v>
      </c>
      <c r="P171">
        <f t="shared" si="100"/>
        <v>0</v>
      </c>
      <c r="Q171">
        <f t="shared" si="101"/>
        <v>2</v>
      </c>
      <c r="R171">
        <f t="shared" si="79"/>
        <v>300</v>
      </c>
      <c r="S171">
        <f t="shared" si="102"/>
        <v>0</v>
      </c>
      <c r="T171">
        <f t="shared" si="103"/>
        <v>-1</v>
      </c>
      <c r="U171">
        <f t="shared" si="92"/>
        <v>0</v>
      </c>
      <c r="V171">
        <f t="shared" si="93"/>
        <v>1</v>
      </c>
      <c r="W171">
        <f t="shared" si="80"/>
        <v>0</v>
      </c>
      <c r="X171">
        <f t="shared" si="104"/>
        <v>0</v>
      </c>
      <c r="Y171">
        <f t="shared" si="81"/>
        <v>0</v>
      </c>
      <c r="Z171">
        <f t="shared" si="82"/>
        <v>0</v>
      </c>
      <c r="AA171">
        <f t="shared" si="83"/>
        <v>0</v>
      </c>
      <c r="AB171" s="29">
        <f t="shared" si="84"/>
        <v>0.74178816089935007</v>
      </c>
      <c r="AC171" s="25">
        <f t="shared" si="94"/>
        <v>127.49804426656831</v>
      </c>
      <c r="AD171" s="29">
        <f t="shared" si="85"/>
        <v>1.0808524183153847</v>
      </c>
      <c r="AE171" s="25">
        <f t="shared" si="95"/>
        <v>13.243681724743192</v>
      </c>
      <c r="AF171" s="25">
        <f t="shared" si="86"/>
        <v>13.243681724743192</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290.78918279358999</v>
      </c>
      <c r="AH171" s="25">
        <f t="shared" si="105"/>
        <v>0</v>
      </c>
      <c r="AI171" s="25">
        <f t="shared" si="106"/>
        <v>0</v>
      </c>
      <c r="AJ171" s="25">
        <f t="shared" si="107"/>
        <v>0</v>
      </c>
    </row>
    <row r="172" spans="1:36">
      <c r="A172">
        <f t="shared" si="87"/>
        <v>169</v>
      </c>
      <c r="B172">
        <f t="shared" si="96"/>
        <v>4</v>
      </c>
      <c r="C172">
        <f t="shared" si="74"/>
        <v>180</v>
      </c>
      <c r="D172">
        <f t="shared" si="88"/>
        <v>0</v>
      </c>
      <c r="E172">
        <f t="shared" si="108"/>
        <v>3</v>
      </c>
      <c r="F172">
        <f t="shared" si="75"/>
        <v>180</v>
      </c>
      <c r="G172">
        <f t="shared" si="89"/>
        <v>0</v>
      </c>
      <c r="H172">
        <f t="shared" si="97"/>
        <v>3</v>
      </c>
      <c r="I172">
        <f t="shared" si="76"/>
        <v>240</v>
      </c>
      <c r="J172">
        <f t="shared" si="90"/>
        <v>0</v>
      </c>
      <c r="K172">
        <f t="shared" si="98"/>
        <v>2</v>
      </c>
      <c r="L172">
        <f t="shared" si="77"/>
        <v>180</v>
      </c>
      <c r="M172">
        <f t="shared" si="91"/>
        <v>0</v>
      </c>
      <c r="N172">
        <f t="shared" si="99"/>
        <v>2</v>
      </c>
      <c r="O172">
        <f t="shared" si="78"/>
        <v>300</v>
      </c>
      <c r="P172">
        <f t="shared" si="100"/>
        <v>0</v>
      </c>
      <c r="Q172">
        <f t="shared" si="101"/>
        <v>2</v>
      </c>
      <c r="R172">
        <f t="shared" si="79"/>
        <v>300</v>
      </c>
      <c r="S172">
        <f t="shared" si="102"/>
        <v>0</v>
      </c>
      <c r="T172">
        <f t="shared" si="103"/>
        <v>-1</v>
      </c>
      <c r="U172">
        <f t="shared" si="92"/>
        <v>0</v>
      </c>
      <c r="V172">
        <f t="shared" si="93"/>
        <v>1</v>
      </c>
      <c r="W172">
        <f t="shared" si="80"/>
        <v>0</v>
      </c>
      <c r="X172">
        <f t="shared" si="104"/>
        <v>0</v>
      </c>
      <c r="Y172">
        <f t="shared" si="81"/>
        <v>0</v>
      </c>
      <c r="Z172">
        <f t="shared" si="82"/>
        <v>0</v>
      </c>
      <c r="AA172">
        <f t="shared" si="83"/>
        <v>0</v>
      </c>
      <c r="AB172" s="29">
        <f t="shared" si="84"/>
        <v>0.74178816089935007</v>
      </c>
      <c r="AC172" s="25">
        <f t="shared" si="94"/>
        <v>127.49804426656831</v>
      </c>
      <c r="AD172" s="29">
        <f t="shared" si="85"/>
        <v>1.0808524183153847</v>
      </c>
      <c r="AE172" s="25">
        <f t="shared" si="95"/>
        <v>13.243681724743192</v>
      </c>
      <c r="AF172" s="25">
        <f t="shared" si="86"/>
        <v>13.243681724743192</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290.78918279358999</v>
      </c>
      <c r="AH172" s="25">
        <f t="shared" si="105"/>
        <v>0</v>
      </c>
      <c r="AI172" s="25">
        <f t="shared" si="106"/>
        <v>0</v>
      </c>
      <c r="AJ172" s="25">
        <f t="shared" si="107"/>
        <v>0</v>
      </c>
    </row>
    <row r="173" spans="1:36">
      <c r="A173">
        <f t="shared" si="87"/>
        <v>170</v>
      </c>
      <c r="B173">
        <f t="shared" si="96"/>
        <v>4</v>
      </c>
      <c r="C173">
        <f t="shared" si="74"/>
        <v>180</v>
      </c>
      <c r="D173">
        <f t="shared" si="88"/>
        <v>0</v>
      </c>
      <c r="E173">
        <f t="shared" si="108"/>
        <v>3</v>
      </c>
      <c r="F173">
        <f t="shared" si="75"/>
        <v>180</v>
      </c>
      <c r="G173">
        <f t="shared" si="89"/>
        <v>0</v>
      </c>
      <c r="H173">
        <f t="shared" si="97"/>
        <v>3</v>
      </c>
      <c r="I173">
        <f t="shared" si="76"/>
        <v>240</v>
      </c>
      <c r="J173">
        <f t="shared" si="90"/>
        <v>0</v>
      </c>
      <c r="K173">
        <f t="shared" si="98"/>
        <v>2</v>
      </c>
      <c r="L173">
        <f t="shared" si="77"/>
        <v>180</v>
      </c>
      <c r="M173">
        <f t="shared" si="91"/>
        <v>0</v>
      </c>
      <c r="N173">
        <f t="shared" si="99"/>
        <v>2</v>
      </c>
      <c r="O173">
        <f t="shared" si="78"/>
        <v>300</v>
      </c>
      <c r="P173">
        <f t="shared" si="100"/>
        <v>0</v>
      </c>
      <c r="Q173">
        <f t="shared" si="101"/>
        <v>2</v>
      </c>
      <c r="R173">
        <f t="shared" si="79"/>
        <v>300</v>
      </c>
      <c r="S173">
        <f t="shared" si="102"/>
        <v>0</v>
      </c>
      <c r="T173">
        <f t="shared" si="103"/>
        <v>-1</v>
      </c>
      <c r="U173">
        <f t="shared" si="92"/>
        <v>0</v>
      </c>
      <c r="V173">
        <f t="shared" si="93"/>
        <v>1</v>
      </c>
      <c r="W173">
        <f t="shared" si="80"/>
        <v>0</v>
      </c>
      <c r="X173">
        <f t="shared" si="104"/>
        <v>0</v>
      </c>
      <c r="Y173">
        <f t="shared" si="81"/>
        <v>0</v>
      </c>
      <c r="Z173">
        <f t="shared" si="82"/>
        <v>0</v>
      </c>
      <c r="AA173">
        <f t="shared" si="83"/>
        <v>0</v>
      </c>
      <c r="AB173" s="29">
        <f t="shared" si="84"/>
        <v>0.74178816089935007</v>
      </c>
      <c r="AC173" s="25">
        <f t="shared" si="94"/>
        <v>127.49804426656831</v>
      </c>
      <c r="AD173" s="29">
        <f t="shared" si="85"/>
        <v>1.0808524183153847</v>
      </c>
      <c r="AE173" s="25">
        <f t="shared" si="95"/>
        <v>13.243681724743192</v>
      </c>
      <c r="AF173" s="25">
        <f t="shared" si="86"/>
        <v>13.243681724743192</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290.78918279358999</v>
      </c>
      <c r="AH173" s="25">
        <f t="shared" si="105"/>
        <v>0</v>
      </c>
      <c r="AI173" s="25">
        <f t="shared" si="106"/>
        <v>0</v>
      </c>
      <c r="AJ173" s="25">
        <f t="shared" si="107"/>
        <v>0</v>
      </c>
    </row>
    <row r="174" spans="1:36">
      <c r="A174">
        <f t="shared" si="87"/>
        <v>171</v>
      </c>
      <c r="B174">
        <f t="shared" si="96"/>
        <v>4</v>
      </c>
      <c r="C174">
        <f t="shared" si="74"/>
        <v>180</v>
      </c>
      <c r="D174">
        <f t="shared" si="88"/>
        <v>0</v>
      </c>
      <c r="E174">
        <f t="shared" si="108"/>
        <v>3</v>
      </c>
      <c r="F174">
        <f t="shared" si="75"/>
        <v>180</v>
      </c>
      <c r="G174">
        <f t="shared" si="89"/>
        <v>0</v>
      </c>
      <c r="H174">
        <f t="shared" si="97"/>
        <v>3</v>
      </c>
      <c r="I174">
        <f t="shared" si="76"/>
        <v>240</v>
      </c>
      <c r="J174">
        <f t="shared" si="90"/>
        <v>0</v>
      </c>
      <c r="K174">
        <f t="shared" si="98"/>
        <v>2</v>
      </c>
      <c r="L174">
        <f t="shared" si="77"/>
        <v>180</v>
      </c>
      <c r="M174">
        <f t="shared" si="91"/>
        <v>0</v>
      </c>
      <c r="N174">
        <f t="shared" si="99"/>
        <v>2</v>
      </c>
      <c r="O174">
        <f t="shared" si="78"/>
        <v>300</v>
      </c>
      <c r="P174">
        <f t="shared" si="100"/>
        <v>0</v>
      </c>
      <c r="Q174">
        <f t="shared" si="101"/>
        <v>2</v>
      </c>
      <c r="R174">
        <f t="shared" si="79"/>
        <v>300</v>
      </c>
      <c r="S174">
        <f t="shared" si="102"/>
        <v>0</v>
      </c>
      <c r="T174">
        <f t="shared" si="103"/>
        <v>-1</v>
      </c>
      <c r="U174">
        <f t="shared" si="92"/>
        <v>0</v>
      </c>
      <c r="V174">
        <f t="shared" si="93"/>
        <v>1</v>
      </c>
      <c r="W174">
        <f t="shared" si="80"/>
        <v>0</v>
      </c>
      <c r="X174">
        <f t="shared" si="104"/>
        <v>0</v>
      </c>
      <c r="Y174">
        <f t="shared" si="81"/>
        <v>0</v>
      </c>
      <c r="Z174">
        <f t="shared" si="82"/>
        <v>0</v>
      </c>
      <c r="AA174">
        <f t="shared" si="83"/>
        <v>0</v>
      </c>
      <c r="AB174" s="29">
        <f t="shared" si="84"/>
        <v>0.74178816089935007</v>
      </c>
      <c r="AC174" s="25">
        <f t="shared" si="94"/>
        <v>127.49804426656831</v>
      </c>
      <c r="AD174" s="29">
        <f t="shared" si="85"/>
        <v>1.0808524183153847</v>
      </c>
      <c r="AE174" s="25">
        <f t="shared" si="95"/>
        <v>13.243681724743192</v>
      </c>
      <c r="AF174" s="25">
        <f t="shared" si="86"/>
        <v>13.243681724743192</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290.78918279358999</v>
      </c>
      <c r="AH174" s="25">
        <f t="shared" si="105"/>
        <v>0</v>
      </c>
      <c r="AI174" s="25">
        <f t="shared" si="106"/>
        <v>0</v>
      </c>
      <c r="AJ174" s="25">
        <f t="shared" si="107"/>
        <v>0</v>
      </c>
    </row>
    <row r="175" spans="1:36">
      <c r="A175">
        <f t="shared" si="87"/>
        <v>172</v>
      </c>
      <c r="B175">
        <f t="shared" si="96"/>
        <v>4</v>
      </c>
      <c r="C175">
        <f t="shared" si="74"/>
        <v>180</v>
      </c>
      <c r="D175">
        <f t="shared" si="88"/>
        <v>0</v>
      </c>
      <c r="E175">
        <f t="shared" si="108"/>
        <v>3</v>
      </c>
      <c r="F175">
        <f t="shared" si="75"/>
        <v>180</v>
      </c>
      <c r="G175">
        <f t="shared" si="89"/>
        <v>0</v>
      </c>
      <c r="H175">
        <f t="shared" si="97"/>
        <v>3</v>
      </c>
      <c r="I175">
        <f t="shared" si="76"/>
        <v>240</v>
      </c>
      <c r="J175">
        <f t="shared" si="90"/>
        <v>0</v>
      </c>
      <c r="K175">
        <f t="shared" si="98"/>
        <v>2</v>
      </c>
      <c r="L175">
        <f t="shared" si="77"/>
        <v>180</v>
      </c>
      <c r="M175">
        <f t="shared" si="91"/>
        <v>0</v>
      </c>
      <c r="N175">
        <f t="shared" si="99"/>
        <v>2</v>
      </c>
      <c r="O175">
        <f t="shared" si="78"/>
        <v>300</v>
      </c>
      <c r="P175">
        <f t="shared" si="100"/>
        <v>0</v>
      </c>
      <c r="Q175">
        <f t="shared" si="101"/>
        <v>2</v>
      </c>
      <c r="R175">
        <f t="shared" si="79"/>
        <v>300</v>
      </c>
      <c r="S175">
        <f t="shared" si="102"/>
        <v>0</v>
      </c>
      <c r="T175">
        <f t="shared" si="103"/>
        <v>-1</v>
      </c>
      <c r="U175">
        <f t="shared" si="92"/>
        <v>0</v>
      </c>
      <c r="V175">
        <f t="shared" si="93"/>
        <v>1</v>
      </c>
      <c r="W175">
        <f t="shared" si="80"/>
        <v>0</v>
      </c>
      <c r="X175">
        <f t="shared" si="104"/>
        <v>0</v>
      </c>
      <c r="Y175">
        <f t="shared" si="81"/>
        <v>0</v>
      </c>
      <c r="Z175">
        <f t="shared" si="82"/>
        <v>0</v>
      </c>
      <c r="AA175">
        <f t="shared" si="83"/>
        <v>0</v>
      </c>
      <c r="AB175" s="29">
        <f t="shared" si="84"/>
        <v>0.74178816089935007</v>
      </c>
      <c r="AC175" s="25">
        <f t="shared" si="94"/>
        <v>127.49804426656831</v>
      </c>
      <c r="AD175" s="29">
        <f t="shared" si="85"/>
        <v>1.0808524183153847</v>
      </c>
      <c r="AE175" s="25">
        <f t="shared" si="95"/>
        <v>13.243681724743192</v>
      </c>
      <c r="AF175" s="25">
        <f t="shared" si="86"/>
        <v>13.243681724743192</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290.78918279358999</v>
      </c>
      <c r="AH175" s="25">
        <f t="shared" si="105"/>
        <v>0</v>
      </c>
      <c r="AI175" s="25">
        <f t="shared" si="106"/>
        <v>0</v>
      </c>
      <c r="AJ175" s="25">
        <f t="shared" si="107"/>
        <v>0</v>
      </c>
    </row>
    <row r="176" spans="1:36">
      <c r="A176">
        <f t="shared" si="87"/>
        <v>173</v>
      </c>
      <c r="B176">
        <f t="shared" si="96"/>
        <v>4</v>
      </c>
      <c r="C176">
        <f t="shared" si="74"/>
        <v>180</v>
      </c>
      <c r="D176">
        <f t="shared" si="88"/>
        <v>0</v>
      </c>
      <c r="E176">
        <f t="shared" si="108"/>
        <v>3</v>
      </c>
      <c r="F176">
        <f t="shared" si="75"/>
        <v>180</v>
      </c>
      <c r="G176">
        <f t="shared" si="89"/>
        <v>0</v>
      </c>
      <c r="H176">
        <f t="shared" si="97"/>
        <v>3</v>
      </c>
      <c r="I176">
        <f t="shared" si="76"/>
        <v>240</v>
      </c>
      <c r="J176">
        <f t="shared" si="90"/>
        <v>0</v>
      </c>
      <c r="K176">
        <f t="shared" si="98"/>
        <v>2</v>
      </c>
      <c r="L176">
        <f t="shared" si="77"/>
        <v>180</v>
      </c>
      <c r="M176">
        <f t="shared" si="91"/>
        <v>0</v>
      </c>
      <c r="N176">
        <f t="shared" si="99"/>
        <v>2</v>
      </c>
      <c r="O176">
        <f t="shared" si="78"/>
        <v>300</v>
      </c>
      <c r="P176">
        <f t="shared" si="100"/>
        <v>0</v>
      </c>
      <c r="Q176">
        <f t="shared" si="101"/>
        <v>2</v>
      </c>
      <c r="R176">
        <f t="shared" si="79"/>
        <v>300</v>
      </c>
      <c r="S176">
        <f t="shared" si="102"/>
        <v>0</v>
      </c>
      <c r="T176">
        <f t="shared" si="103"/>
        <v>-1</v>
      </c>
      <c r="U176">
        <f t="shared" si="92"/>
        <v>0</v>
      </c>
      <c r="V176">
        <f t="shared" si="93"/>
        <v>1</v>
      </c>
      <c r="W176">
        <f t="shared" si="80"/>
        <v>0</v>
      </c>
      <c r="X176">
        <f t="shared" si="104"/>
        <v>0</v>
      </c>
      <c r="Y176">
        <f t="shared" si="81"/>
        <v>0</v>
      </c>
      <c r="Z176">
        <f t="shared" si="82"/>
        <v>0</v>
      </c>
      <c r="AA176">
        <f t="shared" si="83"/>
        <v>0</v>
      </c>
      <c r="AB176" s="29">
        <f t="shared" si="84"/>
        <v>0.74178816089935007</v>
      </c>
      <c r="AC176" s="25">
        <f t="shared" si="94"/>
        <v>127.49804426656831</v>
      </c>
      <c r="AD176" s="29">
        <f t="shared" si="85"/>
        <v>1.0808524183153847</v>
      </c>
      <c r="AE176" s="25">
        <f t="shared" si="95"/>
        <v>13.243681724743192</v>
      </c>
      <c r="AF176" s="25">
        <f t="shared" si="86"/>
        <v>13.243681724743192</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290.78918279358999</v>
      </c>
      <c r="AH176" s="25">
        <f t="shared" si="105"/>
        <v>0</v>
      </c>
      <c r="AI176" s="25">
        <f t="shared" si="106"/>
        <v>0</v>
      </c>
      <c r="AJ176" s="25">
        <f t="shared" si="107"/>
        <v>0</v>
      </c>
    </row>
    <row r="177" spans="1:36">
      <c r="A177">
        <f t="shared" si="87"/>
        <v>174</v>
      </c>
      <c r="B177">
        <f t="shared" si="96"/>
        <v>4</v>
      </c>
      <c r="C177">
        <f t="shared" si="74"/>
        <v>180</v>
      </c>
      <c r="D177">
        <f t="shared" si="88"/>
        <v>0</v>
      </c>
      <c r="E177">
        <f t="shared" si="108"/>
        <v>3</v>
      </c>
      <c r="F177">
        <f t="shared" si="75"/>
        <v>180</v>
      </c>
      <c r="G177">
        <f t="shared" si="89"/>
        <v>0</v>
      </c>
      <c r="H177">
        <f t="shared" si="97"/>
        <v>3</v>
      </c>
      <c r="I177">
        <f t="shared" si="76"/>
        <v>240</v>
      </c>
      <c r="J177">
        <f t="shared" si="90"/>
        <v>0</v>
      </c>
      <c r="K177">
        <f t="shared" si="98"/>
        <v>2</v>
      </c>
      <c r="L177">
        <f t="shared" si="77"/>
        <v>180</v>
      </c>
      <c r="M177">
        <f t="shared" si="91"/>
        <v>0</v>
      </c>
      <c r="N177">
        <f t="shared" si="99"/>
        <v>2</v>
      </c>
      <c r="O177">
        <f t="shared" si="78"/>
        <v>300</v>
      </c>
      <c r="P177">
        <f t="shared" si="100"/>
        <v>0</v>
      </c>
      <c r="Q177">
        <f t="shared" si="101"/>
        <v>2</v>
      </c>
      <c r="R177">
        <f t="shared" si="79"/>
        <v>300</v>
      </c>
      <c r="S177">
        <f t="shared" si="102"/>
        <v>0</v>
      </c>
      <c r="T177">
        <f t="shared" si="103"/>
        <v>-1</v>
      </c>
      <c r="U177">
        <f t="shared" si="92"/>
        <v>0</v>
      </c>
      <c r="V177">
        <f t="shared" si="93"/>
        <v>1</v>
      </c>
      <c r="W177">
        <f t="shared" si="80"/>
        <v>0</v>
      </c>
      <c r="X177">
        <f t="shared" si="104"/>
        <v>0</v>
      </c>
      <c r="Y177">
        <f t="shared" si="81"/>
        <v>0</v>
      </c>
      <c r="Z177">
        <f t="shared" si="82"/>
        <v>0</v>
      </c>
      <c r="AA177">
        <f t="shared" si="83"/>
        <v>0</v>
      </c>
      <c r="AB177" s="29">
        <f t="shared" si="84"/>
        <v>0.74178816089935007</v>
      </c>
      <c r="AC177" s="25">
        <f t="shared" si="94"/>
        <v>127.49804426656831</v>
      </c>
      <c r="AD177" s="29">
        <f t="shared" si="85"/>
        <v>1.0808524183153847</v>
      </c>
      <c r="AE177" s="25">
        <f t="shared" si="95"/>
        <v>13.243681724743192</v>
      </c>
      <c r="AF177" s="25">
        <f t="shared" si="86"/>
        <v>13.243681724743192</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290.78918279358999</v>
      </c>
      <c r="AH177" s="25">
        <f t="shared" si="105"/>
        <v>0</v>
      </c>
      <c r="AI177" s="25">
        <f t="shared" si="106"/>
        <v>0</v>
      </c>
      <c r="AJ177" s="25">
        <f t="shared" si="107"/>
        <v>0</v>
      </c>
    </row>
    <row r="178" spans="1:36">
      <c r="A178">
        <f t="shared" si="87"/>
        <v>175</v>
      </c>
      <c r="B178">
        <f t="shared" si="96"/>
        <v>4</v>
      </c>
      <c r="C178">
        <f t="shared" si="74"/>
        <v>180</v>
      </c>
      <c r="D178">
        <f t="shared" si="88"/>
        <v>0</v>
      </c>
      <c r="E178">
        <f t="shared" si="108"/>
        <v>3</v>
      </c>
      <c r="F178">
        <f t="shared" si="75"/>
        <v>180</v>
      </c>
      <c r="G178">
        <f t="shared" si="89"/>
        <v>0</v>
      </c>
      <c r="H178">
        <f t="shared" si="97"/>
        <v>3</v>
      </c>
      <c r="I178">
        <f t="shared" si="76"/>
        <v>240</v>
      </c>
      <c r="J178">
        <f t="shared" si="90"/>
        <v>0</v>
      </c>
      <c r="K178">
        <f t="shared" si="98"/>
        <v>2</v>
      </c>
      <c r="L178">
        <f t="shared" si="77"/>
        <v>180</v>
      </c>
      <c r="M178">
        <f t="shared" si="91"/>
        <v>0</v>
      </c>
      <c r="N178">
        <f t="shared" si="99"/>
        <v>2</v>
      </c>
      <c r="O178">
        <f t="shared" si="78"/>
        <v>300</v>
      </c>
      <c r="P178">
        <f t="shared" si="100"/>
        <v>0</v>
      </c>
      <c r="Q178">
        <f t="shared" si="101"/>
        <v>2</v>
      </c>
      <c r="R178">
        <f t="shared" si="79"/>
        <v>300</v>
      </c>
      <c r="S178">
        <f t="shared" si="102"/>
        <v>0</v>
      </c>
      <c r="T178">
        <f t="shared" si="103"/>
        <v>-1</v>
      </c>
      <c r="U178">
        <f t="shared" si="92"/>
        <v>0</v>
      </c>
      <c r="V178">
        <f t="shared" si="93"/>
        <v>1</v>
      </c>
      <c r="W178">
        <f t="shared" si="80"/>
        <v>0</v>
      </c>
      <c r="X178">
        <f t="shared" si="104"/>
        <v>0</v>
      </c>
      <c r="Y178">
        <f t="shared" si="81"/>
        <v>0</v>
      </c>
      <c r="Z178">
        <f t="shared" si="82"/>
        <v>0</v>
      </c>
      <c r="AA178">
        <f t="shared" si="83"/>
        <v>0</v>
      </c>
      <c r="AB178" s="29">
        <f t="shared" si="84"/>
        <v>0.74178816089935007</v>
      </c>
      <c r="AC178" s="25">
        <f t="shared" si="94"/>
        <v>127.49804426656831</v>
      </c>
      <c r="AD178" s="29">
        <f t="shared" si="85"/>
        <v>1.0808524183153847</v>
      </c>
      <c r="AE178" s="25">
        <f t="shared" si="95"/>
        <v>13.243681724743192</v>
      </c>
      <c r="AF178" s="25">
        <f t="shared" si="86"/>
        <v>13.243681724743192</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290.78918279358999</v>
      </c>
      <c r="AH178" s="25">
        <f t="shared" si="105"/>
        <v>0</v>
      </c>
      <c r="AI178" s="25">
        <f t="shared" si="106"/>
        <v>0</v>
      </c>
      <c r="AJ178" s="25">
        <f t="shared" si="107"/>
        <v>0</v>
      </c>
    </row>
    <row r="179" spans="1:36">
      <c r="A179">
        <f t="shared" si="87"/>
        <v>176</v>
      </c>
      <c r="B179">
        <f t="shared" si="96"/>
        <v>4</v>
      </c>
      <c r="C179">
        <f t="shared" si="74"/>
        <v>180</v>
      </c>
      <c r="D179">
        <f t="shared" si="88"/>
        <v>0</v>
      </c>
      <c r="E179">
        <f t="shared" si="108"/>
        <v>3</v>
      </c>
      <c r="F179">
        <f t="shared" si="75"/>
        <v>180</v>
      </c>
      <c r="G179">
        <f t="shared" si="89"/>
        <v>0</v>
      </c>
      <c r="H179">
        <f t="shared" si="97"/>
        <v>3</v>
      </c>
      <c r="I179">
        <f t="shared" si="76"/>
        <v>240</v>
      </c>
      <c r="J179">
        <f t="shared" si="90"/>
        <v>0</v>
      </c>
      <c r="K179">
        <f t="shared" si="98"/>
        <v>2</v>
      </c>
      <c r="L179">
        <f t="shared" si="77"/>
        <v>180</v>
      </c>
      <c r="M179">
        <f t="shared" si="91"/>
        <v>0</v>
      </c>
      <c r="N179">
        <f t="shared" si="99"/>
        <v>2</v>
      </c>
      <c r="O179">
        <f t="shared" si="78"/>
        <v>300</v>
      </c>
      <c r="P179">
        <f t="shared" si="100"/>
        <v>0</v>
      </c>
      <c r="Q179">
        <f t="shared" si="101"/>
        <v>2</v>
      </c>
      <c r="R179">
        <f t="shared" si="79"/>
        <v>300</v>
      </c>
      <c r="S179">
        <f t="shared" si="102"/>
        <v>0</v>
      </c>
      <c r="T179">
        <f t="shared" si="103"/>
        <v>-1</v>
      </c>
      <c r="U179">
        <f t="shared" si="92"/>
        <v>0</v>
      </c>
      <c r="V179">
        <f t="shared" si="93"/>
        <v>1</v>
      </c>
      <c r="W179">
        <f t="shared" si="80"/>
        <v>0</v>
      </c>
      <c r="X179">
        <f t="shared" si="104"/>
        <v>0</v>
      </c>
      <c r="Y179">
        <f t="shared" si="81"/>
        <v>0</v>
      </c>
      <c r="Z179">
        <f t="shared" si="82"/>
        <v>0</v>
      </c>
      <c r="AA179">
        <f t="shared" si="83"/>
        <v>0</v>
      </c>
      <c r="AB179" s="29">
        <f t="shared" si="84"/>
        <v>0.74178816089935007</v>
      </c>
      <c r="AC179" s="25">
        <f t="shared" si="94"/>
        <v>127.49804426656831</v>
      </c>
      <c r="AD179" s="29">
        <f t="shared" si="85"/>
        <v>1.0808524183153847</v>
      </c>
      <c r="AE179" s="25">
        <f t="shared" si="95"/>
        <v>13.243681724743192</v>
      </c>
      <c r="AF179" s="25">
        <f t="shared" si="86"/>
        <v>13.243681724743192</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290.78918279358999</v>
      </c>
      <c r="AH179" s="25">
        <f t="shared" si="105"/>
        <v>0</v>
      </c>
      <c r="AI179" s="25">
        <f t="shared" si="106"/>
        <v>0</v>
      </c>
      <c r="AJ179" s="25">
        <f t="shared" si="107"/>
        <v>0</v>
      </c>
    </row>
    <row r="180" spans="1:36">
      <c r="A180">
        <f t="shared" si="87"/>
        <v>177</v>
      </c>
      <c r="B180">
        <f t="shared" si="96"/>
        <v>4</v>
      </c>
      <c r="C180">
        <f t="shared" si="74"/>
        <v>180</v>
      </c>
      <c r="D180">
        <f t="shared" si="88"/>
        <v>0</v>
      </c>
      <c r="E180">
        <f t="shared" si="108"/>
        <v>3</v>
      </c>
      <c r="F180">
        <f t="shared" si="75"/>
        <v>180</v>
      </c>
      <c r="G180">
        <f t="shared" si="89"/>
        <v>0</v>
      </c>
      <c r="H180">
        <f t="shared" si="97"/>
        <v>3</v>
      </c>
      <c r="I180">
        <f t="shared" si="76"/>
        <v>240</v>
      </c>
      <c r="J180">
        <f t="shared" si="90"/>
        <v>0</v>
      </c>
      <c r="K180">
        <f t="shared" si="98"/>
        <v>2</v>
      </c>
      <c r="L180">
        <f t="shared" si="77"/>
        <v>180</v>
      </c>
      <c r="M180">
        <f t="shared" si="91"/>
        <v>0</v>
      </c>
      <c r="N180">
        <f t="shared" si="99"/>
        <v>2</v>
      </c>
      <c r="O180">
        <f t="shared" si="78"/>
        <v>300</v>
      </c>
      <c r="P180">
        <f t="shared" si="100"/>
        <v>0</v>
      </c>
      <c r="Q180">
        <f t="shared" si="101"/>
        <v>2</v>
      </c>
      <c r="R180">
        <f t="shared" si="79"/>
        <v>300</v>
      </c>
      <c r="S180">
        <f t="shared" si="102"/>
        <v>0</v>
      </c>
      <c r="T180">
        <f t="shared" si="103"/>
        <v>-1</v>
      </c>
      <c r="U180">
        <f t="shared" si="92"/>
        <v>0</v>
      </c>
      <c r="V180">
        <f t="shared" si="93"/>
        <v>1</v>
      </c>
      <c r="W180">
        <f t="shared" si="80"/>
        <v>0</v>
      </c>
      <c r="X180">
        <f t="shared" si="104"/>
        <v>0</v>
      </c>
      <c r="Y180">
        <f t="shared" si="81"/>
        <v>0</v>
      </c>
      <c r="Z180">
        <f t="shared" si="82"/>
        <v>0</v>
      </c>
      <c r="AA180">
        <f t="shared" si="83"/>
        <v>0</v>
      </c>
      <c r="AB180" s="29">
        <f t="shared" si="84"/>
        <v>0.74178816089935007</v>
      </c>
      <c r="AC180" s="25">
        <f t="shared" si="94"/>
        <v>127.49804426656831</v>
      </c>
      <c r="AD180" s="29">
        <f t="shared" si="85"/>
        <v>1.0808524183153847</v>
      </c>
      <c r="AE180" s="25">
        <f t="shared" si="95"/>
        <v>13.243681724743192</v>
      </c>
      <c r="AF180" s="25">
        <f t="shared" si="86"/>
        <v>13.243681724743192</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290.78918279358999</v>
      </c>
      <c r="AH180" s="25">
        <f t="shared" si="105"/>
        <v>0</v>
      </c>
      <c r="AI180" s="25">
        <f t="shared" si="106"/>
        <v>0</v>
      </c>
      <c r="AJ180" s="25">
        <f t="shared" si="107"/>
        <v>0</v>
      </c>
    </row>
    <row r="181" spans="1:36">
      <c r="A181">
        <f t="shared" si="87"/>
        <v>178</v>
      </c>
      <c r="B181">
        <f t="shared" si="96"/>
        <v>4</v>
      </c>
      <c r="C181">
        <f t="shared" si="74"/>
        <v>180</v>
      </c>
      <c r="D181">
        <f t="shared" si="88"/>
        <v>0</v>
      </c>
      <c r="E181">
        <f t="shared" si="108"/>
        <v>3</v>
      </c>
      <c r="F181">
        <f t="shared" si="75"/>
        <v>180</v>
      </c>
      <c r="G181">
        <f t="shared" si="89"/>
        <v>0</v>
      </c>
      <c r="H181">
        <f t="shared" si="97"/>
        <v>3</v>
      </c>
      <c r="I181">
        <f t="shared" si="76"/>
        <v>240</v>
      </c>
      <c r="J181">
        <f t="shared" si="90"/>
        <v>0</v>
      </c>
      <c r="K181">
        <f t="shared" si="98"/>
        <v>2</v>
      </c>
      <c r="L181">
        <f t="shared" si="77"/>
        <v>180</v>
      </c>
      <c r="M181">
        <f t="shared" si="91"/>
        <v>0</v>
      </c>
      <c r="N181">
        <f t="shared" si="99"/>
        <v>2</v>
      </c>
      <c r="O181">
        <f t="shared" si="78"/>
        <v>300</v>
      </c>
      <c r="P181">
        <f t="shared" si="100"/>
        <v>0</v>
      </c>
      <c r="Q181">
        <f t="shared" si="101"/>
        <v>2</v>
      </c>
      <c r="R181">
        <f t="shared" si="79"/>
        <v>300</v>
      </c>
      <c r="S181">
        <f t="shared" si="102"/>
        <v>0</v>
      </c>
      <c r="T181">
        <f t="shared" si="103"/>
        <v>-1</v>
      </c>
      <c r="U181">
        <f t="shared" si="92"/>
        <v>0</v>
      </c>
      <c r="V181">
        <f t="shared" si="93"/>
        <v>1</v>
      </c>
      <c r="W181">
        <f t="shared" si="80"/>
        <v>0</v>
      </c>
      <c r="X181">
        <f t="shared" si="104"/>
        <v>0</v>
      </c>
      <c r="Y181">
        <f t="shared" si="81"/>
        <v>0</v>
      </c>
      <c r="Z181">
        <f t="shared" si="82"/>
        <v>0</v>
      </c>
      <c r="AA181">
        <f t="shared" si="83"/>
        <v>0</v>
      </c>
      <c r="AB181" s="29">
        <f t="shared" si="84"/>
        <v>0.74178816089935007</v>
      </c>
      <c r="AC181" s="25">
        <f t="shared" si="94"/>
        <v>127.49804426656831</v>
      </c>
      <c r="AD181" s="29">
        <f t="shared" si="85"/>
        <v>1.0808524183153847</v>
      </c>
      <c r="AE181" s="25">
        <f t="shared" si="95"/>
        <v>13.243681724743192</v>
      </c>
      <c r="AF181" s="25">
        <f t="shared" si="86"/>
        <v>13.243681724743192</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290.78918279358999</v>
      </c>
      <c r="AH181" s="25">
        <f t="shared" si="105"/>
        <v>0</v>
      </c>
      <c r="AI181" s="25">
        <f t="shared" si="106"/>
        <v>0</v>
      </c>
      <c r="AJ181" s="25">
        <f t="shared" si="107"/>
        <v>0</v>
      </c>
    </row>
    <row r="182" spans="1:36">
      <c r="A182">
        <f t="shared" si="87"/>
        <v>179</v>
      </c>
      <c r="B182">
        <f t="shared" si="96"/>
        <v>4</v>
      </c>
      <c r="C182">
        <f t="shared" si="74"/>
        <v>180</v>
      </c>
      <c r="D182">
        <f t="shared" si="88"/>
        <v>0</v>
      </c>
      <c r="E182">
        <f t="shared" si="108"/>
        <v>3</v>
      </c>
      <c r="F182">
        <f t="shared" si="75"/>
        <v>180</v>
      </c>
      <c r="G182">
        <f t="shared" si="89"/>
        <v>0</v>
      </c>
      <c r="H182">
        <f t="shared" si="97"/>
        <v>3</v>
      </c>
      <c r="I182">
        <f t="shared" si="76"/>
        <v>240</v>
      </c>
      <c r="J182">
        <f t="shared" si="90"/>
        <v>0</v>
      </c>
      <c r="K182">
        <f t="shared" si="98"/>
        <v>2</v>
      </c>
      <c r="L182">
        <f t="shared" si="77"/>
        <v>180</v>
      </c>
      <c r="M182">
        <f t="shared" si="91"/>
        <v>0</v>
      </c>
      <c r="N182">
        <f t="shared" si="99"/>
        <v>2</v>
      </c>
      <c r="O182">
        <f t="shared" si="78"/>
        <v>300</v>
      </c>
      <c r="P182">
        <f t="shared" si="100"/>
        <v>0</v>
      </c>
      <c r="Q182">
        <f t="shared" si="101"/>
        <v>2</v>
      </c>
      <c r="R182">
        <f t="shared" si="79"/>
        <v>300</v>
      </c>
      <c r="S182">
        <f t="shared" si="102"/>
        <v>0</v>
      </c>
      <c r="T182">
        <f t="shared" si="103"/>
        <v>-1</v>
      </c>
      <c r="U182">
        <f t="shared" si="92"/>
        <v>0</v>
      </c>
      <c r="V182">
        <f t="shared" si="93"/>
        <v>1</v>
      </c>
      <c r="W182">
        <f t="shared" si="80"/>
        <v>0</v>
      </c>
      <c r="X182">
        <f t="shared" si="104"/>
        <v>0</v>
      </c>
      <c r="Y182">
        <f t="shared" si="81"/>
        <v>0</v>
      </c>
      <c r="Z182">
        <f t="shared" si="82"/>
        <v>0</v>
      </c>
      <c r="AA182">
        <f t="shared" si="83"/>
        <v>0</v>
      </c>
      <c r="AB182" s="29">
        <f t="shared" si="84"/>
        <v>0.74178816089935007</v>
      </c>
      <c r="AC182" s="25">
        <f t="shared" si="94"/>
        <v>127.49804426656831</v>
      </c>
      <c r="AD182" s="29">
        <f t="shared" si="85"/>
        <v>1.0808524183153847</v>
      </c>
      <c r="AE182" s="25">
        <f t="shared" si="95"/>
        <v>13.243681724743192</v>
      </c>
      <c r="AF182" s="25">
        <f t="shared" si="86"/>
        <v>13.243681724743192</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290.78918279358999</v>
      </c>
      <c r="AH182" s="25">
        <f t="shared" si="105"/>
        <v>0</v>
      </c>
      <c r="AI182" s="25">
        <f t="shared" si="106"/>
        <v>0</v>
      </c>
      <c r="AJ182" s="25">
        <f t="shared" si="107"/>
        <v>0</v>
      </c>
    </row>
    <row r="183" spans="1:36">
      <c r="A183">
        <f t="shared" si="87"/>
        <v>180</v>
      </c>
      <c r="B183">
        <f t="shared" si="96"/>
        <v>4</v>
      </c>
      <c r="C183">
        <f t="shared" si="74"/>
        <v>180</v>
      </c>
      <c r="D183">
        <f t="shared" si="88"/>
        <v>1</v>
      </c>
      <c r="E183">
        <f t="shared" si="108"/>
        <v>3</v>
      </c>
      <c r="F183">
        <f t="shared" si="75"/>
        <v>180</v>
      </c>
      <c r="G183">
        <f t="shared" si="89"/>
        <v>1</v>
      </c>
      <c r="H183">
        <f t="shared" si="97"/>
        <v>3</v>
      </c>
      <c r="I183">
        <f t="shared" si="76"/>
        <v>240</v>
      </c>
      <c r="J183">
        <f t="shared" si="90"/>
        <v>0</v>
      </c>
      <c r="K183">
        <f t="shared" si="98"/>
        <v>2</v>
      </c>
      <c r="L183">
        <f t="shared" si="77"/>
        <v>180</v>
      </c>
      <c r="M183">
        <f t="shared" si="91"/>
        <v>1</v>
      </c>
      <c r="N183">
        <f t="shared" si="99"/>
        <v>2</v>
      </c>
      <c r="O183">
        <f t="shared" si="78"/>
        <v>300</v>
      </c>
      <c r="P183">
        <f t="shared" si="100"/>
        <v>0</v>
      </c>
      <c r="Q183">
        <f t="shared" si="101"/>
        <v>2</v>
      </c>
      <c r="R183">
        <f t="shared" si="79"/>
        <v>300</v>
      </c>
      <c r="S183">
        <f t="shared" si="102"/>
        <v>0</v>
      </c>
      <c r="T183">
        <f t="shared" si="103"/>
        <v>-1</v>
      </c>
      <c r="U183">
        <f t="shared" si="92"/>
        <v>0</v>
      </c>
      <c r="V183">
        <f t="shared" si="93"/>
        <v>1</v>
      </c>
      <c r="W183">
        <f t="shared" si="80"/>
        <v>0</v>
      </c>
      <c r="X183">
        <f t="shared" si="104"/>
        <v>0</v>
      </c>
      <c r="Y183">
        <f t="shared" si="81"/>
        <v>0</v>
      </c>
      <c r="Z183">
        <f t="shared" si="82"/>
        <v>0</v>
      </c>
      <c r="AA183">
        <f t="shared" si="83"/>
        <v>0</v>
      </c>
      <c r="AB183" s="29">
        <f t="shared" si="84"/>
        <v>0.74178816089935007</v>
      </c>
      <c r="AC183" s="25">
        <f t="shared" si="94"/>
        <v>127.49804426656831</v>
      </c>
      <c r="AD183" s="29">
        <f t="shared" si="85"/>
        <v>1.0808524183153847</v>
      </c>
      <c r="AE183" s="25">
        <f t="shared" si="95"/>
        <v>13.243681724743192</v>
      </c>
      <c r="AF183" s="25">
        <f t="shared" si="86"/>
        <v>13.243681724743192</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290.78918279358999</v>
      </c>
      <c r="AH183" s="25">
        <f t="shared" si="105"/>
        <v>0</v>
      </c>
      <c r="AI183" s="25">
        <f t="shared" si="106"/>
        <v>0</v>
      </c>
      <c r="AJ183" s="25">
        <f t="shared" si="107"/>
        <v>0</v>
      </c>
    </row>
    <row r="184" spans="1:36">
      <c r="A184">
        <f t="shared" si="87"/>
        <v>181</v>
      </c>
      <c r="B184">
        <f t="shared" si="96"/>
        <v>5</v>
      </c>
      <c r="C184">
        <f t="shared" si="74"/>
        <v>240</v>
      </c>
      <c r="D184">
        <f t="shared" si="88"/>
        <v>2</v>
      </c>
      <c r="E184">
        <f t="shared" si="108"/>
        <v>4</v>
      </c>
      <c r="F184">
        <f t="shared" si="75"/>
        <v>270</v>
      </c>
      <c r="G184">
        <f t="shared" si="89"/>
        <v>2</v>
      </c>
      <c r="H184">
        <f t="shared" si="97"/>
        <v>3</v>
      </c>
      <c r="I184">
        <f t="shared" si="76"/>
        <v>240</v>
      </c>
      <c r="J184">
        <f t="shared" si="90"/>
        <v>0</v>
      </c>
      <c r="K184">
        <f t="shared" si="98"/>
        <v>3</v>
      </c>
      <c r="L184">
        <f t="shared" si="77"/>
        <v>360</v>
      </c>
      <c r="M184">
        <f t="shared" si="91"/>
        <v>2</v>
      </c>
      <c r="N184">
        <f t="shared" si="99"/>
        <v>2</v>
      </c>
      <c r="O184">
        <f t="shared" si="78"/>
        <v>300</v>
      </c>
      <c r="P184">
        <f t="shared" si="100"/>
        <v>0</v>
      </c>
      <c r="Q184">
        <f t="shared" si="101"/>
        <v>2</v>
      </c>
      <c r="R184">
        <f t="shared" si="79"/>
        <v>300</v>
      </c>
      <c r="S184">
        <f t="shared" si="102"/>
        <v>0</v>
      </c>
      <c r="T184">
        <f t="shared" si="103"/>
        <v>-1</v>
      </c>
      <c r="U184">
        <f t="shared" si="92"/>
        <v>0</v>
      </c>
      <c r="V184">
        <f t="shared" si="93"/>
        <v>1</v>
      </c>
      <c r="W184">
        <f t="shared" si="80"/>
        <v>0</v>
      </c>
      <c r="X184">
        <f t="shared" si="104"/>
        <v>0</v>
      </c>
      <c r="Y184">
        <f t="shared" si="81"/>
        <v>0</v>
      </c>
      <c r="Z184">
        <f t="shared" si="82"/>
        <v>0</v>
      </c>
      <c r="AA184">
        <f t="shared" si="83"/>
        <v>0</v>
      </c>
      <c r="AB184" s="29">
        <f t="shared" si="84"/>
        <v>0.74178816089935007</v>
      </c>
      <c r="AC184" s="25">
        <f t="shared" si="94"/>
        <v>127.49804426656831</v>
      </c>
      <c r="AD184" s="29">
        <f t="shared" si="85"/>
        <v>1.0808524183153847</v>
      </c>
      <c r="AE184" s="25">
        <f t="shared" si="95"/>
        <v>13.243681724743192</v>
      </c>
      <c r="AF184" s="25">
        <f t="shared" si="86"/>
        <v>13.243681724743192</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290.78918279358999</v>
      </c>
      <c r="AH184" s="25">
        <f t="shared" si="105"/>
        <v>0</v>
      </c>
      <c r="AI184" s="25">
        <f t="shared" si="106"/>
        <v>0</v>
      </c>
      <c r="AJ184" s="25">
        <f t="shared" si="107"/>
        <v>0</v>
      </c>
    </row>
    <row r="185" spans="1:36">
      <c r="A185">
        <f t="shared" si="87"/>
        <v>182</v>
      </c>
      <c r="B185">
        <f t="shared" si="96"/>
        <v>5</v>
      </c>
      <c r="C185">
        <f t="shared" si="74"/>
        <v>240</v>
      </c>
      <c r="D185">
        <f t="shared" si="88"/>
        <v>3</v>
      </c>
      <c r="E185">
        <f t="shared" si="108"/>
        <v>4</v>
      </c>
      <c r="F185">
        <f t="shared" si="75"/>
        <v>270</v>
      </c>
      <c r="G185">
        <f t="shared" si="89"/>
        <v>3</v>
      </c>
      <c r="H185">
        <f t="shared" si="97"/>
        <v>3</v>
      </c>
      <c r="I185">
        <f t="shared" si="76"/>
        <v>240</v>
      </c>
      <c r="J185">
        <f t="shared" si="90"/>
        <v>0</v>
      </c>
      <c r="K185">
        <f t="shared" si="98"/>
        <v>3</v>
      </c>
      <c r="L185">
        <f t="shared" si="77"/>
        <v>360</v>
      </c>
      <c r="M185">
        <f t="shared" si="91"/>
        <v>3</v>
      </c>
      <c r="N185">
        <f t="shared" si="99"/>
        <v>2</v>
      </c>
      <c r="O185">
        <f t="shared" si="78"/>
        <v>300</v>
      </c>
      <c r="P185">
        <f t="shared" si="100"/>
        <v>0</v>
      </c>
      <c r="Q185">
        <f t="shared" si="101"/>
        <v>2</v>
      </c>
      <c r="R185">
        <f t="shared" si="79"/>
        <v>300</v>
      </c>
      <c r="S185">
        <f t="shared" si="102"/>
        <v>0</v>
      </c>
      <c r="T185">
        <f t="shared" si="103"/>
        <v>-1</v>
      </c>
      <c r="U185">
        <f t="shared" si="92"/>
        <v>0</v>
      </c>
      <c r="V185">
        <f t="shared" si="93"/>
        <v>1</v>
      </c>
      <c r="W185">
        <f t="shared" si="80"/>
        <v>0</v>
      </c>
      <c r="X185">
        <f t="shared" si="104"/>
        <v>0</v>
      </c>
      <c r="Y185">
        <f t="shared" si="81"/>
        <v>0</v>
      </c>
      <c r="Z185">
        <f t="shared" si="82"/>
        <v>0</v>
      </c>
      <c r="AA185">
        <f t="shared" si="83"/>
        <v>0</v>
      </c>
      <c r="AB185" s="29">
        <f t="shared" si="84"/>
        <v>0.74178816089935007</v>
      </c>
      <c r="AC185" s="25">
        <f t="shared" si="94"/>
        <v>127.49804426656831</v>
      </c>
      <c r="AD185" s="29">
        <f t="shared" si="85"/>
        <v>1.0808524183153847</v>
      </c>
      <c r="AE185" s="25">
        <f t="shared" si="95"/>
        <v>13.243681724743192</v>
      </c>
      <c r="AF185" s="25">
        <f t="shared" si="86"/>
        <v>13.243681724743192</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290.78918279358999</v>
      </c>
      <c r="AH185" s="25">
        <f t="shared" si="105"/>
        <v>0</v>
      </c>
      <c r="AI185" s="25">
        <f t="shared" si="106"/>
        <v>0</v>
      </c>
      <c r="AJ185" s="25">
        <f t="shared" si="107"/>
        <v>0</v>
      </c>
    </row>
    <row r="186" spans="1:36">
      <c r="A186">
        <f t="shared" si="87"/>
        <v>183</v>
      </c>
      <c r="B186">
        <f t="shared" si="96"/>
        <v>5</v>
      </c>
      <c r="C186">
        <f t="shared" si="74"/>
        <v>240</v>
      </c>
      <c r="D186">
        <f t="shared" si="88"/>
        <v>4</v>
      </c>
      <c r="E186">
        <f t="shared" si="108"/>
        <v>4</v>
      </c>
      <c r="F186">
        <f t="shared" si="75"/>
        <v>270</v>
      </c>
      <c r="G186">
        <f t="shared" si="89"/>
        <v>4</v>
      </c>
      <c r="H186">
        <f t="shared" si="97"/>
        <v>3</v>
      </c>
      <c r="I186">
        <f t="shared" si="76"/>
        <v>240</v>
      </c>
      <c r="J186">
        <f t="shared" si="90"/>
        <v>0</v>
      </c>
      <c r="K186">
        <f t="shared" si="98"/>
        <v>3</v>
      </c>
      <c r="L186">
        <f t="shared" si="77"/>
        <v>360</v>
      </c>
      <c r="M186">
        <f t="shared" si="91"/>
        <v>4</v>
      </c>
      <c r="N186">
        <f t="shared" si="99"/>
        <v>2</v>
      </c>
      <c r="O186">
        <f t="shared" si="78"/>
        <v>300</v>
      </c>
      <c r="P186">
        <f t="shared" si="100"/>
        <v>0</v>
      </c>
      <c r="Q186">
        <f t="shared" si="101"/>
        <v>2</v>
      </c>
      <c r="R186">
        <f t="shared" si="79"/>
        <v>300</v>
      </c>
      <c r="S186">
        <f t="shared" si="102"/>
        <v>0</v>
      </c>
      <c r="T186">
        <f t="shared" si="103"/>
        <v>-1</v>
      </c>
      <c r="U186">
        <f t="shared" si="92"/>
        <v>0</v>
      </c>
      <c r="V186">
        <f t="shared" si="93"/>
        <v>1</v>
      </c>
      <c r="W186">
        <f t="shared" si="80"/>
        <v>0</v>
      </c>
      <c r="X186">
        <f t="shared" si="104"/>
        <v>0</v>
      </c>
      <c r="Y186">
        <f t="shared" si="81"/>
        <v>0</v>
      </c>
      <c r="Z186">
        <f t="shared" si="82"/>
        <v>0</v>
      </c>
      <c r="AA186">
        <f t="shared" si="83"/>
        <v>0</v>
      </c>
      <c r="AB186" s="29">
        <f t="shared" si="84"/>
        <v>0.74178816089935007</v>
      </c>
      <c r="AC186" s="25">
        <f t="shared" si="94"/>
        <v>127.49804426656831</v>
      </c>
      <c r="AD186" s="29">
        <f t="shared" si="85"/>
        <v>1.0808524183153847</v>
      </c>
      <c r="AE186" s="25">
        <f t="shared" si="95"/>
        <v>13.243681724743192</v>
      </c>
      <c r="AF186" s="25">
        <f t="shared" si="86"/>
        <v>13.243681724743192</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290.78918279358999</v>
      </c>
      <c r="AH186" s="25">
        <f t="shared" si="105"/>
        <v>0</v>
      </c>
      <c r="AI186" s="25">
        <f t="shared" si="106"/>
        <v>0</v>
      </c>
      <c r="AJ186" s="25">
        <f t="shared" si="107"/>
        <v>0</v>
      </c>
    </row>
    <row r="187" spans="1:36">
      <c r="A187">
        <f t="shared" si="87"/>
        <v>184</v>
      </c>
      <c r="B187">
        <f t="shared" si="96"/>
        <v>5</v>
      </c>
      <c r="C187">
        <f t="shared" si="74"/>
        <v>240</v>
      </c>
      <c r="D187">
        <f t="shared" si="88"/>
        <v>5</v>
      </c>
      <c r="E187">
        <f t="shared" si="108"/>
        <v>4</v>
      </c>
      <c r="F187">
        <f t="shared" si="75"/>
        <v>270</v>
      </c>
      <c r="G187">
        <f t="shared" si="89"/>
        <v>5</v>
      </c>
      <c r="H187">
        <f t="shared" si="97"/>
        <v>3</v>
      </c>
      <c r="I187">
        <f t="shared" si="76"/>
        <v>240</v>
      </c>
      <c r="J187">
        <f t="shared" si="90"/>
        <v>0</v>
      </c>
      <c r="K187">
        <f t="shared" si="98"/>
        <v>3</v>
      </c>
      <c r="L187">
        <f t="shared" si="77"/>
        <v>360</v>
      </c>
      <c r="M187">
        <f t="shared" si="91"/>
        <v>5</v>
      </c>
      <c r="N187">
        <f t="shared" si="99"/>
        <v>2</v>
      </c>
      <c r="O187">
        <f t="shared" si="78"/>
        <v>300</v>
      </c>
      <c r="P187">
        <f t="shared" si="100"/>
        <v>0</v>
      </c>
      <c r="Q187">
        <f t="shared" si="101"/>
        <v>2</v>
      </c>
      <c r="R187">
        <f t="shared" si="79"/>
        <v>300</v>
      </c>
      <c r="S187">
        <f t="shared" si="102"/>
        <v>0</v>
      </c>
      <c r="T187">
        <f t="shared" si="103"/>
        <v>-1</v>
      </c>
      <c r="U187">
        <f t="shared" si="92"/>
        <v>0</v>
      </c>
      <c r="V187">
        <f t="shared" si="93"/>
        <v>1</v>
      </c>
      <c r="W187">
        <f t="shared" si="80"/>
        <v>0</v>
      </c>
      <c r="X187">
        <f t="shared" si="104"/>
        <v>0</v>
      </c>
      <c r="Y187">
        <f t="shared" si="81"/>
        <v>0</v>
      </c>
      <c r="Z187">
        <f t="shared" si="82"/>
        <v>0</v>
      </c>
      <c r="AA187">
        <f t="shared" si="83"/>
        <v>0</v>
      </c>
      <c r="AB187" s="29">
        <f t="shared" si="84"/>
        <v>0.74178816089935007</v>
      </c>
      <c r="AC187" s="25">
        <f t="shared" si="94"/>
        <v>127.49804426656831</v>
      </c>
      <c r="AD187" s="29">
        <f t="shared" si="85"/>
        <v>1.0808524183153847</v>
      </c>
      <c r="AE187" s="25">
        <f t="shared" si="95"/>
        <v>13.243681724743192</v>
      </c>
      <c r="AF187" s="25">
        <f t="shared" si="86"/>
        <v>13.243681724743192</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290.78918279358999</v>
      </c>
      <c r="AH187" s="25">
        <f t="shared" si="105"/>
        <v>0</v>
      </c>
      <c r="AI187" s="25">
        <f t="shared" si="106"/>
        <v>0</v>
      </c>
      <c r="AJ187" s="25">
        <f t="shared" si="107"/>
        <v>0</v>
      </c>
    </row>
    <row r="188" spans="1:36">
      <c r="A188">
        <f t="shared" si="87"/>
        <v>185</v>
      </c>
      <c r="B188">
        <f t="shared" si="96"/>
        <v>5</v>
      </c>
      <c r="C188">
        <f t="shared" si="74"/>
        <v>240</v>
      </c>
      <c r="D188">
        <f t="shared" si="88"/>
        <v>6</v>
      </c>
      <c r="E188">
        <f t="shared" si="108"/>
        <v>4</v>
      </c>
      <c r="F188">
        <f t="shared" si="75"/>
        <v>270</v>
      </c>
      <c r="G188">
        <f t="shared" si="89"/>
        <v>6</v>
      </c>
      <c r="H188">
        <f t="shared" si="97"/>
        <v>3</v>
      </c>
      <c r="I188">
        <f t="shared" si="76"/>
        <v>240</v>
      </c>
      <c r="J188">
        <f t="shared" si="90"/>
        <v>0</v>
      </c>
      <c r="K188">
        <f t="shared" si="98"/>
        <v>3</v>
      </c>
      <c r="L188">
        <f t="shared" si="77"/>
        <v>360</v>
      </c>
      <c r="M188">
        <f t="shared" si="91"/>
        <v>6</v>
      </c>
      <c r="N188">
        <f t="shared" si="99"/>
        <v>2</v>
      </c>
      <c r="O188">
        <f t="shared" si="78"/>
        <v>300</v>
      </c>
      <c r="P188">
        <f t="shared" si="100"/>
        <v>0</v>
      </c>
      <c r="Q188">
        <f t="shared" si="101"/>
        <v>2</v>
      </c>
      <c r="R188">
        <f t="shared" si="79"/>
        <v>300</v>
      </c>
      <c r="S188">
        <f t="shared" si="102"/>
        <v>0</v>
      </c>
      <c r="T188">
        <f t="shared" si="103"/>
        <v>-1</v>
      </c>
      <c r="U188">
        <f t="shared" si="92"/>
        <v>0</v>
      </c>
      <c r="V188">
        <f t="shared" si="93"/>
        <v>1</v>
      </c>
      <c r="W188">
        <f t="shared" si="80"/>
        <v>0</v>
      </c>
      <c r="X188">
        <f t="shared" si="104"/>
        <v>0</v>
      </c>
      <c r="Y188">
        <f t="shared" si="81"/>
        <v>0</v>
      </c>
      <c r="Z188">
        <f t="shared" si="82"/>
        <v>0</v>
      </c>
      <c r="AA188">
        <f t="shared" si="83"/>
        <v>0</v>
      </c>
      <c r="AB188" s="29">
        <f t="shared" si="84"/>
        <v>0.74178816089935007</v>
      </c>
      <c r="AC188" s="25">
        <f t="shared" si="94"/>
        <v>127.49804426656831</v>
      </c>
      <c r="AD188" s="29">
        <f t="shared" si="85"/>
        <v>1.0808524183153847</v>
      </c>
      <c r="AE188" s="25">
        <f t="shared" si="95"/>
        <v>13.243681724743192</v>
      </c>
      <c r="AF188" s="25">
        <f t="shared" si="86"/>
        <v>13.243681724743192</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290.78918279358999</v>
      </c>
      <c r="AH188" s="25">
        <f t="shared" si="105"/>
        <v>0</v>
      </c>
      <c r="AI188" s="25">
        <f t="shared" si="106"/>
        <v>0</v>
      </c>
      <c r="AJ188" s="25">
        <f t="shared" si="107"/>
        <v>0</v>
      </c>
    </row>
    <row r="189" spans="1:36">
      <c r="A189">
        <f t="shared" si="87"/>
        <v>186</v>
      </c>
      <c r="B189">
        <f t="shared" si="96"/>
        <v>5</v>
      </c>
      <c r="C189">
        <f t="shared" si="74"/>
        <v>240</v>
      </c>
      <c r="D189">
        <f t="shared" si="88"/>
        <v>7</v>
      </c>
      <c r="E189">
        <f t="shared" si="108"/>
        <v>4</v>
      </c>
      <c r="F189">
        <f t="shared" si="75"/>
        <v>270</v>
      </c>
      <c r="G189">
        <f t="shared" si="89"/>
        <v>7</v>
      </c>
      <c r="H189">
        <f t="shared" si="97"/>
        <v>3</v>
      </c>
      <c r="I189">
        <f t="shared" si="76"/>
        <v>240</v>
      </c>
      <c r="J189">
        <f t="shared" si="90"/>
        <v>0</v>
      </c>
      <c r="K189">
        <f t="shared" si="98"/>
        <v>3</v>
      </c>
      <c r="L189">
        <f t="shared" si="77"/>
        <v>360</v>
      </c>
      <c r="M189">
        <f t="shared" si="91"/>
        <v>7</v>
      </c>
      <c r="N189">
        <f t="shared" si="99"/>
        <v>2</v>
      </c>
      <c r="O189">
        <f t="shared" si="78"/>
        <v>300</v>
      </c>
      <c r="P189">
        <f t="shared" si="100"/>
        <v>0</v>
      </c>
      <c r="Q189">
        <f t="shared" si="101"/>
        <v>2</v>
      </c>
      <c r="R189">
        <f t="shared" si="79"/>
        <v>300</v>
      </c>
      <c r="S189">
        <f t="shared" si="102"/>
        <v>0</v>
      </c>
      <c r="T189">
        <f t="shared" si="103"/>
        <v>-1</v>
      </c>
      <c r="U189">
        <f t="shared" si="92"/>
        <v>0</v>
      </c>
      <c r="V189">
        <f t="shared" si="93"/>
        <v>1</v>
      </c>
      <c r="W189">
        <f t="shared" si="80"/>
        <v>0</v>
      </c>
      <c r="X189">
        <f t="shared" si="104"/>
        <v>0</v>
      </c>
      <c r="Y189">
        <f t="shared" si="81"/>
        <v>0</v>
      </c>
      <c r="Z189">
        <f t="shared" si="82"/>
        <v>0</v>
      </c>
      <c r="AA189">
        <f t="shared" si="83"/>
        <v>0</v>
      </c>
      <c r="AB189" s="29">
        <f t="shared" si="84"/>
        <v>0.74178816089935007</v>
      </c>
      <c r="AC189" s="25">
        <f t="shared" si="94"/>
        <v>127.49804426656831</v>
      </c>
      <c r="AD189" s="29">
        <f t="shared" si="85"/>
        <v>1.0808524183153847</v>
      </c>
      <c r="AE189" s="25">
        <f t="shared" si="95"/>
        <v>13.243681724743192</v>
      </c>
      <c r="AF189" s="25">
        <f t="shared" si="86"/>
        <v>13.243681724743192</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290.78918279358999</v>
      </c>
      <c r="AH189" s="25">
        <f t="shared" si="105"/>
        <v>0</v>
      </c>
      <c r="AI189" s="25">
        <f t="shared" si="106"/>
        <v>0</v>
      </c>
      <c r="AJ189" s="25">
        <f t="shared" si="107"/>
        <v>0</v>
      </c>
    </row>
    <row r="190" spans="1:36">
      <c r="A190">
        <f t="shared" si="87"/>
        <v>187</v>
      </c>
      <c r="B190">
        <f t="shared" si="96"/>
        <v>5</v>
      </c>
      <c r="C190">
        <f t="shared" si="74"/>
        <v>240</v>
      </c>
      <c r="D190">
        <f t="shared" si="88"/>
        <v>8</v>
      </c>
      <c r="E190">
        <f t="shared" si="108"/>
        <v>4</v>
      </c>
      <c r="F190">
        <f t="shared" si="75"/>
        <v>270</v>
      </c>
      <c r="G190">
        <f t="shared" si="89"/>
        <v>8</v>
      </c>
      <c r="H190">
        <f t="shared" si="97"/>
        <v>3</v>
      </c>
      <c r="I190">
        <f t="shared" si="76"/>
        <v>240</v>
      </c>
      <c r="J190">
        <f t="shared" si="90"/>
        <v>0</v>
      </c>
      <c r="K190">
        <f t="shared" si="98"/>
        <v>3</v>
      </c>
      <c r="L190">
        <f t="shared" si="77"/>
        <v>360</v>
      </c>
      <c r="M190">
        <f t="shared" si="91"/>
        <v>8</v>
      </c>
      <c r="N190">
        <f t="shared" si="99"/>
        <v>2</v>
      </c>
      <c r="O190">
        <f t="shared" si="78"/>
        <v>300</v>
      </c>
      <c r="P190">
        <f t="shared" si="100"/>
        <v>0</v>
      </c>
      <c r="Q190">
        <f t="shared" si="101"/>
        <v>2</v>
      </c>
      <c r="R190">
        <f t="shared" si="79"/>
        <v>300</v>
      </c>
      <c r="S190">
        <f t="shared" si="102"/>
        <v>0</v>
      </c>
      <c r="T190">
        <f t="shared" si="103"/>
        <v>-1</v>
      </c>
      <c r="U190">
        <f t="shared" si="92"/>
        <v>0</v>
      </c>
      <c r="V190">
        <f t="shared" si="93"/>
        <v>1</v>
      </c>
      <c r="W190">
        <f t="shared" si="80"/>
        <v>0</v>
      </c>
      <c r="X190">
        <f t="shared" si="104"/>
        <v>0</v>
      </c>
      <c r="Y190">
        <f t="shared" si="81"/>
        <v>0</v>
      </c>
      <c r="Z190">
        <f t="shared" si="82"/>
        <v>0</v>
      </c>
      <c r="AA190">
        <f t="shared" si="83"/>
        <v>0</v>
      </c>
      <c r="AB190" s="29">
        <f t="shared" si="84"/>
        <v>0.74178816089935007</v>
      </c>
      <c r="AC190" s="25">
        <f t="shared" si="94"/>
        <v>127.49804426656831</v>
      </c>
      <c r="AD190" s="29">
        <f t="shared" si="85"/>
        <v>1.0808524183153847</v>
      </c>
      <c r="AE190" s="25">
        <f t="shared" si="95"/>
        <v>13.243681724743192</v>
      </c>
      <c r="AF190" s="25">
        <f t="shared" si="86"/>
        <v>13.243681724743192</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290.78918279358999</v>
      </c>
      <c r="AH190" s="25">
        <f t="shared" si="105"/>
        <v>0</v>
      </c>
      <c r="AI190" s="25">
        <f t="shared" si="106"/>
        <v>0</v>
      </c>
      <c r="AJ190" s="25">
        <f t="shared" si="107"/>
        <v>0</v>
      </c>
    </row>
    <row r="191" spans="1:36">
      <c r="A191">
        <f t="shared" si="87"/>
        <v>188</v>
      </c>
      <c r="B191">
        <f t="shared" si="96"/>
        <v>5</v>
      </c>
      <c r="C191">
        <f t="shared" si="74"/>
        <v>240</v>
      </c>
      <c r="D191">
        <f t="shared" si="88"/>
        <v>9</v>
      </c>
      <c r="E191">
        <f t="shared" si="108"/>
        <v>4</v>
      </c>
      <c r="F191">
        <f t="shared" si="75"/>
        <v>270</v>
      </c>
      <c r="G191">
        <f t="shared" si="89"/>
        <v>9</v>
      </c>
      <c r="H191">
        <f t="shared" si="97"/>
        <v>3</v>
      </c>
      <c r="I191">
        <f t="shared" si="76"/>
        <v>240</v>
      </c>
      <c r="J191">
        <f t="shared" si="90"/>
        <v>0</v>
      </c>
      <c r="K191">
        <f t="shared" si="98"/>
        <v>3</v>
      </c>
      <c r="L191">
        <f t="shared" si="77"/>
        <v>360</v>
      </c>
      <c r="M191">
        <f t="shared" si="91"/>
        <v>9</v>
      </c>
      <c r="N191">
        <f t="shared" si="99"/>
        <v>2</v>
      </c>
      <c r="O191">
        <f t="shared" si="78"/>
        <v>300</v>
      </c>
      <c r="P191">
        <f t="shared" si="100"/>
        <v>0</v>
      </c>
      <c r="Q191">
        <f t="shared" si="101"/>
        <v>2</v>
      </c>
      <c r="R191">
        <f t="shared" si="79"/>
        <v>300</v>
      </c>
      <c r="S191">
        <f t="shared" si="102"/>
        <v>0</v>
      </c>
      <c r="T191">
        <f t="shared" si="103"/>
        <v>-1</v>
      </c>
      <c r="U191">
        <f t="shared" si="92"/>
        <v>0</v>
      </c>
      <c r="V191">
        <f t="shared" si="93"/>
        <v>1</v>
      </c>
      <c r="W191">
        <f t="shared" si="80"/>
        <v>0</v>
      </c>
      <c r="X191">
        <f t="shared" si="104"/>
        <v>0</v>
      </c>
      <c r="Y191">
        <f t="shared" si="81"/>
        <v>0</v>
      </c>
      <c r="Z191">
        <f t="shared" si="82"/>
        <v>0</v>
      </c>
      <c r="AA191">
        <f t="shared" si="83"/>
        <v>0</v>
      </c>
      <c r="AB191" s="29">
        <f t="shared" si="84"/>
        <v>0.74178816089935007</v>
      </c>
      <c r="AC191" s="25">
        <f t="shared" si="94"/>
        <v>127.49804426656831</v>
      </c>
      <c r="AD191" s="29">
        <f t="shared" si="85"/>
        <v>1.0808524183153847</v>
      </c>
      <c r="AE191" s="25">
        <f t="shared" si="95"/>
        <v>13.243681724743192</v>
      </c>
      <c r="AF191" s="25">
        <f t="shared" si="86"/>
        <v>13.243681724743192</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290.78918279358999</v>
      </c>
      <c r="AH191" s="25">
        <f t="shared" si="105"/>
        <v>0</v>
      </c>
      <c r="AI191" s="25">
        <f t="shared" si="106"/>
        <v>0</v>
      </c>
      <c r="AJ191" s="25">
        <f t="shared" si="107"/>
        <v>0</v>
      </c>
    </row>
    <row r="192" spans="1:36">
      <c r="A192">
        <f t="shared" si="87"/>
        <v>189</v>
      </c>
      <c r="B192">
        <f t="shared" si="96"/>
        <v>5</v>
      </c>
      <c r="C192">
        <f t="shared" si="74"/>
        <v>240</v>
      </c>
      <c r="D192">
        <f t="shared" si="88"/>
        <v>10</v>
      </c>
      <c r="E192">
        <f t="shared" si="108"/>
        <v>4</v>
      </c>
      <c r="F192">
        <f t="shared" si="75"/>
        <v>270</v>
      </c>
      <c r="G192">
        <f t="shared" si="89"/>
        <v>10</v>
      </c>
      <c r="H192">
        <f t="shared" si="97"/>
        <v>3</v>
      </c>
      <c r="I192">
        <f t="shared" si="76"/>
        <v>240</v>
      </c>
      <c r="J192">
        <f t="shared" si="90"/>
        <v>0</v>
      </c>
      <c r="K192">
        <f t="shared" si="98"/>
        <v>3</v>
      </c>
      <c r="L192">
        <f t="shared" si="77"/>
        <v>360</v>
      </c>
      <c r="M192">
        <f t="shared" si="91"/>
        <v>10</v>
      </c>
      <c r="N192">
        <f t="shared" si="99"/>
        <v>2</v>
      </c>
      <c r="O192">
        <f t="shared" si="78"/>
        <v>300</v>
      </c>
      <c r="P192">
        <f t="shared" si="100"/>
        <v>0</v>
      </c>
      <c r="Q192">
        <f t="shared" si="101"/>
        <v>2</v>
      </c>
      <c r="R192">
        <f t="shared" si="79"/>
        <v>300</v>
      </c>
      <c r="S192">
        <f t="shared" si="102"/>
        <v>0</v>
      </c>
      <c r="T192">
        <f t="shared" si="103"/>
        <v>-1</v>
      </c>
      <c r="U192">
        <f t="shared" si="92"/>
        <v>0</v>
      </c>
      <c r="V192">
        <f t="shared" si="93"/>
        <v>1</v>
      </c>
      <c r="W192">
        <f t="shared" si="80"/>
        <v>0</v>
      </c>
      <c r="X192">
        <f t="shared" si="104"/>
        <v>0</v>
      </c>
      <c r="Y192">
        <f t="shared" si="81"/>
        <v>0</v>
      </c>
      <c r="Z192">
        <f t="shared" si="82"/>
        <v>0</v>
      </c>
      <c r="AA192">
        <f t="shared" si="83"/>
        <v>0</v>
      </c>
      <c r="AB192" s="29">
        <f t="shared" si="84"/>
        <v>0.74178816089935007</v>
      </c>
      <c r="AC192" s="25">
        <f t="shared" si="94"/>
        <v>127.49804426656831</v>
      </c>
      <c r="AD192" s="29">
        <f t="shared" si="85"/>
        <v>1.0808524183153847</v>
      </c>
      <c r="AE192" s="25">
        <f t="shared" si="95"/>
        <v>13.243681724743192</v>
      </c>
      <c r="AF192" s="25">
        <f t="shared" si="86"/>
        <v>13.243681724743192</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290.78918279358999</v>
      </c>
      <c r="AH192" s="25">
        <f t="shared" si="105"/>
        <v>0</v>
      </c>
      <c r="AI192" s="25">
        <f t="shared" si="106"/>
        <v>0</v>
      </c>
      <c r="AJ192" s="25">
        <f t="shared" si="107"/>
        <v>0</v>
      </c>
    </row>
    <row r="193" spans="1:36">
      <c r="A193">
        <f t="shared" si="87"/>
        <v>190</v>
      </c>
      <c r="B193">
        <f t="shared" si="96"/>
        <v>5</v>
      </c>
      <c r="C193">
        <f t="shared" si="74"/>
        <v>240</v>
      </c>
      <c r="D193">
        <f t="shared" si="88"/>
        <v>11</v>
      </c>
      <c r="E193">
        <f t="shared" si="108"/>
        <v>4</v>
      </c>
      <c r="F193">
        <f t="shared" si="75"/>
        <v>270</v>
      </c>
      <c r="G193">
        <f t="shared" si="89"/>
        <v>11</v>
      </c>
      <c r="H193">
        <f t="shared" si="97"/>
        <v>3</v>
      </c>
      <c r="I193">
        <f t="shared" si="76"/>
        <v>240</v>
      </c>
      <c r="J193">
        <f t="shared" si="90"/>
        <v>0</v>
      </c>
      <c r="K193">
        <f t="shared" si="98"/>
        <v>3</v>
      </c>
      <c r="L193">
        <f t="shared" si="77"/>
        <v>360</v>
      </c>
      <c r="M193">
        <f t="shared" si="91"/>
        <v>11</v>
      </c>
      <c r="N193">
        <f t="shared" si="99"/>
        <v>2</v>
      </c>
      <c r="O193">
        <f t="shared" si="78"/>
        <v>300</v>
      </c>
      <c r="P193">
        <f t="shared" si="100"/>
        <v>0</v>
      </c>
      <c r="Q193">
        <f t="shared" si="101"/>
        <v>2</v>
      </c>
      <c r="R193">
        <f t="shared" si="79"/>
        <v>300</v>
      </c>
      <c r="S193">
        <f t="shared" si="102"/>
        <v>0</v>
      </c>
      <c r="T193">
        <f t="shared" si="103"/>
        <v>-1</v>
      </c>
      <c r="U193">
        <f t="shared" si="92"/>
        <v>0</v>
      </c>
      <c r="V193">
        <f t="shared" si="93"/>
        <v>1</v>
      </c>
      <c r="W193">
        <f t="shared" si="80"/>
        <v>0</v>
      </c>
      <c r="X193">
        <f t="shared" si="104"/>
        <v>0</v>
      </c>
      <c r="Y193">
        <f t="shared" si="81"/>
        <v>0</v>
      </c>
      <c r="Z193">
        <f t="shared" si="82"/>
        <v>0</v>
      </c>
      <c r="AA193">
        <f t="shared" si="83"/>
        <v>0</v>
      </c>
      <c r="AB193" s="29">
        <f t="shared" si="84"/>
        <v>0.74178816089935007</v>
      </c>
      <c r="AC193" s="25">
        <f t="shared" si="94"/>
        <v>127.49804426656831</v>
      </c>
      <c r="AD193" s="29">
        <f t="shared" si="85"/>
        <v>1.0808524183153847</v>
      </c>
      <c r="AE193" s="25">
        <f t="shared" si="95"/>
        <v>13.243681724743192</v>
      </c>
      <c r="AF193" s="25">
        <f t="shared" si="86"/>
        <v>13.243681724743192</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290.78918279358999</v>
      </c>
      <c r="AH193" s="25">
        <f t="shared" si="105"/>
        <v>0</v>
      </c>
      <c r="AI193" s="25">
        <f t="shared" si="106"/>
        <v>0</v>
      </c>
      <c r="AJ193" s="25">
        <f t="shared" si="107"/>
        <v>0</v>
      </c>
    </row>
    <row r="194" spans="1:36">
      <c r="A194">
        <f t="shared" si="87"/>
        <v>191</v>
      </c>
      <c r="B194">
        <f t="shared" si="96"/>
        <v>5</v>
      </c>
      <c r="C194">
        <f t="shared" si="74"/>
        <v>240</v>
      </c>
      <c r="D194">
        <f t="shared" si="88"/>
        <v>12</v>
      </c>
      <c r="E194">
        <f t="shared" si="108"/>
        <v>4</v>
      </c>
      <c r="F194">
        <f t="shared" si="75"/>
        <v>270</v>
      </c>
      <c r="G194">
        <f t="shared" si="89"/>
        <v>12</v>
      </c>
      <c r="H194">
        <f t="shared" si="97"/>
        <v>3</v>
      </c>
      <c r="I194">
        <f t="shared" si="76"/>
        <v>240</v>
      </c>
      <c r="J194">
        <f t="shared" si="90"/>
        <v>0</v>
      </c>
      <c r="K194">
        <f t="shared" si="98"/>
        <v>3</v>
      </c>
      <c r="L194">
        <f t="shared" si="77"/>
        <v>360</v>
      </c>
      <c r="M194">
        <f t="shared" si="91"/>
        <v>12</v>
      </c>
      <c r="N194">
        <f t="shared" si="99"/>
        <v>2</v>
      </c>
      <c r="O194">
        <f t="shared" si="78"/>
        <v>300</v>
      </c>
      <c r="P194">
        <f t="shared" si="100"/>
        <v>0</v>
      </c>
      <c r="Q194">
        <f t="shared" si="101"/>
        <v>2</v>
      </c>
      <c r="R194">
        <f t="shared" si="79"/>
        <v>300</v>
      </c>
      <c r="S194">
        <f t="shared" si="102"/>
        <v>0</v>
      </c>
      <c r="T194">
        <f t="shared" si="103"/>
        <v>-1</v>
      </c>
      <c r="U194">
        <f t="shared" si="92"/>
        <v>0</v>
      </c>
      <c r="V194">
        <f t="shared" si="93"/>
        <v>1</v>
      </c>
      <c r="W194">
        <f t="shared" si="80"/>
        <v>0</v>
      </c>
      <c r="X194">
        <f t="shared" si="104"/>
        <v>0</v>
      </c>
      <c r="Y194">
        <f t="shared" si="81"/>
        <v>0</v>
      </c>
      <c r="Z194">
        <f t="shared" si="82"/>
        <v>0</v>
      </c>
      <c r="AA194">
        <f t="shared" si="83"/>
        <v>0</v>
      </c>
      <c r="AB194" s="29">
        <f t="shared" si="84"/>
        <v>0.74178816089935007</v>
      </c>
      <c r="AC194" s="25">
        <f t="shared" si="94"/>
        <v>127.49804426656831</v>
      </c>
      <c r="AD194" s="29">
        <f t="shared" si="85"/>
        <v>1.0808524183153847</v>
      </c>
      <c r="AE194" s="25">
        <f t="shared" si="95"/>
        <v>13.243681724743192</v>
      </c>
      <c r="AF194" s="25">
        <f t="shared" si="86"/>
        <v>13.243681724743192</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290.78918279358999</v>
      </c>
      <c r="AH194" s="25">
        <f t="shared" si="105"/>
        <v>0</v>
      </c>
      <c r="AI194" s="25">
        <f t="shared" si="106"/>
        <v>0</v>
      </c>
      <c r="AJ194" s="25">
        <f t="shared" si="107"/>
        <v>0</v>
      </c>
    </row>
    <row r="195" spans="1:36">
      <c r="A195">
        <f t="shared" si="87"/>
        <v>192</v>
      </c>
      <c r="B195">
        <f t="shared" si="96"/>
        <v>5</v>
      </c>
      <c r="C195">
        <f t="shared" ref="C195:C258" si="109">IF(AND(cdspec60,cdspec60plus),CHOOSE($B195,cdspec601,cdspec602,cdspec603,cdspec604,cdspec605,cdspec606,cdspec607,cdspec608,cdspec609,cdspec6010),($B195-1)*60+IF(cdspec60,cdspec601,0))</f>
        <v>240</v>
      </c>
      <c r="D195">
        <f t="shared" si="88"/>
        <v>13</v>
      </c>
      <c r="E195">
        <f t="shared" si="108"/>
        <v>4</v>
      </c>
      <c r="F195">
        <f t="shared" ref="F195:F258" si="110">IF(AND(cdspec90,cdspec90plus),CHOOSE(E195,cdspec901,cdspec902,cdspec903,cdspec904,cdspec905,cdspec906),(E195-1)*IF(cdtreat90as120,120,90)+IF(cdspec90,cdspec901,0))</f>
        <v>270</v>
      </c>
      <c r="G195">
        <f t="shared" si="89"/>
        <v>13</v>
      </c>
      <c r="H195">
        <f t="shared" si="97"/>
        <v>3</v>
      </c>
      <c r="I195">
        <f t="shared" ref="I195:I258" si="111">IF(AND(cdspec120,cdspec120plus),CHOOSE(H195,cdspec1201,cdspec1202,cdspec1203,cdspec1204,cdspec1205),(H195-1)*120+IF(cdspec120,cdspec1201,0))</f>
        <v>240</v>
      </c>
      <c r="J195">
        <f t="shared" si="90"/>
        <v>0</v>
      </c>
      <c r="K195">
        <f t="shared" si="98"/>
        <v>3</v>
      </c>
      <c r="L195">
        <f t="shared" ref="L195:L258" si="112">IF(AND(cdspec180,cdspec180plus),CHOOSE(K195,cdspec1801,cdspec1802,cdspec1803,cdspec1804),(K195-1)*IF(cdtreat180as240,240,180)+IF(cdspec180,cdspec1801,0))</f>
        <v>360</v>
      </c>
      <c r="M195">
        <f t="shared" si="91"/>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2"/>
        <v>0</v>
      </c>
      <c r="V195">
        <f t="shared" si="93"/>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si="94"/>
        <v>127.49804426656831</v>
      </c>
      <c r="AD195" s="29">
        <f t="shared" ref="AD195:AD258" si="120">IF($A195&lt;0,0,(1+$AC195/(hasterate*100))*(1+$AS$26/100*AND($J195&gt;0,$J195&lt;=$AT$26))*(1+$AS$35/100*AND($M195&gt;0,$M195&lt;=$AT$35))*(1+0.3*($X195&gt;0)))</f>
        <v>1.0808524183153847</v>
      </c>
      <c r="AE195" s="25">
        <f t="shared" si="95"/>
        <v>13.243681724743192</v>
      </c>
      <c r="AF195" s="25">
        <f t="shared" ref="AF195:AF258" si="121">MIN(instcost,AE195)</f>
        <v>13.243681724743192</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290.78918279358999</v>
      </c>
      <c r="AH195" s="25">
        <f t="shared" si="105"/>
        <v>0</v>
      </c>
      <c r="AI195" s="25">
        <f t="shared" si="106"/>
        <v>0</v>
      </c>
      <c r="AJ195" s="25">
        <f t="shared" si="107"/>
        <v>0</v>
      </c>
    </row>
    <row r="196" spans="1:36">
      <c r="A196">
        <f t="shared" ref="A196:A259" si="122">IF(A195&lt;0,-1,IF(A195+1&gt;=time,-1,A195+1))</f>
        <v>193</v>
      </c>
      <c r="B196">
        <f t="shared" si="96"/>
        <v>5</v>
      </c>
      <c r="C196">
        <f t="shared" si="109"/>
        <v>240</v>
      </c>
      <c r="D196">
        <f t="shared" ref="D196:D259" si="123">IF($A196=$C196,1,IF(AND($D195&gt;0,$D195&lt;30),$D195+1,0))</f>
        <v>14</v>
      </c>
      <c r="E196">
        <f t="shared" si="108"/>
        <v>4</v>
      </c>
      <c r="F196">
        <f t="shared" si="110"/>
        <v>270</v>
      </c>
      <c r="G196">
        <f t="shared" ref="G196:G259" si="124">IF($A196=F196,1,IF(AND(G195&gt;0,G195&lt;30),G195+1,0))</f>
        <v>14</v>
      </c>
      <c r="H196">
        <f t="shared" si="97"/>
        <v>3</v>
      </c>
      <c r="I196">
        <f t="shared" si="111"/>
        <v>240</v>
      </c>
      <c r="J196">
        <f t="shared" ref="J196:J259" si="125">IF($A196=I196,1,IF(AND(J195&gt;0,J195&lt;30),J195+1,0))</f>
        <v>0</v>
      </c>
      <c r="K196">
        <f t="shared" si="98"/>
        <v>3</v>
      </c>
      <c r="L196">
        <f t="shared" si="112"/>
        <v>360</v>
      </c>
      <c r="M196">
        <f t="shared" ref="M196:M259" si="126">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7">IF($A196=T196,1,IF(AND(U195&gt;0,U195&lt;$AT$3),U195+1,0))</f>
        <v>0</v>
      </c>
      <c r="V196">
        <f t="shared" ref="V196:V259" si="128">MIN(IF(X195=1,V195+1,V195),blustcount)</f>
        <v>1</v>
      </c>
      <c r="W196">
        <f t="shared" si="115"/>
        <v>0</v>
      </c>
      <c r="X196">
        <f t="shared" si="104"/>
        <v>0</v>
      </c>
      <c r="Y196">
        <f t="shared" si="116"/>
        <v>0</v>
      </c>
      <c r="Z196">
        <f t="shared" si="117"/>
        <v>0</v>
      </c>
      <c r="AA196">
        <f t="shared" si="118"/>
        <v>0</v>
      </c>
      <c r="AB196" s="29">
        <f t="shared" si="119"/>
        <v>0.74178816089935007</v>
      </c>
      <c r="AC196" s="25">
        <f t="shared" ref="AC196:AC259" si="129">IF($A196&lt;0,0,$AN$43+IF($J196=0, 0, $AR$15*($J196&lt;=$AT$15)+$AR$22*($J196&lt;=$AT$22)+$AR$28*($J196&lt;=$AT$28)+$AR$29*($J196&lt;=$AT$29)-IF($AW$14, $AR$3*($J196&lt;=$AT$3)))+IF($U196=0,0,$AR$3))</f>
        <v>127.49804426656831</v>
      </c>
      <c r="AD196" s="29">
        <f t="shared" si="120"/>
        <v>1.0808524183153847</v>
      </c>
      <c r="AE196" s="25">
        <f t="shared" ref="AE196:AE259" si="130">IF($A196&lt;0,0,$AN$45+IF($P196&gt;0,$AN$37*$AL$37,0)+$S196*(60-IF(CharLevel&gt;60,(CharLevel-60)*2,0))*$AL$38+IF($J196=1,$AL$26*-25+IF($AL$39, 30, 0),0)+IF($M196=1,$AL$35*-10,0)+IF(AE195&gt;instcost,AE195-instcost,0))</f>
        <v>13.243681724743192</v>
      </c>
      <c r="AF196" s="25">
        <f t="shared" si="121"/>
        <v>13.243681724743192</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290.78918279358999</v>
      </c>
      <c r="AH196" s="25">
        <f t="shared" si="105"/>
        <v>0</v>
      </c>
      <c r="AI196" s="25">
        <f t="shared" si="106"/>
        <v>0</v>
      </c>
      <c r="AJ196" s="25">
        <f t="shared" si="107"/>
        <v>0</v>
      </c>
    </row>
    <row r="197" spans="1:36">
      <c r="A197">
        <f t="shared" si="122"/>
        <v>194</v>
      </c>
      <c r="B197">
        <f t="shared" ref="B197:B260" si="131">MIN(IF(D196=1,B196+1,B196),10)</f>
        <v>5</v>
      </c>
      <c r="C197">
        <f t="shared" si="109"/>
        <v>240</v>
      </c>
      <c r="D197">
        <f t="shared" si="123"/>
        <v>15</v>
      </c>
      <c r="E197">
        <f t="shared" si="108"/>
        <v>4</v>
      </c>
      <c r="F197">
        <f t="shared" si="110"/>
        <v>270</v>
      </c>
      <c r="G197">
        <f t="shared" si="124"/>
        <v>15</v>
      </c>
      <c r="H197">
        <f t="shared" ref="H197:H260" si="132">MIN(IF(J196=1,H196+1,H196),5)</f>
        <v>3</v>
      </c>
      <c r="I197">
        <f t="shared" si="111"/>
        <v>240</v>
      </c>
      <c r="J197">
        <f t="shared" si="125"/>
        <v>0</v>
      </c>
      <c r="K197">
        <f t="shared" ref="K197:K260" si="133">MIN(IF(M196=1,K196+1,K196),4)</f>
        <v>3</v>
      </c>
      <c r="L197">
        <f t="shared" si="112"/>
        <v>360</v>
      </c>
      <c r="M197">
        <f t="shared" si="126"/>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7"/>
        <v>0</v>
      </c>
      <c r="V197">
        <f t="shared" si="128"/>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9"/>
        <v>127.49804426656831</v>
      </c>
      <c r="AD197" s="29">
        <f t="shared" si="120"/>
        <v>1.0808524183153847</v>
      </c>
      <c r="AE197" s="25">
        <f t="shared" si="130"/>
        <v>13.243681724743192</v>
      </c>
      <c r="AF197" s="25">
        <f t="shared" si="121"/>
        <v>13.243681724743192</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290.78918279358999</v>
      </c>
      <c r="AH197" s="25">
        <f t="shared" ref="AH197:AH260" si="140">IF(AH196-$AF197&lt;0,0,AH196-$AF197)</f>
        <v>0</v>
      </c>
      <c r="AI197" s="25">
        <f t="shared" ref="AI197:AI260" si="141">IF(AI196-AF197&lt;0,0,AI196-AF197)</f>
        <v>0</v>
      </c>
      <c r="AJ197" s="25">
        <f t="shared" ref="AJ197:AJ260" si="142">IF(AJ196-$AF197&lt;0,0,AJ196-$AF197)</f>
        <v>0</v>
      </c>
    </row>
    <row r="198" spans="1:36">
      <c r="A198">
        <f t="shared" si="122"/>
        <v>195</v>
      </c>
      <c r="B198">
        <f t="shared" si="131"/>
        <v>5</v>
      </c>
      <c r="C198">
        <f t="shared" si="109"/>
        <v>240</v>
      </c>
      <c r="D198">
        <f t="shared" si="123"/>
        <v>16</v>
      </c>
      <c r="E198">
        <f t="shared" ref="E198:E261" si="143">MIN(IF(G197=1,E197+1,E197),6)</f>
        <v>4</v>
      </c>
      <c r="F198">
        <f t="shared" si="110"/>
        <v>270</v>
      </c>
      <c r="G198">
        <f t="shared" si="124"/>
        <v>16</v>
      </c>
      <c r="H198">
        <f t="shared" si="132"/>
        <v>3</v>
      </c>
      <c r="I198">
        <f t="shared" si="111"/>
        <v>240</v>
      </c>
      <c r="J198">
        <f t="shared" si="125"/>
        <v>0</v>
      </c>
      <c r="K198">
        <f t="shared" si="133"/>
        <v>3</v>
      </c>
      <c r="L198">
        <f t="shared" si="112"/>
        <v>360</v>
      </c>
      <c r="M198">
        <f t="shared" si="126"/>
        <v>16</v>
      </c>
      <c r="N198">
        <f t="shared" si="134"/>
        <v>2</v>
      </c>
      <c r="O198">
        <f t="shared" si="113"/>
        <v>300</v>
      </c>
      <c r="P198">
        <f t="shared" si="135"/>
        <v>0</v>
      </c>
      <c r="Q198">
        <f t="shared" si="136"/>
        <v>2</v>
      </c>
      <c r="R198">
        <f t="shared" si="114"/>
        <v>300</v>
      </c>
      <c r="S198">
        <f t="shared" si="137"/>
        <v>0</v>
      </c>
      <c r="T198">
        <f t="shared" si="138"/>
        <v>-1</v>
      </c>
      <c r="U198">
        <f t="shared" si="127"/>
        <v>0</v>
      </c>
      <c r="V198">
        <f t="shared" si="128"/>
        <v>1</v>
      </c>
      <c r="W198">
        <f t="shared" si="115"/>
        <v>0</v>
      </c>
      <c r="X198">
        <f t="shared" si="139"/>
        <v>0</v>
      </c>
      <c r="Y198">
        <f t="shared" si="116"/>
        <v>0</v>
      </c>
      <c r="Z198">
        <f t="shared" si="117"/>
        <v>0</v>
      </c>
      <c r="AA198">
        <f t="shared" si="118"/>
        <v>0</v>
      </c>
      <c r="AB198" s="29">
        <f t="shared" si="119"/>
        <v>0.74178816089935007</v>
      </c>
      <c r="AC198" s="25">
        <f t="shared" si="129"/>
        <v>127.49804426656831</v>
      </c>
      <c r="AD198" s="29">
        <f t="shared" si="120"/>
        <v>1.0808524183153847</v>
      </c>
      <c r="AE198" s="25">
        <f t="shared" si="130"/>
        <v>13.243681724743192</v>
      </c>
      <c r="AF198" s="25">
        <f t="shared" si="121"/>
        <v>13.243681724743192</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290.78918279358999</v>
      </c>
      <c r="AH198" s="25">
        <f t="shared" si="140"/>
        <v>0</v>
      </c>
      <c r="AI198" s="25">
        <f t="shared" si="141"/>
        <v>0</v>
      </c>
      <c r="AJ198" s="25">
        <f t="shared" si="142"/>
        <v>0</v>
      </c>
    </row>
    <row r="199" spans="1:36">
      <c r="A199">
        <f t="shared" si="122"/>
        <v>196</v>
      </c>
      <c r="B199">
        <f t="shared" si="131"/>
        <v>5</v>
      </c>
      <c r="C199">
        <f t="shared" si="109"/>
        <v>240</v>
      </c>
      <c r="D199">
        <f t="shared" si="123"/>
        <v>17</v>
      </c>
      <c r="E199">
        <f t="shared" si="143"/>
        <v>4</v>
      </c>
      <c r="F199">
        <f t="shared" si="110"/>
        <v>270</v>
      </c>
      <c r="G199">
        <f t="shared" si="124"/>
        <v>17</v>
      </c>
      <c r="H199">
        <f t="shared" si="132"/>
        <v>3</v>
      </c>
      <c r="I199">
        <f t="shared" si="111"/>
        <v>240</v>
      </c>
      <c r="J199">
        <f t="shared" si="125"/>
        <v>0</v>
      </c>
      <c r="K199">
        <f t="shared" si="133"/>
        <v>3</v>
      </c>
      <c r="L199">
        <f t="shared" si="112"/>
        <v>360</v>
      </c>
      <c r="M199">
        <f t="shared" si="126"/>
        <v>17</v>
      </c>
      <c r="N199">
        <f t="shared" si="134"/>
        <v>2</v>
      </c>
      <c r="O199">
        <f t="shared" si="113"/>
        <v>300</v>
      </c>
      <c r="P199">
        <f t="shared" si="135"/>
        <v>0</v>
      </c>
      <c r="Q199">
        <f t="shared" si="136"/>
        <v>2</v>
      </c>
      <c r="R199">
        <f t="shared" si="114"/>
        <v>300</v>
      </c>
      <c r="S199">
        <f t="shared" si="137"/>
        <v>0</v>
      </c>
      <c r="T199">
        <f t="shared" si="138"/>
        <v>-1</v>
      </c>
      <c r="U199">
        <f t="shared" si="127"/>
        <v>0</v>
      </c>
      <c r="V199">
        <f t="shared" si="128"/>
        <v>1</v>
      </c>
      <c r="W199">
        <f t="shared" si="115"/>
        <v>0</v>
      </c>
      <c r="X199">
        <f t="shared" si="139"/>
        <v>0</v>
      </c>
      <c r="Y199">
        <f t="shared" si="116"/>
        <v>0</v>
      </c>
      <c r="Z199">
        <f t="shared" si="117"/>
        <v>0</v>
      </c>
      <c r="AA199">
        <f t="shared" si="118"/>
        <v>0</v>
      </c>
      <c r="AB199" s="29">
        <f t="shared" si="119"/>
        <v>0.74178816089935007</v>
      </c>
      <c r="AC199" s="25">
        <f t="shared" si="129"/>
        <v>127.49804426656831</v>
      </c>
      <c r="AD199" s="29">
        <f t="shared" si="120"/>
        <v>1.0808524183153847</v>
      </c>
      <c r="AE199" s="25">
        <f t="shared" si="130"/>
        <v>13.243681724743192</v>
      </c>
      <c r="AF199" s="25">
        <f t="shared" si="121"/>
        <v>13.243681724743192</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290.78918279358999</v>
      </c>
      <c r="AH199" s="25">
        <f t="shared" si="140"/>
        <v>0</v>
      </c>
      <c r="AI199" s="25">
        <f t="shared" si="141"/>
        <v>0</v>
      </c>
      <c r="AJ199" s="25">
        <f t="shared" si="142"/>
        <v>0</v>
      </c>
    </row>
    <row r="200" spans="1:36">
      <c r="A200">
        <f t="shared" si="122"/>
        <v>197</v>
      </c>
      <c r="B200">
        <f t="shared" si="131"/>
        <v>5</v>
      </c>
      <c r="C200">
        <f t="shared" si="109"/>
        <v>240</v>
      </c>
      <c r="D200">
        <f t="shared" si="123"/>
        <v>18</v>
      </c>
      <c r="E200">
        <f t="shared" si="143"/>
        <v>4</v>
      </c>
      <c r="F200">
        <f t="shared" si="110"/>
        <v>270</v>
      </c>
      <c r="G200">
        <f t="shared" si="124"/>
        <v>18</v>
      </c>
      <c r="H200">
        <f t="shared" si="132"/>
        <v>3</v>
      </c>
      <c r="I200">
        <f t="shared" si="111"/>
        <v>240</v>
      </c>
      <c r="J200">
        <f t="shared" si="125"/>
        <v>0</v>
      </c>
      <c r="K200">
        <f t="shared" si="133"/>
        <v>3</v>
      </c>
      <c r="L200">
        <f t="shared" si="112"/>
        <v>360</v>
      </c>
      <c r="M200">
        <f t="shared" si="126"/>
        <v>18</v>
      </c>
      <c r="N200">
        <f t="shared" si="134"/>
        <v>2</v>
      </c>
      <c r="O200">
        <f t="shared" si="113"/>
        <v>300</v>
      </c>
      <c r="P200">
        <f t="shared" si="135"/>
        <v>0</v>
      </c>
      <c r="Q200">
        <f t="shared" si="136"/>
        <v>2</v>
      </c>
      <c r="R200">
        <f t="shared" si="114"/>
        <v>300</v>
      </c>
      <c r="S200">
        <f t="shared" si="137"/>
        <v>0</v>
      </c>
      <c r="T200">
        <f t="shared" si="138"/>
        <v>-1</v>
      </c>
      <c r="U200">
        <f t="shared" si="127"/>
        <v>0</v>
      </c>
      <c r="V200">
        <f t="shared" si="128"/>
        <v>1</v>
      </c>
      <c r="W200">
        <f t="shared" si="115"/>
        <v>0</v>
      </c>
      <c r="X200">
        <f t="shared" si="139"/>
        <v>0</v>
      </c>
      <c r="Y200">
        <f t="shared" si="116"/>
        <v>0</v>
      </c>
      <c r="Z200">
        <f t="shared" si="117"/>
        <v>0</v>
      </c>
      <c r="AA200">
        <f t="shared" si="118"/>
        <v>0</v>
      </c>
      <c r="AB200" s="29">
        <f t="shared" si="119"/>
        <v>0.74178816089935007</v>
      </c>
      <c r="AC200" s="25">
        <f t="shared" si="129"/>
        <v>127.49804426656831</v>
      </c>
      <c r="AD200" s="29">
        <f t="shared" si="120"/>
        <v>1.0808524183153847</v>
      </c>
      <c r="AE200" s="25">
        <f t="shared" si="130"/>
        <v>13.243681724743192</v>
      </c>
      <c r="AF200" s="25">
        <f t="shared" si="121"/>
        <v>13.243681724743192</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290.78918279358999</v>
      </c>
      <c r="AH200" s="25">
        <f t="shared" si="140"/>
        <v>0</v>
      </c>
      <c r="AI200" s="25">
        <f t="shared" si="141"/>
        <v>0</v>
      </c>
      <c r="AJ200" s="25">
        <f t="shared" si="142"/>
        <v>0</v>
      </c>
    </row>
    <row r="201" spans="1:36">
      <c r="A201">
        <f t="shared" si="122"/>
        <v>198</v>
      </c>
      <c r="B201">
        <f t="shared" si="131"/>
        <v>5</v>
      </c>
      <c r="C201">
        <f t="shared" si="109"/>
        <v>240</v>
      </c>
      <c r="D201">
        <f t="shared" si="123"/>
        <v>19</v>
      </c>
      <c r="E201">
        <f t="shared" si="143"/>
        <v>4</v>
      </c>
      <c r="F201">
        <f t="shared" si="110"/>
        <v>270</v>
      </c>
      <c r="G201">
        <f t="shared" si="124"/>
        <v>19</v>
      </c>
      <c r="H201">
        <f t="shared" si="132"/>
        <v>3</v>
      </c>
      <c r="I201">
        <f t="shared" si="111"/>
        <v>240</v>
      </c>
      <c r="J201">
        <f t="shared" si="125"/>
        <v>0</v>
      </c>
      <c r="K201">
        <f t="shared" si="133"/>
        <v>3</v>
      </c>
      <c r="L201">
        <f t="shared" si="112"/>
        <v>360</v>
      </c>
      <c r="M201">
        <f t="shared" si="126"/>
        <v>19</v>
      </c>
      <c r="N201">
        <f t="shared" si="134"/>
        <v>2</v>
      </c>
      <c r="O201">
        <f t="shared" si="113"/>
        <v>300</v>
      </c>
      <c r="P201">
        <f t="shared" si="135"/>
        <v>0</v>
      </c>
      <c r="Q201">
        <f t="shared" si="136"/>
        <v>2</v>
      </c>
      <c r="R201">
        <f t="shared" si="114"/>
        <v>300</v>
      </c>
      <c r="S201">
        <f t="shared" si="137"/>
        <v>0</v>
      </c>
      <c r="T201">
        <f t="shared" si="138"/>
        <v>-1</v>
      </c>
      <c r="U201">
        <f t="shared" si="127"/>
        <v>0</v>
      </c>
      <c r="V201">
        <f t="shared" si="128"/>
        <v>1</v>
      </c>
      <c r="W201">
        <f t="shared" si="115"/>
        <v>0</v>
      </c>
      <c r="X201">
        <f t="shared" si="139"/>
        <v>0</v>
      </c>
      <c r="Y201">
        <f t="shared" si="116"/>
        <v>0</v>
      </c>
      <c r="Z201">
        <f t="shared" si="117"/>
        <v>0</v>
      </c>
      <c r="AA201">
        <f t="shared" si="118"/>
        <v>0</v>
      </c>
      <c r="AB201" s="29">
        <f t="shared" si="119"/>
        <v>0.74178816089935007</v>
      </c>
      <c r="AC201" s="25">
        <f t="shared" si="129"/>
        <v>127.49804426656831</v>
      </c>
      <c r="AD201" s="29">
        <f t="shared" si="120"/>
        <v>1.0808524183153847</v>
      </c>
      <c r="AE201" s="25">
        <f t="shared" si="130"/>
        <v>13.243681724743192</v>
      </c>
      <c r="AF201" s="25">
        <f t="shared" si="121"/>
        <v>13.243681724743192</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290.78918279358999</v>
      </c>
      <c r="AH201" s="25">
        <f t="shared" si="140"/>
        <v>0</v>
      </c>
      <c r="AI201" s="25">
        <f t="shared" si="141"/>
        <v>0</v>
      </c>
      <c r="AJ201" s="25">
        <f t="shared" si="142"/>
        <v>0</v>
      </c>
    </row>
    <row r="202" spans="1:36">
      <c r="A202">
        <f t="shared" si="122"/>
        <v>199</v>
      </c>
      <c r="B202">
        <f t="shared" si="131"/>
        <v>5</v>
      </c>
      <c r="C202">
        <f t="shared" si="109"/>
        <v>240</v>
      </c>
      <c r="D202">
        <f t="shared" si="123"/>
        <v>20</v>
      </c>
      <c r="E202">
        <f t="shared" si="143"/>
        <v>4</v>
      </c>
      <c r="F202">
        <f t="shared" si="110"/>
        <v>270</v>
      </c>
      <c r="G202">
        <f t="shared" si="124"/>
        <v>20</v>
      </c>
      <c r="H202">
        <f t="shared" si="132"/>
        <v>3</v>
      </c>
      <c r="I202">
        <f t="shared" si="111"/>
        <v>240</v>
      </c>
      <c r="J202">
        <f t="shared" si="125"/>
        <v>0</v>
      </c>
      <c r="K202">
        <f t="shared" si="133"/>
        <v>3</v>
      </c>
      <c r="L202">
        <f t="shared" si="112"/>
        <v>360</v>
      </c>
      <c r="M202">
        <f t="shared" si="126"/>
        <v>20</v>
      </c>
      <c r="N202">
        <f t="shared" si="134"/>
        <v>2</v>
      </c>
      <c r="O202">
        <f t="shared" si="113"/>
        <v>300</v>
      </c>
      <c r="P202">
        <f t="shared" si="135"/>
        <v>0</v>
      </c>
      <c r="Q202">
        <f t="shared" si="136"/>
        <v>2</v>
      </c>
      <c r="R202">
        <f t="shared" si="114"/>
        <v>300</v>
      </c>
      <c r="S202">
        <f t="shared" si="137"/>
        <v>0</v>
      </c>
      <c r="T202">
        <f t="shared" si="138"/>
        <v>-1</v>
      </c>
      <c r="U202">
        <f t="shared" si="127"/>
        <v>0</v>
      </c>
      <c r="V202">
        <f t="shared" si="128"/>
        <v>1</v>
      </c>
      <c r="W202">
        <f t="shared" si="115"/>
        <v>0</v>
      </c>
      <c r="X202">
        <f t="shared" si="139"/>
        <v>0</v>
      </c>
      <c r="Y202">
        <f t="shared" si="116"/>
        <v>0</v>
      </c>
      <c r="Z202">
        <f t="shared" si="117"/>
        <v>0</v>
      </c>
      <c r="AA202">
        <f t="shared" si="118"/>
        <v>0</v>
      </c>
      <c r="AB202" s="29">
        <f t="shared" si="119"/>
        <v>0.74178816089935007</v>
      </c>
      <c r="AC202" s="25">
        <f t="shared" si="129"/>
        <v>127.49804426656831</v>
      </c>
      <c r="AD202" s="29">
        <f t="shared" si="120"/>
        <v>1.0808524183153847</v>
      </c>
      <c r="AE202" s="25">
        <f t="shared" si="130"/>
        <v>13.243681724743192</v>
      </c>
      <c r="AF202" s="25">
        <f t="shared" si="121"/>
        <v>13.243681724743192</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290.78918279358999</v>
      </c>
      <c r="AH202" s="25">
        <f t="shared" si="140"/>
        <v>0</v>
      </c>
      <c r="AI202" s="25">
        <f t="shared" si="141"/>
        <v>0</v>
      </c>
      <c r="AJ202" s="25">
        <f t="shared" si="142"/>
        <v>0</v>
      </c>
    </row>
    <row r="203" spans="1:36">
      <c r="A203">
        <f t="shared" si="122"/>
        <v>200</v>
      </c>
      <c r="B203">
        <f t="shared" si="131"/>
        <v>5</v>
      </c>
      <c r="C203">
        <f t="shared" si="109"/>
        <v>240</v>
      </c>
      <c r="D203">
        <f t="shared" si="123"/>
        <v>21</v>
      </c>
      <c r="E203">
        <f t="shared" si="143"/>
        <v>4</v>
      </c>
      <c r="F203">
        <f t="shared" si="110"/>
        <v>270</v>
      </c>
      <c r="G203">
        <f t="shared" si="124"/>
        <v>21</v>
      </c>
      <c r="H203">
        <f t="shared" si="132"/>
        <v>3</v>
      </c>
      <c r="I203">
        <f t="shared" si="111"/>
        <v>240</v>
      </c>
      <c r="J203">
        <f t="shared" si="125"/>
        <v>0</v>
      </c>
      <c r="K203">
        <f t="shared" si="133"/>
        <v>3</v>
      </c>
      <c r="L203">
        <f t="shared" si="112"/>
        <v>360</v>
      </c>
      <c r="M203">
        <f t="shared" si="126"/>
        <v>21</v>
      </c>
      <c r="N203">
        <f t="shared" si="134"/>
        <v>2</v>
      </c>
      <c r="O203">
        <f t="shared" si="113"/>
        <v>300</v>
      </c>
      <c r="P203">
        <f t="shared" si="135"/>
        <v>0</v>
      </c>
      <c r="Q203">
        <f t="shared" si="136"/>
        <v>2</v>
      </c>
      <c r="R203">
        <f t="shared" si="114"/>
        <v>300</v>
      </c>
      <c r="S203">
        <f t="shared" si="137"/>
        <v>0</v>
      </c>
      <c r="T203">
        <f t="shared" si="138"/>
        <v>-1</v>
      </c>
      <c r="U203">
        <f t="shared" si="127"/>
        <v>0</v>
      </c>
      <c r="V203">
        <f t="shared" si="128"/>
        <v>1</v>
      </c>
      <c r="W203">
        <f t="shared" si="115"/>
        <v>0</v>
      </c>
      <c r="X203">
        <f t="shared" si="139"/>
        <v>0</v>
      </c>
      <c r="Y203">
        <f t="shared" si="116"/>
        <v>0</v>
      </c>
      <c r="Z203">
        <f t="shared" si="117"/>
        <v>0</v>
      </c>
      <c r="AA203">
        <f t="shared" si="118"/>
        <v>0</v>
      </c>
      <c r="AB203" s="29">
        <f t="shared" si="119"/>
        <v>0.74178816089935007</v>
      </c>
      <c r="AC203" s="25">
        <f t="shared" si="129"/>
        <v>127.49804426656831</v>
      </c>
      <c r="AD203" s="29">
        <f t="shared" si="120"/>
        <v>1.0808524183153847</v>
      </c>
      <c r="AE203" s="25">
        <f t="shared" si="130"/>
        <v>13.243681724743192</v>
      </c>
      <c r="AF203" s="25">
        <f t="shared" si="121"/>
        <v>13.243681724743192</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290.78918279358999</v>
      </c>
      <c r="AH203" s="25">
        <f t="shared" si="140"/>
        <v>0</v>
      </c>
      <c r="AI203" s="25">
        <f t="shared" si="141"/>
        <v>0</v>
      </c>
      <c r="AJ203" s="25">
        <f t="shared" si="142"/>
        <v>0</v>
      </c>
    </row>
    <row r="204" spans="1:36">
      <c r="A204">
        <f t="shared" si="122"/>
        <v>201</v>
      </c>
      <c r="B204">
        <f t="shared" si="131"/>
        <v>5</v>
      </c>
      <c r="C204">
        <f t="shared" si="109"/>
        <v>240</v>
      </c>
      <c r="D204">
        <f t="shared" si="123"/>
        <v>22</v>
      </c>
      <c r="E204">
        <f t="shared" si="143"/>
        <v>4</v>
      </c>
      <c r="F204">
        <f t="shared" si="110"/>
        <v>270</v>
      </c>
      <c r="G204">
        <f t="shared" si="124"/>
        <v>22</v>
      </c>
      <c r="H204">
        <f t="shared" si="132"/>
        <v>3</v>
      </c>
      <c r="I204">
        <f t="shared" si="111"/>
        <v>240</v>
      </c>
      <c r="J204">
        <f t="shared" si="125"/>
        <v>0</v>
      </c>
      <c r="K204">
        <f t="shared" si="133"/>
        <v>3</v>
      </c>
      <c r="L204">
        <f t="shared" si="112"/>
        <v>360</v>
      </c>
      <c r="M204">
        <f t="shared" si="126"/>
        <v>22</v>
      </c>
      <c r="N204">
        <f t="shared" si="134"/>
        <v>2</v>
      </c>
      <c r="O204">
        <f t="shared" si="113"/>
        <v>300</v>
      </c>
      <c r="P204">
        <f t="shared" si="135"/>
        <v>0</v>
      </c>
      <c r="Q204">
        <f t="shared" si="136"/>
        <v>2</v>
      </c>
      <c r="R204">
        <f t="shared" si="114"/>
        <v>300</v>
      </c>
      <c r="S204">
        <f t="shared" si="137"/>
        <v>0</v>
      </c>
      <c r="T204">
        <f t="shared" si="138"/>
        <v>-1</v>
      </c>
      <c r="U204">
        <f t="shared" si="127"/>
        <v>0</v>
      </c>
      <c r="V204">
        <f t="shared" si="128"/>
        <v>1</v>
      </c>
      <c r="W204">
        <f t="shared" si="115"/>
        <v>0</v>
      </c>
      <c r="X204">
        <f t="shared" si="139"/>
        <v>0</v>
      </c>
      <c r="Y204">
        <f t="shared" si="116"/>
        <v>0</v>
      </c>
      <c r="Z204">
        <f t="shared" si="117"/>
        <v>0</v>
      </c>
      <c r="AA204">
        <f t="shared" si="118"/>
        <v>0</v>
      </c>
      <c r="AB204" s="29">
        <f t="shared" si="119"/>
        <v>0.74178816089935007</v>
      </c>
      <c r="AC204" s="25">
        <f t="shared" si="129"/>
        <v>127.49804426656831</v>
      </c>
      <c r="AD204" s="29">
        <f t="shared" si="120"/>
        <v>1.0808524183153847</v>
      </c>
      <c r="AE204" s="25">
        <f t="shared" si="130"/>
        <v>13.243681724743192</v>
      </c>
      <c r="AF204" s="25">
        <f t="shared" si="121"/>
        <v>13.243681724743192</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290.78918279358999</v>
      </c>
      <c r="AH204" s="25">
        <f t="shared" si="140"/>
        <v>0</v>
      </c>
      <c r="AI204" s="25">
        <f t="shared" si="141"/>
        <v>0</v>
      </c>
      <c r="AJ204" s="25">
        <f t="shared" si="142"/>
        <v>0</v>
      </c>
    </row>
    <row r="205" spans="1:36">
      <c r="A205">
        <f t="shared" si="122"/>
        <v>202</v>
      </c>
      <c r="B205">
        <f t="shared" si="131"/>
        <v>5</v>
      </c>
      <c r="C205">
        <f t="shared" si="109"/>
        <v>240</v>
      </c>
      <c r="D205">
        <f t="shared" si="123"/>
        <v>23</v>
      </c>
      <c r="E205">
        <f t="shared" si="143"/>
        <v>4</v>
      </c>
      <c r="F205">
        <f t="shared" si="110"/>
        <v>270</v>
      </c>
      <c r="G205">
        <f t="shared" si="124"/>
        <v>23</v>
      </c>
      <c r="H205">
        <f t="shared" si="132"/>
        <v>3</v>
      </c>
      <c r="I205">
        <f t="shared" si="111"/>
        <v>240</v>
      </c>
      <c r="J205">
        <f t="shared" si="125"/>
        <v>0</v>
      </c>
      <c r="K205">
        <f t="shared" si="133"/>
        <v>3</v>
      </c>
      <c r="L205">
        <f t="shared" si="112"/>
        <v>360</v>
      </c>
      <c r="M205">
        <f t="shared" si="126"/>
        <v>23</v>
      </c>
      <c r="N205">
        <f t="shared" si="134"/>
        <v>2</v>
      </c>
      <c r="O205">
        <f t="shared" si="113"/>
        <v>300</v>
      </c>
      <c r="P205">
        <f t="shared" si="135"/>
        <v>0</v>
      </c>
      <c r="Q205">
        <f t="shared" si="136"/>
        <v>2</v>
      </c>
      <c r="R205">
        <f t="shared" si="114"/>
        <v>300</v>
      </c>
      <c r="S205">
        <f t="shared" si="137"/>
        <v>0</v>
      </c>
      <c r="T205">
        <f t="shared" si="138"/>
        <v>-1</v>
      </c>
      <c r="U205">
        <f t="shared" si="127"/>
        <v>0</v>
      </c>
      <c r="V205">
        <f t="shared" si="128"/>
        <v>1</v>
      </c>
      <c r="W205">
        <f t="shared" si="115"/>
        <v>0</v>
      </c>
      <c r="X205">
        <f t="shared" si="139"/>
        <v>0</v>
      </c>
      <c r="Y205">
        <f t="shared" si="116"/>
        <v>0</v>
      </c>
      <c r="Z205">
        <f t="shared" si="117"/>
        <v>0</v>
      </c>
      <c r="AA205">
        <f t="shared" si="118"/>
        <v>0</v>
      </c>
      <c r="AB205" s="29">
        <f t="shared" si="119"/>
        <v>0.74178816089935007</v>
      </c>
      <c r="AC205" s="25">
        <f t="shared" si="129"/>
        <v>127.49804426656831</v>
      </c>
      <c r="AD205" s="29">
        <f t="shared" si="120"/>
        <v>1.0808524183153847</v>
      </c>
      <c r="AE205" s="25">
        <f t="shared" si="130"/>
        <v>13.243681724743192</v>
      </c>
      <c r="AF205" s="25">
        <f t="shared" si="121"/>
        <v>13.243681724743192</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290.78918279358999</v>
      </c>
      <c r="AH205" s="25">
        <f t="shared" si="140"/>
        <v>0</v>
      </c>
      <c r="AI205" s="25">
        <f t="shared" si="141"/>
        <v>0</v>
      </c>
      <c r="AJ205" s="25">
        <f t="shared" si="142"/>
        <v>0</v>
      </c>
    </row>
    <row r="206" spans="1:36">
      <c r="A206">
        <f t="shared" si="122"/>
        <v>203</v>
      </c>
      <c r="B206">
        <f t="shared" si="131"/>
        <v>5</v>
      </c>
      <c r="C206">
        <f t="shared" si="109"/>
        <v>240</v>
      </c>
      <c r="D206">
        <f t="shared" si="123"/>
        <v>24</v>
      </c>
      <c r="E206">
        <f t="shared" si="143"/>
        <v>4</v>
      </c>
      <c r="F206">
        <f t="shared" si="110"/>
        <v>270</v>
      </c>
      <c r="G206">
        <f t="shared" si="124"/>
        <v>24</v>
      </c>
      <c r="H206">
        <f t="shared" si="132"/>
        <v>3</v>
      </c>
      <c r="I206">
        <f t="shared" si="111"/>
        <v>240</v>
      </c>
      <c r="J206">
        <f t="shared" si="125"/>
        <v>0</v>
      </c>
      <c r="K206">
        <f t="shared" si="133"/>
        <v>3</v>
      </c>
      <c r="L206">
        <f t="shared" si="112"/>
        <v>360</v>
      </c>
      <c r="M206">
        <f t="shared" si="126"/>
        <v>24</v>
      </c>
      <c r="N206">
        <f t="shared" si="134"/>
        <v>2</v>
      </c>
      <c r="O206">
        <f t="shared" si="113"/>
        <v>300</v>
      </c>
      <c r="P206">
        <f t="shared" si="135"/>
        <v>0</v>
      </c>
      <c r="Q206">
        <f t="shared" si="136"/>
        <v>2</v>
      </c>
      <c r="R206">
        <f t="shared" si="114"/>
        <v>300</v>
      </c>
      <c r="S206">
        <f t="shared" si="137"/>
        <v>0</v>
      </c>
      <c r="T206">
        <f t="shared" si="138"/>
        <v>-1</v>
      </c>
      <c r="U206">
        <f t="shared" si="127"/>
        <v>0</v>
      </c>
      <c r="V206">
        <f t="shared" si="128"/>
        <v>1</v>
      </c>
      <c r="W206">
        <f t="shared" si="115"/>
        <v>0</v>
      </c>
      <c r="X206">
        <f t="shared" si="139"/>
        <v>0</v>
      </c>
      <c r="Y206">
        <f t="shared" si="116"/>
        <v>0</v>
      </c>
      <c r="Z206">
        <f t="shared" si="117"/>
        <v>0</v>
      </c>
      <c r="AA206">
        <f t="shared" si="118"/>
        <v>0</v>
      </c>
      <c r="AB206" s="29">
        <f t="shared" si="119"/>
        <v>0.74178816089935007</v>
      </c>
      <c r="AC206" s="25">
        <f t="shared" si="129"/>
        <v>127.49804426656831</v>
      </c>
      <c r="AD206" s="29">
        <f t="shared" si="120"/>
        <v>1.0808524183153847</v>
      </c>
      <c r="AE206" s="25">
        <f t="shared" si="130"/>
        <v>13.243681724743192</v>
      </c>
      <c r="AF206" s="25">
        <f t="shared" si="121"/>
        <v>13.243681724743192</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290.78918279358999</v>
      </c>
      <c r="AH206" s="25">
        <f t="shared" si="140"/>
        <v>0</v>
      </c>
      <c r="AI206" s="25">
        <f t="shared" si="141"/>
        <v>0</v>
      </c>
      <c r="AJ206" s="25">
        <f t="shared" si="142"/>
        <v>0</v>
      </c>
    </row>
    <row r="207" spans="1:36">
      <c r="A207">
        <f t="shared" si="122"/>
        <v>204</v>
      </c>
      <c r="B207">
        <f t="shared" si="131"/>
        <v>5</v>
      </c>
      <c r="C207">
        <f t="shared" si="109"/>
        <v>240</v>
      </c>
      <c r="D207">
        <f t="shared" si="123"/>
        <v>25</v>
      </c>
      <c r="E207">
        <f t="shared" si="143"/>
        <v>4</v>
      </c>
      <c r="F207">
        <f t="shared" si="110"/>
        <v>270</v>
      </c>
      <c r="G207">
        <f t="shared" si="124"/>
        <v>25</v>
      </c>
      <c r="H207">
        <f t="shared" si="132"/>
        <v>3</v>
      </c>
      <c r="I207">
        <f t="shared" si="111"/>
        <v>240</v>
      </c>
      <c r="J207">
        <f t="shared" si="125"/>
        <v>0</v>
      </c>
      <c r="K207">
        <f t="shared" si="133"/>
        <v>3</v>
      </c>
      <c r="L207">
        <f t="shared" si="112"/>
        <v>360</v>
      </c>
      <c r="M207">
        <f t="shared" si="126"/>
        <v>25</v>
      </c>
      <c r="N207">
        <f t="shared" si="134"/>
        <v>2</v>
      </c>
      <c r="O207">
        <f t="shared" si="113"/>
        <v>300</v>
      </c>
      <c r="P207">
        <f t="shared" si="135"/>
        <v>0</v>
      </c>
      <c r="Q207">
        <f t="shared" si="136"/>
        <v>2</v>
      </c>
      <c r="R207">
        <f t="shared" si="114"/>
        <v>300</v>
      </c>
      <c r="S207">
        <f t="shared" si="137"/>
        <v>0</v>
      </c>
      <c r="T207">
        <f t="shared" si="138"/>
        <v>-1</v>
      </c>
      <c r="U207">
        <f t="shared" si="127"/>
        <v>0</v>
      </c>
      <c r="V207">
        <f t="shared" si="128"/>
        <v>1</v>
      </c>
      <c r="W207">
        <f t="shared" si="115"/>
        <v>0</v>
      </c>
      <c r="X207">
        <f t="shared" si="139"/>
        <v>0</v>
      </c>
      <c r="Y207">
        <f t="shared" si="116"/>
        <v>0</v>
      </c>
      <c r="Z207">
        <f t="shared" si="117"/>
        <v>0</v>
      </c>
      <c r="AA207">
        <f t="shared" si="118"/>
        <v>0</v>
      </c>
      <c r="AB207" s="29">
        <f t="shared" si="119"/>
        <v>0.74178816089935007</v>
      </c>
      <c r="AC207" s="25">
        <f t="shared" si="129"/>
        <v>127.49804426656831</v>
      </c>
      <c r="AD207" s="29">
        <f t="shared" si="120"/>
        <v>1.0808524183153847</v>
      </c>
      <c r="AE207" s="25">
        <f t="shared" si="130"/>
        <v>13.243681724743192</v>
      </c>
      <c r="AF207" s="25">
        <f t="shared" si="121"/>
        <v>13.243681724743192</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290.78918279358999</v>
      </c>
      <c r="AH207" s="25">
        <f t="shared" si="140"/>
        <v>0</v>
      </c>
      <c r="AI207" s="25">
        <f t="shared" si="141"/>
        <v>0</v>
      </c>
      <c r="AJ207" s="25">
        <f t="shared" si="142"/>
        <v>0</v>
      </c>
    </row>
    <row r="208" spans="1:36">
      <c r="A208">
        <f t="shared" si="122"/>
        <v>205</v>
      </c>
      <c r="B208">
        <f t="shared" si="131"/>
        <v>5</v>
      </c>
      <c r="C208">
        <f t="shared" si="109"/>
        <v>240</v>
      </c>
      <c r="D208">
        <f t="shared" si="123"/>
        <v>26</v>
      </c>
      <c r="E208">
        <f t="shared" si="143"/>
        <v>4</v>
      </c>
      <c r="F208">
        <f t="shared" si="110"/>
        <v>270</v>
      </c>
      <c r="G208">
        <f t="shared" si="124"/>
        <v>26</v>
      </c>
      <c r="H208">
        <f t="shared" si="132"/>
        <v>3</v>
      </c>
      <c r="I208">
        <f t="shared" si="111"/>
        <v>240</v>
      </c>
      <c r="J208">
        <f t="shared" si="125"/>
        <v>0</v>
      </c>
      <c r="K208">
        <f t="shared" si="133"/>
        <v>3</v>
      </c>
      <c r="L208">
        <f t="shared" si="112"/>
        <v>360</v>
      </c>
      <c r="M208">
        <f t="shared" si="126"/>
        <v>26</v>
      </c>
      <c r="N208">
        <f t="shared" si="134"/>
        <v>2</v>
      </c>
      <c r="O208">
        <f t="shared" si="113"/>
        <v>300</v>
      </c>
      <c r="P208">
        <f t="shared" si="135"/>
        <v>0</v>
      </c>
      <c r="Q208">
        <f t="shared" si="136"/>
        <v>2</v>
      </c>
      <c r="R208">
        <f t="shared" si="114"/>
        <v>300</v>
      </c>
      <c r="S208">
        <f t="shared" si="137"/>
        <v>0</v>
      </c>
      <c r="T208">
        <f t="shared" si="138"/>
        <v>-1</v>
      </c>
      <c r="U208">
        <f t="shared" si="127"/>
        <v>0</v>
      </c>
      <c r="V208">
        <f t="shared" si="128"/>
        <v>1</v>
      </c>
      <c r="W208">
        <f t="shared" si="115"/>
        <v>0</v>
      </c>
      <c r="X208">
        <f t="shared" si="139"/>
        <v>0</v>
      </c>
      <c r="Y208">
        <f t="shared" si="116"/>
        <v>0</v>
      </c>
      <c r="Z208">
        <f t="shared" si="117"/>
        <v>0</v>
      </c>
      <c r="AA208">
        <f t="shared" si="118"/>
        <v>0</v>
      </c>
      <c r="AB208" s="29">
        <f t="shared" si="119"/>
        <v>0.74178816089935007</v>
      </c>
      <c r="AC208" s="25">
        <f t="shared" si="129"/>
        <v>127.49804426656831</v>
      </c>
      <c r="AD208" s="29">
        <f t="shared" si="120"/>
        <v>1.0808524183153847</v>
      </c>
      <c r="AE208" s="25">
        <f t="shared" si="130"/>
        <v>13.243681724743192</v>
      </c>
      <c r="AF208" s="25">
        <f t="shared" si="121"/>
        <v>13.243681724743192</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290.78918279358999</v>
      </c>
      <c r="AH208" s="25">
        <f t="shared" si="140"/>
        <v>0</v>
      </c>
      <c r="AI208" s="25">
        <f t="shared" si="141"/>
        <v>0</v>
      </c>
      <c r="AJ208" s="25">
        <f t="shared" si="142"/>
        <v>0</v>
      </c>
    </row>
    <row r="209" spans="1:36">
      <c r="A209">
        <f t="shared" si="122"/>
        <v>206</v>
      </c>
      <c r="B209">
        <f t="shared" si="131"/>
        <v>5</v>
      </c>
      <c r="C209">
        <f t="shared" si="109"/>
        <v>240</v>
      </c>
      <c r="D209">
        <f t="shared" si="123"/>
        <v>27</v>
      </c>
      <c r="E209">
        <f t="shared" si="143"/>
        <v>4</v>
      </c>
      <c r="F209">
        <f t="shared" si="110"/>
        <v>270</v>
      </c>
      <c r="G209">
        <f t="shared" si="124"/>
        <v>27</v>
      </c>
      <c r="H209">
        <f t="shared" si="132"/>
        <v>3</v>
      </c>
      <c r="I209">
        <f t="shared" si="111"/>
        <v>240</v>
      </c>
      <c r="J209">
        <f t="shared" si="125"/>
        <v>0</v>
      </c>
      <c r="K209">
        <f t="shared" si="133"/>
        <v>3</v>
      </c>
      <c r="L209">
        <f t="shared" si="112"/>
        <v>360</v>
      </c>
      <c r="M209">
        <f t="shared" si="126"/>
        <v>27</v>
      </c>
      <c r="N209">
        <f t="shared" si="134"/>
        <v>2</v>
      </c>
      <c r="O209">
        <f t="shared" si="113"/>
        <v>300</v>
      </c>
      <c r="P209">
        <f t="shared" si="135"/>
        <v>0</v>
      </c>
      <c r="Q209">
        <f t="shared" si="136"/>
        <v>2</v>
      </c>
      <c r="R209">
        <f t="shared" si="114"/>
        <v>300</v>
      </c>
      <c r="S209">
        <f t="shared" si="137"/>
        <v>0</v>
      </c>
      <c r="T209">
        <f t="shared" si="138"/>
        <v>-1</v>
      </c>
      <c r="U209">
        <f t="shared" si="127"/>
        <v>0</v>
      </c>
      <c r="V209">
        <f t="shared" si="128"/>
        <v>1</v>
      </c>
      <c r="W209">
        <f t="shared" si="115"/>
        <v>0</v>
      </c>
      <c r="X209">
        <f t="shared" si="139"/>
        <v>0</v>
      </c>
      <c r="Y209">
        <f t="shared" si="116"/>
        <v>0</v>
      </c>
      <c r="Z209">
        <f t="shared" si="117"/>
        <v>0</v>
      </c>
      <c r="AA209">
        <f t="shared" si="118"/>
        <v>0</v>
      </c>
      <c r="AB209" s="29">
        <f t="shared" si="119"/>
        <v>0.74178816089935007</v>
      </c>
      <c r="AC209" s="25">
        <f t="shared" si="129"/>
        <v>127.49804426656831</v>
      </c>
      <c r="AD209" s="29">
        <f t="shared" si="120"/>
        <v>1.0808524183153847</v>
      </c>
      <c r="AE209" s="25">
        <f t="shared" si="130"/>
        <v>13.243681724743192</v>
      </c>
      <c r="AF209" s="25">
        <f t="shared" si="121"/>
        <v>13.243681724743192</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290.78918279358999</v>
      </c>
      <c r="AH209" s="25">
        <f t="shared" si="140"/>
        <v>0</v>
      </c>
      <c r="AI209" s="25">
        <f t="shared" si="141"/>
        <v>0</v>
      </c>
      <c r="AJ209" s="25">
        <f t="shared" si="142"/>
        <v>0</v>
      </c>
    </row>
    <row r="210" spans="1:36">
      <c r="A210">
        <f t="shared" si="122"/>
        <v>207</v>
      </c>
      <c r="B210">
        <f t="shared" si="131"/>
        <v>5</v>
      </c>
      <c r="C210">
        <f t="shared" si="109"/>
        <v>240</v>
      </c>
      <c r="D210">
        <f t="shared" si="123"/>
        <v>28</v>
      </c>
      <c r="E210">
        <f t="shared" si="143"/>
        <v>4</v>
      </c>
      <c r="F210">
        <f t="shared" si="110"/>
        <v>270</v>
      </c>
      <c r="G210">
        <f t="shared" si="124"/>
        <v>28</v>
      </c>
      <c r="H210">
        <f t="shared" si="132"/>
        <v>3</v>
      </c>
      <c r="I210">
        <f t="shared" si="111"/>
        <v>240</v>
      </c>
      <c r="J210">
        <f t="shared" si="125"/>
        <v>0</v>
      </c>
      <c r="K210">
        <f t="shared" si="133"/>
        <v>3</v>
      </c>
      <c r="L210">
        <f t="shared" si="112"/>
        <v>360</v>
      </c>
      <c r="M210">
        <f t="shared" si="126"/>
        <v>28</v>
      </c>
      <c r="N210">
        <f t="shared" si="134"/>
        <v>2</v>
      </c>
      <c r="O210">
        <f t="shared" si="113"/>
        <v>300</v>
      </c>
      <c r="P210">
        <f t="shared" si="135"/>
        <v>0</v>
      </c>
      <c r="Q210">
        <f t="shared" si="136"/>
        <v>2</v>
      </c>
      <c r="R210">
        <f t="shared" si="114"/>
        <v>300</v>
      </c>
      <c r="S210">
        <f t="shared" si="137"/>
        <v>0</v>
      </c>
      <c r="T210">
        <f t="shared" si="138"/>
        <v>-1</v>
      </c>
      <c r="U210">
        <f t="shared" si="127"/>
        <v>0</v>
      </c>
      <c r="V210">
        <f t="shared" si="128"/>
        <v>1</v>
      </c>
      <c r="W210">
        <f t="shared" si="115"/>
        <v>0</v>
      </c>
      <c r="X210">
        <f t="shared" si="139"/>
        <v>0</v>
      </c>
      <c r="Y210">
        <f t="shared" si="116"/>
        <v>0</v>
      </c>
      <c r="Z210">
        <f t="shared" si="117"/>
        <v>0</v>
      </c>
      <c r="AA210">
        <f t="shared" si="118"/>
        <v>0</v>
      </c>
      <c r="AB210" s="29">
        <f t="shared" si="119"/>
        <v>0.74178816089935007</v>
      </c>
      <c r="AC210" s="25">
        <f t="shared" si="129"/>
        <v>127.49804426656831</v>
      </c>
      <c r="AD210" s="29">
        <f t="shared" si="120"/>
        <v>1.0808524183153847</v>
      </c>
      <c r="AE210" s="25">
        <f t="shared" si="130"/>
        <v>13.243681724743192</v>
      </c>
      <c r="AF210" s="25">
        <f t="shared" si="121"/>
        <v>13.243681724743192</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290.78918279358999</v>
      </c>
      <c r="AH210" s="25">
        <f t="shared" si="140"/>
        <v>0</v>
      </c>
      <c r="AI210" s="25">
        <f t="shared" si="141"/>
        <v>0</v>
      </c>
      <c r="AJ210" s="25">
        <f t="shared" si="142"/>
        <v>0</v>
      </c>
    </row>
    <row r="211" spans="1:36">
      <c r="A211">
        <f t="shared" si="122"/>
        <v>208</v>
      </c>
      <c r="B211">
        <f t="shared" si="131"/>
        <v>5</v>
      </c>
      <c r="C211">
        <f t="shared" si="109"/>
        <v>240</v>
      </c>
      <c r="D211">
        <f t="shared" si="123"/>
        <v>29</v>
      </c>
      <c r="E211">
        <f t="shared" si="143"/>
        <v>4</v>
      </c>
      <c r="F211">
        <f t="shared" si="110"/>
        <v>270</v>
      </c>
      <c r="G211">
        <f t="shared" si="124"/>
        <v>29</v>
      </c>
      <c r="H211">
        <f t="shared" si="132"/>
        <v>3</v>
      </c>
      <c r="I211">
        <f t="shared" si="111"/>
        <v>240</v>
      </c>
      <c r="J211">
        <f t="shared" si="125"/>
        <v>0</v>
      </c>
      <c r="K211">
        <f t="shared" si="133"/>
        <v>3</v>
      </c>
      <c r="L211">
        <f t="shared" si="112"/>
        <v>360</v>
      </c>
      <c r="M211">
        <f t="shared" si="126"/>
        <v>29</v>
      </c>
      <c r="N211">
        <f t="shared" si="134"/>
        <v>2</v>
      </c>
      <c r="O211">
        <f t="shared" si="113"/>
        <v>300</v>
      </c>
      <c r="P211">
        <f t="shared" si="135"/>
        <v>0</v>
      </c>
      <c r="Q211">
        <f t="shared" si="136"/>
        <v>2</v>
      </c>
      <c r="R211">
        <f t="shared" si="114"/>
        <v>300</v>
      </c>
      <c r="S211">
        <f t="shared" si="137"/>
        <v>0</v>
      </c>
      <c r="T211">
        <f t="shared" si="138"/>
        <v>-1</v>
      </c>
      <c r="U211">
        <f t="shared" si="127"/>
        <v>0</v>
      </c>
      <c r="V211">
        <f t="shared" si="128"/>
        <v>1</v>
      </c>
      <c r="W211">
        <f t="shared" si="115"/>
        <v>0</v>
      </c>
      <c r="X211">
        <f t="shared" si="139"/>
        <v>0</v>
      </c>
      <c r="Y211">
        <f t="shared" si="116"/>
        <v>0</v>
      </c>
      <c r="Z211">
        <f t="shared" si="117"/>
        <v>0</v>
      </c>
      <c r="AA211">
        <f t="shared" si="118"/>
        <v>0</v>
      </c>
      <c r="AB211" s="29">
        <f t="shared" si="119"/>
        <v>0.74178816089935007</v>
      </c>
      <c r="AC211" s="25">
        <f t="shared" si="129"/>
        <v>127.49804426656831</v>
      </c>
      <c r="AD211" s="29">
        <f t="shared" si="120"/>
        <v>1.0808524183153847</v>
      </c>
      <c r="AE211" s="25">
        <f t="shared" si="130"/>
        <v>13.243681724743192</v>
      </c>
      <c r="AF211" s="25">
        <f t="shared" si="121"/>
        <v>13.243681724743192</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290.78918279358999</v>
      </c>
      <c r="AH211" s="25">
        <f t="shared" si="140"/>
        <v>0</v>
      </c>
      <c r="AI211" s="25">
        <f t="shared" si="141"/>
        <v>0</v>
      </c>
      <c r="AJ211" s="25">
        <f t="shared" si="142"/>
        <v>0</v>
      </c>
    </row>
    <row r="212" spans="1:36">
      <c r="A212">
        <f t="shared" si="122"/>
        <v>209</v>
      </c>
      <c r="B212">
        <f t="shared" si="131"/>
        <v>5</v>
      </c>
      <c r="C212">
        <f t="shared" si="109"/>
        <v>240</v>
      </c>
      <c r="D212">
        <f t="shared" si="123"/>
        <v>30</v>
      </c>
      <c r="E212">
        <f t="shared" si="143"/>
        <v>4</v>
      </c>
      <c r="F212">
        <f t="shared" si="110"/>
        <v>270</v>
      </c>
      <c r="G212">
        <f t="shared" si="124"/>
        <v>30</v>
      </c>
      <c r="H212">
        <f t="shared" si="132"/>
        <v>3</v>
      </c>
      <c r="I212">
        <f t="shared" si="111"/>
        <v>240</v>
      </c>
      <c r="J212">
        <f t="shared" si="125"/>
        <v>0</v>
      </c>
      <c r="K212">
        <f t="shared" si="133"/>
        <v>3</v>
      </c>
      <c r="L212">
        <f t="shared" si="112"/>
        <v>360</v>
      </c>
      <c r="M212">
        <f t="shared" si="126"/>
        <v>30</v>
      </c>
      <c r="N212">
        <f t="shared" si="134"/>
        <v>2</v>
      </c>
      <c r="O212">
        <f t="shared" si="113"/>
        <v>300</v>
      </c>
      <c r="P212">
        <f t="shared" si="135"/>
        <v>0</v>
      </c>
      <c r="Q212">
        <f t="shared" si="136"/>
        <v>2</v>
      </c>
      <c r="R212">
        <f t="shared" si="114"/>
        <v>300</v>
      </c>
      <c r="S212">
        <f t="shared" si="137"/>
        <v>0</v>
      </c>
      <c r="T212">
        <f t="shared" si="138"/>
        <v>-1</v>
      </c>
      <c r="U212">
        <f t="shared" si="127"/>
        <v>0</v>
      </c>
      <c r="V212">
        <f t="shared" si="128"/>
        <v>1</v>
      </c>
      <c r="W212">
        <f t="shared" si="115"/>
        <v>0</v>
      </c>
      <c r="X212">
        <f t="shared" si="139"/>
        <v>0</v>
      </c>
      <c r="Y212">
        <f t="shared" si="116"/>
        <v>0</v>
      </c>
      <c r="Z212">
        <f t="shared" si="117"/>
        <v>0</v>
      </c>
      <c r="AA212">
        <f t="shared" si="118"/>
        <v>0</v>
      </c>
      <c r="AB212" s="29">
        <f t="shared" si="119"/>
        <v>0.74178816089935007</v>
      </c>
      <c r="AC212" s="25">
        <f t="shared" si="129"/>
        <v>127.49804426656831</v>
      </c>
      <c r="AD212" s="29">
        <f t="shared" si="120"/>
        <v>1.0808524183153847</v>
      </c>
      <c r="AE212" s="25">
        <f t="shared" si="130"/>
        <v>13.243681724743192</v>
      </c>
      <c r="AF212" s="25">
        <f t="shared" si="121"/>
        <v>13.243681724743192</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290.78918279358999</v>
      </c>
      <c r="AH212" s="25">
        <f t="shared" si="140"/>
        <v>0</v>
      </c>
      <c r="AI212" s="25">
        <f t="shared" si="141"/>
        <v>0</v>
      </c>
      <c r="AJ212" s="25">
        <f t="shared" si="142"/>
        <v>0</v>
      </c>
    </row>
    <row r="213" spans="1:36">
      <c r="A213">
        <f t="shared" si="122"/>
        <v>210</v>
      </c>
      <c r="B213">
        <f t="shared" si="131"/>
        <v>5</v>
      </c>
      <c r="C213">
        <f t="shared" si="109"/>
        <v>240</v>
      </c>
      <c r="D213">
        <f t="shared" si="123"/>
        <v>0</v>
      </c>
      <c r="E213">
        <f t="shared" si="143"/>
        <v>4</v>
      </c>
      <c r="F213">
        <f t="shared" si="110"/>
        <v>270</v>
      </c>
      <c r="G213">
        <f t="shared" si="124"/>
        <v>0</v>
      </c>
      <c r="H213">
        <f t="shared" si="132"/>
        <v>3</v>
      </c>
      <c r="I213">
        <f t="shared" si="111"/>
        <v>240</v>
      </c>
      <c r="J213">
        <f t="shared" si="125"/>
        <v>0</v>
      </c>
      <c r="K213">
        <f t="shared" si="133"/>
        <v>3</v>
      </c>
      <c r="L213">
        <f t="shared" si="112"/>
        <v>360</v>
      </c>
      <c r="M213">
        <f t="shared" si="126"/>
        <v>0</v>
      </c>
      <c r="N213">
        <f t="shared" si="134"/>
        <v>2</v>
      </c>
      <c r="O213">
        <f t="shared" si="113"/>
        <v>300</v>
      </c>
      <c r="P213">
        <f t="shared" si="135"/>
        <v>0</v>
      </c>
      <c r="Q213">
        <f t="shared" si="136"/>
        <v>2</v>
      </c>
      <c r="R213">
        <f t="shared" si="114"/>
        <v>300</v>
      </c>
      <c r="S213">
        <f t="shared" si="137"/>
        <v>0</v>
      </c>
      <c r="T213">
        <f t="shared" si="138"/>
        <v>-1</v>
      </c>
      <c r="U213">
        <f t="shared" si="127"/>
        <v>0</v>
      </c>
      <c r="V213">
        <f t="shared" si="128"/>
        <v>1</v>
      </c>
      <c r="W213">
        <f t="shared" si="115"/>
        <v>0</v>
      </c>
      <c r="X213">
        <f t="shared" si="139"/>
        <v>0</v>
      </c>
      <c r="Y213">
        <f t="shared" si="116"/>
        <v>0</v>
      </c>
      <c r="Z213">
        <f t="shared" si="117"/>
        <v>0</v>
      </c>
      <c r="AA213">
        <f t="shared" si="118"/>
        <v>0</v>
      </c>
      <c r="AB213" s="29">
        <f t="shared" si="119"/>
        <v>0.74178816089935007</v>
      </c>
      <c r="AC213" s="25">
        <f t="shared" si="129"/>
        <v>127.49804426656831</v>
      </c>
      <c r="AD213" s="29">
        <f t="shared" si="120"/>
        <v>1.0808524183153847</v>
      </c>
      <c r="AE213" s="25">
        <f t="shared" si="130"/>
        <v>13.243681724743192</v>
      </c>
      <c r="AF213" s="25">
        <f t="shared" si="121"/>
        <v>13.243681724743192</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290.78918279358999</v>
      </c>
      <c r="AH213" s="25">
        <f t="shared" si="140"/>
        <v>0</v>
      </c>
      <c r="AI213" s="25">
        <f t="shared" si="141"/>
        <v>0</v>
      </c>
      <c r="AJ213" s="25">
        <f t="shared" si="142"/>
        <v>0</v>
      </c>
    </row>
    <row r="214" spans="1:36">
      <c r="A214">
        <f t="shared" si="122"/>
        <v>211</v>
      </c>
      <c r="B214">
        <f t="shared" si="131"/>
        <v>5</v>
      </c>
      <c r="C214">
        <f t="shared" si="109"/>
        <v>240</v>
      </c>
      <c r="D214">
        <f t="shared" si="123"/>
        <v>0</v>
      </c>
      <c r="E214">
        <f t="shared" si="143"/>
        <v>4</v>
      </c>
      <c r="F214">
        <f t="shared" si="110"/>
        <v>270</v>
      </c>
      <c r="G214">
        <f t="shared" si="124"/>
        <v>0</v>
      </c>
      <c r="H214">
        <f t="shared" si="132"/>
        <v>3</v>
      </c>
      <c r="I214">
        <f t="shared" si="111"/>
        <v>240</v>
      </c>
      <c r="J214">
        <f t="shared" si="125"/>
        <v>0</v>
      </c>
      <c r="K214">
        <f t="shared" si="133"/>
        <v>3</v>
      </c>
      <c r="L214">
        <f t="shared" si="112"/>
        <v>360</v>
      </c>
      <c r="M214">
        <f t="shared" si="126"/>
        <v>0</v>
      </c>
      <c r="N214">
        <f t="shared" si="134"/>
        <v>2</v>
      </c>
      <c r="O214">
        <f t="shared" si="113"/>
        <v>300</v>
      </c>
      <c r="P214">
        <f t="shared" si="135"/>
        <v>0</v>
      </c>
      <c r="Q214">
        <f t="shared" si="136"/>
        <v>2</v>
      </c>
      <c r="R214">
        <f t="shared" si="114"/>
        <v>300</v>
      </c>
      <c r="S214">
        <f t="shared" si="137"/>
        <v>0</v>
      </c>
      <c r="T214">
        <f t="shared" si="138"/>
        <v>-1</v>
      </c>
      <c r="U214">
        <f t="shared" si="127"/>
        <v>0</v>
      </c>
      <c r="V214">
        <f t="shared" si="128"/>
        <v>1</v>
      </c>
      <c r="W214">
        <f t="shared" si="115"/>
        <v>0</v>
      </c>
      <c r="X214">
        <f t="shared" si="139"/>
        <v>0</v>
      </c>
      <c r="Y214">
        <f t="shared" si="116"/>
        <v>0</v>
      </c>
      <c r="Z214">
        <f t="shared" si="117"/>
        <v>0</v>
      </c>
      <c r="AA214">
        <f t="shared" si="118"/>
        <v>0</v>
      </c>
      <c r="AB214" s="29">
        <f t="shared" si="119"/>
        <v>0.74178816089935007</v>
      </c>
      <c r="AC214" s="25">
        <f t="shared" si="129"/>
        <v>127.49804426656831</v>
      </c>
      <c r="AD214" s="29">
        <f t="shared" si="120"/>
        <v>1.0808524183153847</v>
      </c>
      <c r="AE214" s="25">
        <f t="shared" si="130"/>
        <v>13.243681724743192</v>
      </c>
      <c r="AF214" s="25">
        <f t="shared" si="121"/>
        <v>13.243681724743192</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290.78918279358999</v>
      </c>
      <c r="AH214" s="25">
        <f t="shared" si="140"/>
        <v>0</v>
      </c>
      <c r="AI214" s="25">
        <f t="shared" si="141"/>
        <v>0</v>
      </c>
      <c r="AJ214" s="25">
        <f t="shared" si="142"/>
        <v>0</v>
      </c>
    </row>
    <row r="215" spans="1:36">
      <c r="A215">
        <f t="shared" si="122"/>
        <v>212</v>
      </c>
      <c r="B215">
        <f t="shared" si="131"/>
        <v>5</v>
      </c>
      <c r="C215">
        <f t="shared" si="109"/>
        <v>240</v>
      </c>
      <c r="D215">
        <f t="shared" si="123"/>
        <v>0</v>
      </c>
      <c r="E215">
        <f t="shared" si="143"/>
        <v>4</v>
      </c>
      <c r="F215">
        <f t="shared" si="110"/>
        <v>270</v>
      </c>
      <c r="G215">
        <f t="shared" si="124"/>
        <v>0</v>
      </c>
      <c r="H215">
        <f t="shared" si="132"/>
        <v>3</v>
      </c>
      <c r="I215">
        <f t="shared" si="111"/>
        <v>240</v>
      </c>
      <c r="J215">
        <f t="shared" si="125"/>
        <v>0</v>
      </c>
      <c r="K215">
        <f t="shared" si="133"/>
        <v>3</v>
      </c>
      <c r="L215">
        <f t="shared" si="112"/>
        <v>360</v>
      </c>
      <c r="M215">
        <f t="shared" si="126"/>
        <v>0</v>
      </c>
      <c r="N215">
        <f t="shared" si="134"/>
        <v>2</v>
      </c>
      <c r="O215">
        <f t="shared" si="113"/>
        <v>300</v>
      </c>
      <c r="P215">
        <f t="shared" si="135"/>
        <v>0</v>
      </c>
      <c r="Q215">
        <f t="shared" si="136"/>
        <v>2</v>
      </c>
      <c r="R215">
        <f t="shared" si="114"/>
        <v>300</v>
      </c>
      <c r="S215">
        <f t="shared" si="137"/>
        <v>0</v>
      </c>
      <c r="T215">
        <f t="shared" si="138"/>
        <v>-1</v>
      </c>
      <c r="U215">
        <f t="shared" si="127"/>
        <v>0</v>
      </c>
      <c r="V215">
        <f t="shared" si="128"/>
        <v>1</v>
      </c>
      <c r="W215">
        <f t="shared" si="115"/>
        <v>0</v>
      </c>
      <c r="X215">
        <f t="shared" si="139"/>
        <v>0</v>
      </c>
      <c r="Y215">
        <f t="shared" si="116"/>
        <v>0</v>
      </c>
      <c r="Z215">
        <f t="shared" si="117"/>
        <v>0</v>
      </c>
      <c r="AA215">
        <f t="shared" si="118"/>
        <v>0</v>
      </c>
      <c r="AB215" s="29">
        <f t="shared" si="119"/>
        <v>0.74178816089935007</v>
      </c>
      <c r="AC215" s="25">
        <f t="shared" si="129"/>
        <v>127.49804426656831</v>
      </c>
      <c r="AD215" s="29">
        <f t="shared" si="120"/>
        <v>1.0808524183153847</v>
      </c>
      <c r="AE215" s="25">
        <f t="shared" si="130"/>
        <v>13.243681724743192</v>
      </c>
      <c r="AF215" s="25">
        <f t="shared" si="121"/>
        <v>13.243681724743192</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290.78918279358999</v>
      </c>
      <c r="AH215" s="25">
        <f t="shared" si="140"/>
        <v>0</v>
      </c>
      <c r="AI215" s="25">
        <f t="shared" si="141"/>
        <v>0</v>
      </c>
      <c r="AJ215" s="25">
        <f t="shared" si="142"/>
        <v>0</v>
      </c>
    </row>
    <row r="216" spans="1:36">
      <c r="A216">
        <f t="shared" si="122"/>
        <v>213</v>
      </c>
      <c r="B216">
        <f t="shared" si="131"/>
        <v>5</v>
      </c>
      <c r="C216">
        <f t="shared" si="109"/>
        <v>240</v>
      </c>
      <c r="D216">
        <f t="shared" si="123"/>
        <v>0</v>
      </c>
      <c r="E216">
        <f t="shared" si="143"/>
        <v>4</v>
      </c>
      <c r="F216">
        <f t="shared" si="110"/>
        <v>270</v>
      </c>
      <c r="G216">
        <f t="shared" si="124"/>
        <v>0</v>
      </c>
      <c r="H216">
        <f t="shared" si="132"/>
        <v>3</v>
      </c>
      <c r="I216">
        <f t="shared" si="111"/>
        <v>240</v>
      </c>
      <c r="J216">
        <f t="shared" si="125"/>
        <v>0</v>
      </c>
      <c r="K216">
        <f t="shared" si="133"/>
        <v>3</v>
      </c>
      <c r="L216">
        <f t="shared" si="112"/>
        <v>360</v>
      </c>
      <c r="M216">
        <f t="shared" si="126"/>
        <v>0</v>
      </c>
      <c r="N216">
        <f t="shared" si="134"/>
        <v>2</v>
      </c>
      <c r="O216">
        <f t="shared" si="113"/>
        <v>300</v>
      </c>
      <c r="P216">
        <f t="shared" si="135"/>
        <v>0</v>
      </c>
      <c r="Q216">
        <f t="shared" si="136"/>
        <v>2</v>
      </c>
      <c r="R216">
        <f t="shared" si="114"/>
        <v>300</v>
      </c>
      <c r="S216">
        <f t="shared" si="137"/>
        <v>0</v>
      </c>
      <c r="T216">
        <f t="shared" si="138"/>
        <v>-1</v>
      </c>
      <c r="U216">
        <f t="shared" si="127"/>
        <v>0</v>
      </c>
      <c r="V216">
        <f t="shared" si="128"/>
        <v>1</v>
      </c>
      <c r="W216">
        <f t="shared" si="115"/>
        <v>0</v>
      </c>
      <c r="X216">
        <f t="shared" si="139"/>
        <v>0</v>
      </c>
      <c r="Y216">
        <f t="shared" si="116"/>
        <v>0</v>
      </c>
      <c r="Z216">
        <f t="shared" si="117"/>
        <v>0</v>
      </c>
      <c r="AA216">
        <f t="shared" si="118"/>
        <v>0</v>
      </c>
      <c r="AB216" s="29">
        <f t="shared" si="119"/>
        <v>0.74178816089935007</v>
      </c>
      <c r="AC216" s="25">
        <f t="shared" si="129"/>
        <v>127.49804426656831</v>
      </c>
      <c r="AD216" s="29">
        <f t="shared" si="120"/>
        <v>1.0808524183153847</v>
      </c>
      <c r="AE216" s="25">
        <f t="shared" si="130"/>
        <v>13.243681724743192</v>
      </c>
      <c r="AF216" s="25">
        <f t="shared" si="121"/>
        <v>13.243681724743192</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290.78918279358999</v>
      </c>
      <c r="AH216" s="25">
        <f t="shared" si="140"/>
        <v>0</v>
      </c>
      <c r="AI216" s="25">
        <f t="shared" si="141"/>
        <v>0</v>
      </c>
      <c r="AJ216" s="25">
        <f t="shared" si="142"/>
        <v>0</v>
      </c>
    </row>
    <row r="217" spans="1:36">
      <c r="A217">
        <f t="shared" si="122"/>
        <v>214</v>
      </c>
      <c r="B217">
        <f t="shared" si="131"/>
        <v>5</v>
      </c>
      <c r="C217">
        <f t="shared" si="109"/>
        <v>240</v>
      </c>
      <c r="D217">
        <f t="shared" si="123"/>
        <v>0</v>
      </c>
      <c r="E217">
        <f t="shared" si="143"/>
        <v>4</v>
      </c>
      <c r="F217">
        <f t="shared" si="110"/>
        <v>270</v>
      </c>
      <c r="G217">
        <f t="shared" si="124"/>
        <v>0</v>
      </c>
      <c r="H217">
        <f t="shared" si="132"/>
        <v>3</v>
      </c>
      <c r="I217">
        <f t="shared" si="111"/>
        <v>240</v>
      </c>
      <c r="J217">
        <f t="shared" si="125"/>
        <v>0</v>
      </c>
      <c r="K217">
        <f t="shared" si="133"/>
        <v>3</v>
      </c>
      <c r="L217">
        <f t="shared" si="112"/>
        <v>360</v>
      </c>
      <c r="M217">
        <f t="shared" si="126"/>
        <v>0</v>
      </c>
      <c r="N217">
        <f t="shared" si="134"/>
        <v>2</v>
      </c>
      <c r="O217">
        <f t="shared" si="113"/>
        <v>300</v>
      </c>
      <c r="P217">
        <f t="shared" si="135"/>
        <v>0</v>
      </c>
      <c r="Q217">
        <f t="shared" si="136"/>
        <v>2</v>
      </c>
      <c r="R217">
        <f t="shared" si="114"/>
        <v>300</v>
      </c>
      <c r="S217">
        <f t="shared" si="137"/>
        <v>0</v>
      </c>
      <c r="T217">
        <f t="shared" si="138"/>
        <v>-1</v>
      </c>
      <c r="U217">
        <f t="shared" si="127"/>
        <v>0</v>
      </c>
      <c r="V217">
        <f t="shared" si="128"/>
        <v>1</v>
      </c>
      <c r="W217">
        <f t="shared" si="115"/>
        <v>0</v>
      </c>
      <c r="X217">
        <f t="shared" si="139"/>
        <v>0</v>
      </c>
      <c r="Y217">
        <f t="shared" si="116"/>
        <v>0</v>
      </c>
      <c r="Z217">
        <f t="shared" si="117"/>
        <v>0</v>
      </c>
      <c r="AA217">
        <f t="shared" si="118"/>
        <v>0</v>
      </c>
      <c r="AB217" s="29">
        <f t="shared" si="119"/>
        <v>0.74178816089935007</v>
      </c>
      <c r="AC217" s="25">
        <f t="shared" si="129"/>
        <v>127.49804426656831</v>
      </c>
      <c r="AD217" s="29">
        <f t="shared" si="120"/>
        <v>1.0808524183153847</v>
      </c>
      <c r="AE217" s="25">
        <f t="shared" si="130"/>
        <v>13.243681724743192</v>
      </c>
      <c r="AF217" s="25">
        <f t="shared" si="121"/>
        <v>13.243681724743192</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290.78918279358999</v>
      </c>
      <c r="AH217" s="25">
        <f t="shared" si="140"/>
        <v>0</v>
      </c>
      <c r="AI217" s="25">
        <f t="shared" si="141"/>
        <v>0</v>
      </c>
      <c r="AJ217" s="25">
        <f t="shared" si="142"/>
        <v>0</v>
      </c>
    </row>
    <row r="218" spans="1:36">
      <c r="A218">
        <f t="shared" si="122"/>
        <v>215</v>
      </c>
      <c r="B218">
        <f t="shared" si="131"/>
        <v>5</v>
      </c>
      <c r="C218">
        <f t="shared" si="109"/>
        <v>240</v>
      </c>
      <c r="D218">
        <f t="shared" si="123"/>
        <v>0</v>
      </c>
      <c r="E218">
        <f t="shared" si="143"/>
        <v>4</v>
      </c>
      <c r="F218">
        <f t="shared" si="110"/>
        <v>270</v>
      </c>
      <c r="G218">
        <f t="shared" si="124"/>
        <v>0</v>
      </c>
      <c r="H218">
        <f t="shared" si="132"/>
        <v>3</v>
      </c>
      <c r="I218">
        <f t="shared" si="111"/>
        <v>240</v>
      </c>
      <c r="J218">
        <f t="shared" si="125"/>
        <v>0</v>
      </c>
      <c r="K218">
        <f t="shared" si="133"/>
        <v>3</v>
      </c>
      <c r="L218">
        <f t="shared" si="112"/>
        <v>360</v>
      </c>
      <c r="M218">
        <f t="shared" si="126"/>
        <v>0</v>
      </c>
      <c r="N218">
        <f t="shared" si="134"/>
        <v>2</v>
      </c>
      <c r="O218">
        <f t="shared" si="113"/>
        <v>300</v>
      </c>
      <c r="P218">
        <f t="shared" si="135"/>
        <v>0</v>
      </c>
      <c r="Q218">
        <f t="shared" si="136"/>
        <v>2</v>
      </c>
      <c r="R218">
        <f t="shared" si="114"/>
        <v>300</v>
      </c>
      <c r="S218">
        <f t="shared" si="137"/>
        <v>0</v>
      </c>
      <c r="T218">
        <f t="shared" si="138"/>
        <v>-1</v>
      </c>
      <c r="U218">
        <f t="shared" si="127"/>
        <v>0</v>
      </c>
      <c r="V218">
        <f t="shared" si="128"/>
        <v>1</v>
      </c>
      <c r="W218">
        <f t="shared" si="115"/>
        <v>0</v>
      </c>
      <c r="X218">
        <f t="shared" si="139"/>
        <v>0</v>
      </c>
      <c r="Y218">
        <f t="shared" si="116"/>
        <v>0</v>
      </c>
      <c r="Z218">
        <f t="shared" si="117"/>
        <v>0</v>
      </c>
      <c r="AA218">
        <f t="shared" si="118"/>
        <v>0</v>
      </c>
      <c r="AB218" s="29">
        <f t="shared" si="119"/>
        <v>0.74178816089935007</v>
      </c>
      <c r="AC218" s="25">
        <f t="shared" si="129"/>
        <v>127.49804426656831</v>
      </c>
      <c r="AD218" s="29">
        <f t="shared" si="120"/>
        <v>1.0808524183153847</v>
      </c>
      <c r="AE218" s="25">
        <f t="shared" si="130"/>
        <v>13.243681724743192</v>
      </c>
      <c r="AF218" s="25">
        <f t="shared" si="121"/>
        <v>13.243681724743192</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290.78918279358999</v>
      </c>
      <c r="AH218" s="25">
        <f t="shared" si="140"/>
        <v>0</v>
      </c>
      <c r="AI218" s="25">
        <f t="shared" si="141"/>
        <v>0</v>
      </c>
      <c r="AJ218" s="25">
        <f t="shared" si="142"/>
        <v>0</v>
      </c>
    </row>
    <row r="219" spans="1:36">
      <c r="A219">
        <f t="shared" si="122"/>
        <v>216</v>
      </c>
      <c r="B219">
        <f t="shared" si="131"/>
        <v>5</v>
      </c>
      <c r="C219">
        <f t="shared" si="109"/>
        <v>240</v>
      </c>
      <c r="D219">
        <f t="shared" si="123"/>
        <v>0</v>
      </c>
      <c r="E219">
        <f t="shared" si="143"/>
        <v>4</v>
      </c>
      <c r="F219">
        <f t="shared" si="110"/>
        <v>270</v>
      </c>
      <c r="G219">
        <f t="shared" si="124"/>
        <v>0</v>
      </c>
      <c r="H219">
        <f t="shared" si="132"/>
        <v>3</v>
      </c>
      <c r="I219">
        <f t="shared" si="111"/>
        <v>240</v>
      </c>
      <c r="J219">
        <f t="shared" si="125"/>
        <v>0</v>
      </c>
      <c r="K219">
        <f t="shared" si="133"/>
        <v>3</v>
      </c>
      <c r="L219">
        <f t="shared" si="112"/>
        <v>360</v>
      </c>
      <c r="M219">
        <f t="shared" si="126"/>
        <v>0</v>
      </c>
      <c r="N219">
        <f t="shared" si="134"/>
        <v>2</v>
      </c>
      <c r="O219">
        <f t="shared" si="113"/>
        <v>300</v>
      </c>
      <c r="P219">
        <f t="shared" si="135"/>
        <v>0</v>
      </c>
      <c r="Q219">
        <f t="shared" si="136"/>
        <v>2</v>
      </c>
      <c r="R219">
        <f t="shared" si="114"/>
        <v>300</v>
      </c>
      <c r="S219">
        <f t="shared" si="137"/>
        <v>0</v>
      </c>
      <c r="T219">
        <f t="shared" si="138"/>
        <v>-1</v>
      </c>
      <c r="U219">
        <f t="shared" si="127"/>
        <v>0</v>
      </c>
      <c r="V219">
        <f t="shared" si="128"/>
        <v>1</v>
      </c>
      <c r="W219">
        <f t="shared" si="115"/>
        <v>0</v>
      </c>
      <c r="X219">
        <f t="shared" si="139"/>
        <v>0</v>
      </c>
      <c r="Y219">
        <f t="shared" si="116"/>
        <v>0</v>
      </c>
      <c r="Z219">
        <f t="shared" si="117"/>
        <v>0</v>
      </c>
      <c r="AA219">
        <f t="shared" si="118"/>
        <v>0</v>
      </c>
      <c r="AB219" s="29">
        <f t="shared" si="119"/>
        <v>0.74178816089935007</v>
      </c>
      <c r="AC219" s="25">
        <f t="shared" si="129"/>
        <v>127.49804426656831</v>
      </c>
      <c r="AD219" s="29">
        <f t="shared" si="120"/>
        <v>1.0808524183153847</v>
      </c>
      <c r="AE219" s="25">
        <f t="shared" si="130"/>
        <v>13.243681724743192</v>
      </c>
      <c r="AF219" s="25">
        <f t="shared" si="121"/>
        <v>13.243681724743192</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290.78918279358999</v>
      </c>
      <c r="AH219" s="25">
        <f t="shared" si="140"/>
        <v>0</v>
      </c>
      <c r="AI219" s="25">
        <f t="shared" si="141"/>
        <v>0</v>
      </c>
      <c r="AJ219" s="25">
        <f t="shared" si="142"/>
        <v>0</v>
      </c>
    </row>
    <row r="220" spans="1:36">
      <c r="A220">
        <f t="shared" si="122"/>
        <v>217</v>
      </c>
      <c r="B220">
        <f t="shared" si="131"/>
        <v>5</v>
      </c>
      <c r="C220">
        <f t="shared" si="109"/>
        <v>240</v>
      </c>
      <c r="D220">
        <f t="shared" si="123"/>
        <v>0</v>
      </c>
      <c r="E220">
        <f t="shared" si="143"/>
        <v>4</v>
      </c>
      <c r="F220">
        <f t="shared" si="110"/>
        <v>270</v>
      </c>
      <c r="G220">
        <f t="shared" si="124"/>
        <v>0</v>
      </c>
      <c r="H220">
        <f t="shared" si="132"/>
        <v>3</v>
      </c>
      <c r="I220">
        <f t="shared" si="111"/>
        <v>240</v>
      </c>
      <c r="J220">
        <f t="shared" si="125"/>
        <v>0</v>
      </c>
      <c r="K220">
        <f t="shared" si="133"/>
        <v>3</v>
      </c>
      <c r="L220">
        <f t="shared" si="112"/>
        <v>360</v>
      </c>
      <c r="M220">
        <f t="shared" si="126"/>
        <v>0</v>
      </c>
      <c r="N220">
        <f t="shared" si="134"/>
        <v>2</v>
      </c>
      <c r="O220">
        <f t="shared" si="113"/>
        <v>300</v>
      </c>
      <c r="P220">
        <f t="shared" si="135"/>
        <v>0</v>
      </c>
      <c r="Q220">
        <f t="shared" si="136"/>
        <v>2</v>
      </c>
      <c r="R220">
        <f t="shared" si="114"/>
        <v>300</v>
      </c>
      <c r="S220">
        <f t="shared" si="137"/>
        <v>0</v>
      </c>
      <c r="T220">
        <f t="shared" si="138"/>
        <v>-1</v>
      </c>
      <c r="U220">
        <f t="shared" si="127"/>
        <v>0</v>
      </c>
      <c r="V220">
        <f t="shared" si="128"/>
        <v>1</v>
      </c>
      <c r="W220">
        <f t="shared" si="115"/>
        <v>0</v>
      </c>
      <c r="X220">
        <f t="shared" si="139"/>
        <v>0</v>
      </c>
      <c r="Y220">
        <f t="shared" si="116"/>
        <v>0</v>
      </c>
      <c r="Z220">
        <f t="shared" si="117"/>
        <v>0</v>
      </c>
      <c r="AA220">
        <f t="shared" si="118"/>
        <v>0</v>
      </c>
      <c r="AB220" s="29">
        <f t="shared" si="119"/>
        <v>0.74178816089935007</v>
      </c>
      <c r="AC220" s="25">
        <f t="shared" si="129"/>
        <v>127.49804426656831</v>
      </c>
      <c r="AD220" s="29">
        <f t="shared" si="120"/>
        <v>1.0808524183153847</v>
      </c>
      <c r="AE220" s="25">
        <f t="shared" si="130"/>
        <v>13.243681724743192</v>
      </c>
      <c r="AF220" s="25">
        <f t="shared" si="121"/>
        <v>13.243681724743192</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290.78918279358999</v>
      </c>
      <c r="AH220" s="25">
        <f t="shared" si="140"/>
        <v>0</v>
      </c>
      <c r="AI220" s="25">
        <f t="shared" si="141"/>
        <v>0</v>
      </c>
      <c r="AJ220" s="25">
        <f t="shared" si="142"/>
        <v>0</v>
      </c>
    </row>
    <row r="221" spans="1:36">
      <c r="A221">
        <f t="shared" si="122"/>
        <v>218</v>
      </c>
      <c r="B221">
        <f t="shared" si="131"/>
        <v>5</v>
      </c>
      <c r="C221">
        <f t="shared" si="109"/>
        <v>240</v>
      </c>
      <c r="D221">
        <f t="shared" si="123"/>
        <v>0</v>
      </c>
      <c r="E221">
        <f t="shared" si="143"/>
        <v>4</v>
      </c>
      <c r="F221">
        <f t="shared" si="110"/>
        <v>270</v>
      </c>
      <c r="G221">
        <f t="shared" si="124"/>
        <v>0</v>
      </c>
      <c r="H221">
        <f t="shared" si="132"/>
        <v>3</v>
      </c>
      <c r="I221">
        <f t="shared" si="111"/>
        <v>240</v>
      </c>
      <c r="J221">
        <f t="shared" si="125"/>
        <v>0</v>
      </c>
      <c r="K221">
        <f t="shared" si="133"/>
        <v>3</v>
      </c>
      <c r="L221">
        <f t="shared" si="112"/>
        <v>360</v>
      </c>
      <c r="M221">
        <f t="shared" si="126"/>
        <v>0</v>
      </c>
      <c r="N221">
        <f t="shared" si="134"/>
        <v>2</v>
      </c>
      <c r="O221">
        <f t="shared" si="113"/>
        <v>300</v>
      </c>
      <c r="P221">
        <f t="shared" si="135"/>
        <v>0</v>
      </c>
      <c r="Q221">
        <f t="shared" si="136"/>
        <v>2</v>
      </c>
      <c r="R221">
        <f t="shared" si="114"/>
        <v>300</v>
      </c>
      <c r="S221">
        <f t="shared" si="137"/>
        <v>0</v>
      </c>
      <c r="T221">
        <f t="shared" si="138"/>
        <v>-1</v>
      </c>
      <c r="U221">
        <f t="shared" si="127"/>
        <v>0</v>
      </c>
      <c r="V221">
        <f t="shared" si="128"/>
        <v>1</v>
      </c>
      <c r="W221">
        <f t="shared" si="115"/>
        <v>0</v>
      </c>
      <c r="X221">
        <f t="shared" si="139"/>
        <v>0</v>
      </c>
      <c r="Y221">
        <f t="shared" si="116"/>
        <v>0</v>
      </c>
      <c r="Z221">
        <f t="shared" si="117"/>
        <v>0</v>
      </c>
      <c r="AA221">
        <f t="shared" si="118"/>
        <v>0</v>
      </c>
      <c r="AB221" s="29">
        <f t="shared" si="119"/>
        <v>0.74178816089935007</v>
      </c>
      <c r="AC221" s="25">
        <f t="shared" si="129"/>
        <v>127.49804426656831</v>
      </c>
      <c r="AD221" s="29">
        <f t="shared" si="120"/>
        <v>1.0808524183153847</v>
      </c>
      <c r="AE221" s="25">
        <f t="shared" si="130"/>
        <v>13.243681724743192</v>
      </c>
      <c r="AF221" s="25">
        <f t="shared" si="121"/>
        <v>13.243681724743192</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290.78918279358999</v>
      </c>
      <c r="AH221" s="25">
        <f t="shared" si="140"/>
        <v>0</v>
      </c>
      <c r="AI221" s="25">
        <f t="shared" si="141"/>
        <v>0</v>
      </c>
      <c r="AJ221" s="25">
        <f t="shared" si="142"/>
        <v>0</v>
      </c>
    </row>
    <row r="222" spans="1:36">
      <c r="A222">
        <f t="shared" si="122"/>
        <v>219</v>
      </c>
      <c r="B222">
        <f t="shared" si="131"/>
        <v>5</v>
      </c>
      <c r="C222">
        <f t="shared" si="109"/>
        <v>240</v>
      </c>
      <c r="D222">
        <f t="shared" si="123"/>
        <v>0</v>
      </c>
      <c r="E222">
        <f t="shared" si="143"/>
        <v>4</v>
      </c>
      <c r="F222">
        <f t="shared" si="110"/>
        <v>270</v>
      </c>
      <c r="G222">
        <f t="shared" si="124"/>
        <v>0</v>
      </c>
      <c r="H222">
        <f t="shared" si="132"/>
        <v>3</v>
      </c>
      <c r="I222">
        <f t="shared" si="111"/>
        <v>240</v>
      </c>
      <c r="J222">
        <f t="shared" si="125"/>
        <v>0</v>
      </c>
      <c r="K222">
        <f t="shared" si="133"/>
        <v>3</v>
      </c>
      <c r="L222">
        <f t="shared" si="112"/>
        <v>360</v>
      </c>
      <c r="M222">
        <f t="shared" si="126"/>
        <v>0</v>
      </c>
      <c r="N222">
        <f t="shared" si="134"/>
        <v>2</v>
      </c>
      <c r="O222">
        <f t="shared" si="113"/>
        <v>300</v>
      </c>
      <c r="P222">
        <f t="shared" si="135"/>
        <v>0</v>
      </c>
      <c r="Q222">
        <f t="shared" si="136"/>
        <v>2</v>
      </c>
      <c r="R222">
        <f t="shared" si="114"/>
        <v>300</v>
      </c>
      <c r="S222">
        <f t="shared" si="137"/>
        <v>0</v>
      </c>
      <c r="T222">
        <f t="shared" si="138"/>
        <v>-1</v>
      </c>
      <c r="U222">
        <f t="shared" si="127"/>
        <v>0</v>
      </c>
      <c r="V222">
        <f t="shared" si="128"/>
        <v>1</v>
      </c>
      <c r="W222">
        <f t="shared" si="115"/>
        <v>0</v>
      </c>
      <c r="X222">
        <f t="shared" si="139"/>
        <v>0</v>
      </c>
      <c r="Y222">
        <f t="shared" si="116"/>
        <v>0</v>
      </c>
      <c r="Z222">
        <f t="shared" si="117"/>
        <v>0</v>
      </c>
      <c r="AA222">
        <f t="shared" si="118"/>
        <v>0</v>
      </c>
      <c r="AB222" s="29">
        <f t="shared" si="119"/>
        <v>0.74178816089935007</v>
      </c>
      <c r="AC222" s="25">
        <f t="shared" si="129"/>
        <v>127.49804426656831</v>
      </c>
      <c r="AD222" s="29">
        <f t="shared" si="120"/>
        <v>1.0808524183153847</v>
      </c>
      <c r="AE222" s="25">
        <f t="shared" si="130"/>
        <v>13.243681724743192</v>
      </c>
      <c r="AF222" s="25">
        <f t="shared" si="121"/>
        <v>13.243681724743192</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290.78918279358999</v>
      </c>
      <c r="AH222" s="25">
        <f t="shared" si="140"/>
        <v>0</v>
      </c>
      <c r="AI222" s="25">
        <f t="shared" si="141"/>
        <v>0</v>
      </c>
      <c r="AJ222" s="25">
        <f t="shared" si="142"/>
        <v>0</v>
      </c>
    </row>
    <row r="223" spans="1:36">
      <c r="A223">
        <f t="shared" si="122"/>
        <v>220</v>
      </c>
      <c r="B223">
        <f t="shared" si="131"/>
        <v>5</v>
      </c>
      <c r="C223">
        <f t="shared" si="109"/>
        <v>240</v>
      </c>
      <c r="D223">
        <f t="shared" si="123"/>
        <v>0</v>
      </c>
      <c r="E223">
        <f t="shared" si="143"/>
        <v>4</v>
      </c>
      <c r="F223">
        <f t="shared" si="110"/>
        <v>270</v>
      </c>
      <c r="G223">
        <f t="shared" si="124"/>
        <v>0</v>
      </c>
      <c r="H223">
        <f t="shared" si="132"/>
        <v>3</v>
      </c>
      <c r="I223">
        <f t="shared" si="111"/>
        <v>240</v>
      </c>
      <c r="J223">
        <f t="shared" si="125"/>
        <v>0</v>
      </c>
      <c r="K223">
        <f t="shared" si="133"/>
        <v>3</v>
      </c>
      <c r="L223">
        <f t="shared" si="112"/>
        <v>360</v>
      </c>
      <c r="M223">
        <f t="shared" si="126"/>
        <v>0</v>
      </c>
      <c r="N223">
        <f t="shared" si="134"/>
        <v>2</v>
      </c>
      <c r="O223">
        <f t="shared" si="113"/>
        <v>300</v>
      </c>
      <c r="P223">
        <f t="shared" si="135"/>
        <v>0</v>
      </c>
      <c r="Q223">
        <f t="shared" si="136"/>
        <v>2</v>
      </c>
      <c r="R223">
        <f t="shared" si="114"/>
        <v>300</v>
      </c>
      <c r="S223">
        <f t="shared" si="137"/>
        <v>0</v>
      </c>
      <c r="T223">
        <f t="shared" si="138"/>
        <v>-1</v>
      </c>
      <c r="U223">
        <f t="shared" si="127"/>
        <v>0</v>
      </c>
      <c r="V223">
        <f t="shared" si="128"/>
        <v>1</v>
      </c>
      <c r="W223">
        <f t="shared" si="115"/>
        <v>0</v>
      </c>
      <c r="X223">
        <f t="shared" si="139"/>
        <v>0</v>
      </c>
      <c r="Y223">
        <f t="shared" si="116"/>
        <v>0</v>
      </c>
      <c r="Z223">
        <f t="shared" si="117"/>
        <v>0</v>
      </c>
      <c r="AA223">
        <f t="shared" si="118"/>
        <v>0</v>
      </c>
      <c r="AB223" s="29">
        <f t="shared" si="119"/>
        <v>0.74178816089935007</v>
      </c>
      <c r="AC223" s="25">
        <f t="shared" si="129"/>
        <v>127.49804426656831</v>
      </c>
      <c r="AD223" s="29">
        <f t="shared" si="120"/>
        <v>1.0808524183153847</v>
      </c>
      <c r="AE223" s="25">
        <f t="shared" si="130"/>
        <v>13.243681724743192</v>
      </c>
      <c r="AF223" s="25">
        <f t="shared" si="121"/>
        <v>13.243681724743192</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290.78918279358999</v>
      </c>
      <c r="AH223" s="25">
        <f t="shared" si="140"/>
        <v>0</v>
      </c>
      <c r="AI223" s="25">
        <f t="shared" si="141"/>
        <v>0</v>
      </c>
      <c r="AJ223" s="25">
        <f t="shared" si="142"/>
        <v>0</v>
      </c>
    </row>
    <row r="224" spans="1:36">
      <c r="A224">
        <f t="shared" si="122"/>
        <v>221</v>
      </c>
      <c r="B224">
        <f t="shared" si="131"/>
        <v>5</v>
      </c>
      <c r="C224">
        <f t="shared" si="109"/>
        <v>240</v>
      </c>
      <c r="D224">
        <f t="shared" si="123"/>
        <v>0</v>
      </c>
      <c r="E224">
        <f t="shared" si="143"/>
        <v>4</v>
      </c>
      <c r="F224">
        <f t="shared" si="110"/>
        <v>270</v>
      </c>
      <c r="G224">
        <f t="shared" si="124"/>
        <v>0</v>
      </c>
      <c r="H224">
        <f t="shared" si="132"/>
        <v>3</v>
      </c>
      <c r="I224">
        <f t="shared" si="111"/>
        <v>240</v>
      </c>
      <c r="J224">
        <f t="shared" si="125"/>
        <v>0</v>
      </c>
      <c r="K224">
        <f t="shared" si="133"/>
        <v>3</v>
      </c>
      <c r="L224">
        <f t="shared" si="112"/>
        <v>360</v>
      </c>
      <c r="M224">
        <f t="shared" si="126"/>
        <v>0</v>
      </c>
      <c r="N224">
        <f t="shared" si="134"/>
        <v>2</v>
      </c>
      <c r="O224">
        <f t="shared" si="113"/>
        <v>300</v>
      </c>
      <c r="P224">
        <f t="shared" si="135"/>
        <v>0</v>
      </c>
      <c r="Q224">
        <f t="shared" si="136"/>
        <v>2</v>
      </c>
      <c r="R224">
        <f t="shared" si="114"/>
        <v>300</v>
      </c>
      <c r="S224">
        <f t="shared" si="137"/>
        <v>0</v>
      </c>
      <c r="T224">
        <f t="shared" si="138"/>
        <v>-1</v>
      </c>
      <c r="U224">
        <f t="shared" si="127"/>
        <v>0</v>
      </c>
      <c r="V224">
        <f t="shared" si="128"/>
        <v>1</v>
      </c>
      <c r="W224">
        <f t="shared" si="115"/>
        <v>0</v>
      </c>
      <c r="X224">
        <f t="shared" si="139"/>
        <v>0</v>
      </c>
      <c r="Y224">
        <f t="shared" si="116"/>
        <v>0</v>
      </c>
      <c r="Z224">
        <f t="shared" si="117"/>
        <v>0</v>
      </c>
      <c r="AA224">
        <f t="shared" si="118"/>
        <v>0</v>
      </c>
      <c r="AB224" s="29">
        <f t="shared" si="119"/>
        <v>0.74178816089935007</v>
      </c>
      <c r="AC224" s="25">
        <f t="shared" si="129"/>
        <v>127.49804426656831</v>
      </c>
      <c r="AD224" s="29">
        <f t="shared" si="120"/>
        <v>1.0808524183153847</v>
      </c>
      <c r="AE224" s="25">
        <f t="shared" si="130"/>
        <v>13.243681724743192</v>
      </c>
      <c r="AF224" s="25">
        <f t="shared" si="121"/>
        <v>13.243681724743192</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290.78918279358999</v>
      </c>
      <c r="AH224" s="25">
        <f t="shared" si="140"/>
        <v>0</v>
      </c>
      <c r="AI224" s="25">
        <f t="shared" si="141"/>
        <v>0</v>
      </c>
      <c r="AJ224" s="25">
        <f t="shared" si="142"/>
        <v>0</v>
      </c>
    </row>
    <row r="225" spans="1:36">
      <c r="A225">
        <f t="shared" si="122"/>
        <v>222</v>
      </c>
      <c r="B225">
        <f t="shared" si="131"/>
        <v>5</v>
      </c>
      <c r="C225">
        <f t="shared" si="109"/>
        <v>240</v>
      </c>
      <c r="D225">
        <f t="shared" si="123"/>
        <v>0</v>
      </c>
      <c r="E225">
        <f t="shared" si="143"/>
        <v>4</v>
      </c>
      <c r="F225">
        <f t="shared" si="110"/>
        <v>270</v>
      </c>
      <c r="G225">
        <f t="shared" si="124"/>
        <v>0</v>
      </c>
      <c r="H225">
        <f t="shared" si="132"/>
        <v>3</v>
      </c>
      <c r="I225">
        <f t="shared" si="111"/>
        <v>240</v>
      </c>
      <c r="J225">
        <f t="shared" si="125"/>
        <v>0</v>
      </c>
      <c r="K225">
        <f t="shared" si="133"/>
        <v>3</v>
      </c>
      <c r="L225">
        <f t="shared" si="112"/>
        <v>360</v>
      </c>
      <c r="M225">
        <f t="shared" si="126"/>
        <v>0</v>
      </c>
      <c r="N225">
        <f t="shared" si="134"/>
        <v>2</v>
      </c>
      <c r="O225">
        <f t="shared" si="113"/>
        <v>300</v>
      </c>
      <c r="P225">
        <f t="shared" si="135"/>
        <v>0</v>
      </c>
      <c r="Q225">
        <f t="shared" si="136"/>
        <v>2</v>
      </c>
      <c r="R225">
        <f t="shared" si="114"/>
        <v>300</v>
      </c>
      <c r="S225">
        <f t="shared" si="137"/>
        <v>0</v>
      </c>
      <c r="T225">
        <f t="shared" si="138"/>
        <v>-1</v>
      </c>
      <c r="U225">
        <f t="shared" si="127"/>
        <v>0</v>
      </c>
      <c r="V225">
        <f t="shared" si="128"/>
        <v>1</v>
      </c>
      <c r="W225">
        <f t="shared" si="115"/>
        <v>0</v>
      </c>
      <c r="X225">
        <f t="shared" si="139"/>
        <v>0</v>
      </c>
      <c r="Y225">
        <f t="shared" si="116"/>
        <v>0</v>
      </c>
      <c r="Z225">
        <f t="shared" si="117"/>
        <v>0</v>
      </c>
      <c r="AA225">
        <f t="shared" si="118"/>
        <v>0</v>
      </c>
      <c r="AB225" s="29">
        <f t="shared" si="119"/>
        <v>0.74178816089935007</v>
      </c>
      <c r="AC225" s="25">
        <f t="shared" si="129"/>
        <v>127.49804426656831</v>
      </c>
      <c r="AD225" s="29">
        <f t="shared" si="120"/>
        <v>1.0808524183153847</v>
      </c>
      <c r="AE225" s="25">
        <f t="shared" si="130"/>
        <v>13.243681724743192</v>
      </c>
      <c r="AF225" s="25">
        <f t="shared" si="121"/>
        <v>13.243681724743192</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290.78918279358999</v>
      </c>
      <c r="AH225" s="25">
        <f t="shared" si="140"/>
        <v>0</v>
      </c>
      <c r="AI225" s="25">
        <f t="shared" si="141"/>
        <v>0</v>
      </c>
      <c r="AJ225" s="25">
        <f t="shared" si="142"/>
        <v>0</v>
      </c>
    </row>
    <row r="226" spans="1:36">
      <c r="A226">
        <f t="shared" si="122"/>
        <v>223</v>
      </c>
      <c r="B226">
        <f t="shared" si="131"/>
        <v>5</v>
      </c>
      <c r="C226">
        <f t="shared" si="109"/>
        <v>240</v>
      </c>
      <c r="D226">
        <f t="shared" si="123"/>
        <v>0</v>
      </c>
      <c r="E226">
        <f t="shared" si="143"/>
        <v>4</v>
      </c>
      <c r="F226">
        <f t="shared" si="110"/>
        <v>270</v>
      </c>
      <c r="G226">
        <f t="shared" si="124"/>
        <v>0</v>
      </c>
      <c r="H226">
        <f t="shared" si="132"/>
        <v>3</v>
      </c>
      <c r="I226">
        <f t="shared" si="111"/>
        <v>240</v>
      </c>
      <c r="J226">
        <f t="shared" si="125"/>
        <v>0</v>
      </c>
      <c r="K226">
        <f t="shared" si="133"/>
        <v>3</v>
      </c>
      <c r="L226">
        <f t="shared" si="112"/>
        <v>360</v>
      </c>
      <c r="M226">
        <f t="shared" si="126"/>
        <v>0</v>
      </c>
      <c r="N226">
        <f t="shared" si="134"/>
        <v>2</v>
      </c>
      <c r="O226">
        <f t="shared" si="113"/>
        <v>300</v>
      </c>
      <c r="P226">
        <f t="shared" si="135"/>
        <v>0</v>
      </c>
      <c r="Q226">
        <f t="shared" si="136"/>
        <v>2</v>
      </c>
      <c r="R226">
        <f t="shared" si="114"/>
        <v>300</v>
      </c>
      <c r="S226">
        <f t="shared" si="137"/>
        <v>0</v>
      </c>
      <c r="T226">
        <f t="shared" si="138"/>
        <v>-1</v>
      </c>
      <c r="U226">
        <f t="shared" si="127"/>
        <v>0</v>
      </c>
      <c r="V226">
        <f t="shared" si="128"/>
        <v>1</v>
      </c>
      <c r="W226">
        <f t="shared" si="115"/>
        <v>0</v>
      </c>
      <c r="X226">
        <f t="shared" si="139"/>
        <v>0</v>
      </c>
      <c r="Y226">
        <f t="shared" si="116"/>
        <v>0</v>
      </c>
      <c r="Z226">
        <f t="shared" si="117"/>
        <v>0</v>
      </c>
      <c r="AA226">
        <f t="shared" si="118"/>
        <v>0</v>
      </c>
      <c r="AB226" s="29">
        <f t="shared" si="119"/>
        <v>0.74178816089935007</v>
      </c>
      <c r="AC226" s="25">
        <f t="shared" si="129"/>
        <v>127.49804426656831</v>
      </c>
      <c r="AD226" s="29">
        <f t="shared" si="120"/>
        <v>1.0808524183153847</v>
      </c>
      <c r="AE226" s="25">
        <f t="shared" si="130"/>
        <v>13.243681724743192</v>
      </c>
      <c r="AF226" s="25">
        <f t="shared" si="121"/>
        <v>13.243681724743192</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290.78918279358999</v>
      </c>
      <c r="AH226" s="25">
        <f t="shared" si="140"/>
        <v>0</v>
      </c>
      <c r="AI226" s="25">
        <f t="shared" si="141"/>
        <v>0</v>
      </c>
      <c r="AJ226" s="25">
        <f t="shared" si="142"/>
        <v>0</v>
      </c>
    </row>
    <row r="227" spans="1:36">
      <c r="A227">
        <f t="shared" si="122"/>
        <v>224</v>
      </c>
      <c r="B227">
        <f t="shared" si="131"/>
        <v>5</v>
      </c>
      <c r="C227">
        <f t="shared" si="109"/>
        <v>240</v>
      </c>
      <c r="D227">
        <f t="shared" si="123"/>
        <v>0</v>
      </c>
      <c r="E227">
        <f t="shared" si="143"/>
        <v>4</v>
      </c>
      <c r="F227">
        <f t="shared" si="110"/>
        <v>270</v>
      </c>
      <c r="G227">
        <f t="shared" si="124"/>
        <v>0</v>
      </c>
      <c r="H227">
        <f t="shared" si="132"/>
        <v>3</v>
      </c>
      <c r="I227">
        <f t="shared" si="111"/>
        <v>240</v>
      </c>
      <c r="J227">
        <f t="shared" si="125"/>
        <v>0</v>
      </c>
      <c r="K227">
        <f t="shared" si="133"/>
        <v>3</v>
      </c>
      <c r="L227">
        <f t="shared" si="112"/>
        <v>360</v>
      </c>
      <c r="M227">
        <f t="shared" si="126"/>
        <v>0</v>
      </c>
      <c r="N227">
        <f t="shared" si="134"/>
        <v>2</v>
      </c>
      <c r="O227">
        <f t="shared" si="113"/>
        <v>300</v>
      </c>
      <c r="P227">
        <f t="shared" si="135"/>
        <v>0</v>
      </c>
      <c r="Q227">
        <f t="shared" si="136"/>
        <v>2</v>
      </c>
      <c r="R227">
        <f t="shared" si="114"/>
        <v>300</v>
      </c>
      <c r="S227">
        <f t="shared" si="137"/>
        <v>0</v>
      </c>
      <c r="T227">
        <f t="shared" si="138"/>
        <v>-1</v>
      </c>
      <c r="U227">
        <f t="shared" si="127"/>
        <v>0</v>
      </c>
      <c r="V227">
        <f t="shared" si="128"/>
        <v>1</v>
      </c>
      <c r="W227">
        <f t="shared" si="115"/>
        <v>0</v>
      </c>
      <c r="X227">
        <f t="shared" si="139"/>
        <v>0</v>
      </c>
      <c r="Y227">
        <f t="shared" si="116"/>
        <v>0</v>
      </c>
      <c r="Z227">
        <f t="shared" si="117"/>
        <v>0</v>
      </c>
      <c r="AA227">
        <f t="shared" si="118"/>
        <v>0</v>
      </c>
      <c r="AB227" s="29">
        <f t="shared" si="119"/>
        <v>0.74178816089935007</v>
      </c>
      <c r="AC227" s="25">
        <f t="shared" si="129"/>
        <v>127.49804426656831</v>
      </c>
      <c r="AD227" s="29">
        <f t="shared" si="120"/>
        <v>1.0808524183153847</v>
      </c>
      <c r="AE227" s="25">
        <f t="shared" si="130"/>
        <v>13.243681724743192</v>
      </c>
      <c r="AF227" s="25">
        <f t="shared" si="121"/>
        <v>13.243681724743192</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290.78918279358999</v>
      </c>
      <c r="AH227" s="25">
        <f t="shared" si="140"/>
        <v>0</v>
      </c>
      <c r="AI227" s="25">
        <f t="shared" si="141"/>
        <v>0</v>
      </c>
      <c r="AJ227" s="25">
        <f t="shared" si="142"/>
        <v>0</v>
      </c>
    </row>
    <row r="228" spans="1:36">
      <c r="A228">
        <f t="shared" si="122"/>
        <v>225</v>
      </c>
      <c r="B228">
        <f t="shared" si="131"/>
        <v>5</v>
      </c>
      <c r="C228">
        <f t="shared" si="109"/>
        <v>240</v>
      </c>
      <c r="D228">
        <f t="shared" si="123"/>
        <v>0</v>
      </c>
      <c r="E228">
        <f t="shared" si="143"/>
        <v>4</v>
      </c>
      <c r="F228">
        <f t="shared" si="110"/>
        <v>270</v>
      </c>
      <c r="G228">
        <f t="shared" si="124"/>
        <v>0</v>
      </c>
      <c r="H228">
        <f t="shared" si="132"/>
        <v>3</v>
      </c>
      <c r="I228">
        <f t="shared" si="111"/>
        <v>240</v>
      </c>
      <c r="J228">
        <f t="shared" si="125"/>
        <v>0</v>
      </c>
      <c r="K228">
        <f t="shared" si="133"/>
        <v>3</v>
      </c>
      <c r="L228">
        <f t="shared" si="112"/>
        <v>360</v>
      </c>
      <c r="M228">
        <f t="shared" si="126"/>
        <v>0</v>
      </c>
      <c r="N228">
        <f t="shared" si="134"/>
        <v>2</v>
      </c>
      <c r="O228">
        <f t="shared" si="113"/>
        <v>300</v>
      </c>
      <c r="P228">
        <f t="shared" si="135"/>
        <v>0</v>
      </c>
      <c r="Q228">
        <f t="shared" si="136"/>
        <v>2</v>
      </c>
      <c r="R228">
        <f t="shared" si="114"/>
        <v>300</v>
      </c>
      <c r="S228">
        <f t="shared" si="137"/>
        <v>0</v>
      </c>
      <c r="T228">
        <f t="shared" si="138"/>
        <v>-1</v>
      </c>
      <c r="U228">
        <f t="shared" si="127"/>
        <v>0</v>
      </c>
      <c r="V228">
        <f t="shared" si="128"/>
        <v>1</v>
      </c>
      <c r="W228">
        <f t="shared" si="115"/>
        <v>0</v>
      </c>
      <c r="X228">
        <f t="shared" si="139"/>
        <v>0</v>
      </c>
      <c r="Y228">
        <f t="shared" si="116"/>
        <v>0</v>
      </c>
      <c r="Z228">
        <f t="shared" si="117"/>
        <v>0</v>
      </c>
      <c r="AA228">
        <f t="shared" si="118"/>
        <v>0</v>
      </c>
      <c r="AB228" s="29">
        <f t="shared" si="119"/>
        <v>0.74178816089935007</v>
      </c>
      <c r="AC228" s="25">
        <f t="shared" si="129"/>
        <v>127.49804426656831</v>
      </c>
      <c r="AD228" s="29">
        <f t="shared" si="120"/>
        <v>1.0808524183153847</v>
      </c>
      <c r="AE228" s="25">
        <f t="shared" si="130"/>
        <v>13.243681724743192</v>
      </c>
      <c r="AF228" s="25">
        <f t="shared" si="121"/>
        <v>13.243681724743192</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290.78918279358999</v>
      </c>
      <c r="AH228" s="25">
        <f t="shared" si="140"/>
        <v>0</v>
      </c>
      <c r="AI228" s="25">
        <f t="shared" si="141"/>
        <v>0</v>
      </c>
      <c r="AJ228" s="25">
        <f t="shared" si="142"/>
        <v>0</v>
      </c>
    </row>
    <row r="229" spans="1:36">
      <c r="A229">
        <f t="shared" si="122"/>
        <v>226</v>
      </c>
      <c r="B229">
        <f t="shared" si="131"/>
        <v>5</v>
      </c>
      <c r="C229">
        <f t="shared" si="109"/>
        <v>240</v>
      </c>
      <c r="D229">
        <f t="shared" si="123"/>
        <v>0</v>
      </c>
      <c r="E229">
        <f t="shared" si="143"/>
        <v>4</v>
      </c>
      <c r="F229">
        <f t="shared" si="110"/>
        <v>270</v>
      </c>
      <c r="G229">
        <f t="shared" si="124"/>
        <v>0</v>
      </c>
      <c r="H229">
        <f t="shared" si="132"/>
        <v>3</v>
      </c>
      <c r="I229">
        <f t="shared" si="111"/>
        <v>240</v>
      </c>
      <c r="J229">
        <f t="shared" si="125"/>
        <v>0</v>
      </c>
      <c r="K229">
        <f t="shared" si="133"/>
        <v>3</v>
      </c>
      <c r="L229">
        <f t="shared" si="112"/>
        <v>360</v>
      </c>
      <c r="M229">
        <f t="shared" si="126"/>
        <v>0</v>
      </c>
      <c r="N229">
        <f t="shared" si="134"/>
        <v>2</v>
      </c>
      <c r="O229">
        <f t="shared" si="113"/>
        <v>300</v>
      </c>
      <c r="P229">
        <f t="shared" si="135"/>
        <v>0</v>
      </c>
      <c r="Q229">
        <f t="shared" si="136"/>
        <v>2</v>
      </c>
      <c r="R229">
        <f t="shared" si="114"/>
        <v>300</v>
      </c>
      <c r="S229">
        <f t="shared" si="137"/>
        <v>0</v>
      </c>
      <c r="T229">
        <f t="shared" si="138"/>
        <v>-1</v>
      </c>
      <c r="U229">
        <f t="shared" si="127"/>
        <v>0</v>
      </c>
      <c r="V229">
        <f t="shared" si="128"/>
        <v>1</v>
      </c>
      <c r="W229">
        <f t="shared" si="115"/>
        <v>0</v>
      </c>
      <c r="X229">
        <f t="shared" si="139"/>
        <v>0</v>
      </c>
      <c r="Y229">
        <f t="shared" si="116"/>
        <v>0</v>
      </c>
      <c r="Z229">
        <f t="shared" si="117"/>
        <v>0</v>
      </c>
      <c r="AA229">
        <f t="shared" si="118"/>
        <v>0</v>
      </c>
      <c r="AB229" s="29">
        <f t="shared" si="119"/>
        <v>0.74178816089935007</v>
      </c>
      <c r="AC229" s="25">
        <f t="shared" si="129"/>
        <v>127.49804426656831</v>
      </c>
      <c r="AD229" s="29">
        <f t="shared" si="120"/>
        <v>1.0808524183153847</v>
      </c>
      <c r="AE229" s="25">
        <f t="shared" si="130"/>
        <v>13.243681724743192</v>
      </c>
      <c r="AF229" s="25">
        <f t="shared" si="121"/>
        <v>13.243681724743192</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290.78918279358999</v>
      </c>
      <c r="AH229" s="25">
        <f t="shared" si="140"/>
        <v>0</v>
      </c>
      <c r="AI229" s="25">
        <f t="shared" si="141"/>
        <v>0</v>
      </c>
      <c r="AJ229" s="25">
        <f t="shared" si="142"/>
        <v>0</v>
      </c>
    </row>
    <row r="230" spans="1:36">
      <c r="A230">
        <f t="shared" si="122"/>
        <v>227</v>
      </c>
      <c r="B230">
        <f t="shared" si="131"/>
        <v>5</v>
      </c>
      <c r="C230">
        <f t="shared" si="109"/>
        <v>240</v>
      </c>
      <c r="D230">
        <f t="shared" si="123"/>
        <v>0</v>
      </c>
      <c r="E230">
        <f t="shared" si="143"/>
        <v>4</v>
      </c>
      <c r="F230">
        <f t="shared" si="110"/>
        <v>270</v>
      </c>
      <c r="G230">
        <f t="shared" si="124"/>
        <v>0</v>
      </c>
      <c r="H230">
        <f t="shared" si="132"/>
        <v>3</v>
      </c>
      <c r="I230">
        <f t="shared" si="111"/>
        <v>240</v>
      </c>
      <c r="J230">
        <f t="shared" si="125"/>
        <v>0</v>
      </c>
      <c r="K230">
        <f t="shared" si="133"/>
        <v>3</v>
      </c>
      <c r="L230">
        <f t="shared" si="112"/>
        <v>360</v>
      </c>
      <c r="M230">
        <f t="shared" si="126"/>
        <v>0</v>
      </c>
      <c r="N230">
        <f t="shared" si="134"/>
        <v>2</v>
      </c>
      <c r="O230">
        <f t="shared" si="113"/>
        <v>300</v>
      </c>
      <c r="P230">
        <f t="shared" si="135"/>
        <v>0</v>
      </c>
      <c r="Q230">
        <f t="shared" si="136"/>
        <v>2</v>
      </c>
      <c r="R230">
        <f t="shared" si="114"/>
        <v>300</v>
      </c>
      <c r="S230">
        <f t="shared" si="137"/>
        <v>0</v>
      </c>
      <c r="T230">
        <f t="shared" si="138"/>
        <v>-1</v>
      </c>
      <c r="U230">
        <f t="shared" si="127"/>
        <v>0</v>
      </c>
      <c r="V230">
        <f t="shared" si="128"/>
        <v>1</v>
      </c>
      <c r="W230">
        <f t="shared" si="115"/>
        <v>0</v>
      </c>
      <c r="X230">
        <f t="shared" si="139"/>
        <v>0</v>
      </c>
      <c r="Y230">
        <f t="shared" si="116"/>
        <v>0</v>
      </c>
      <c r="Z230">
        <f t="shared" si="117"/>
        <v>0</v>
      </c>
      <c r="AA230">
        <f t="shared" si="118"/>
        <v>0</v>
      </c>
      <c r="AB230" s="29">
        <f t="shared" si="119"/>
        <v>0.74178816089935007</v>
      </c>
      <c r="AC230" s="25">
        <f t="shared" si="129"/>
        <v>127.49804426656831</v>
      </c>
      <c r="AD230" s="29">
        <f t="shared" si="120"/>
        <v>1.0808524183153847</v>
      </c>
      <c r="AE230" s="25">
        <f t="shared" si="130"/>
        <v>13.243681724743192</v>
      </c>
      <c r="AF230" s="25">
        <f t="shared" si="121"/>
        <v>13.243681724743192</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290.78918279358999</v>
      </c>
      <c r="AH230" s="25">
        <f t="shared" si="140"/>
        <v>0</v>
      </c>
      <c r="AI230" s="25">
        <f t="shared" si="141"/>
        <v>0</v>
      </c>
      <c r="AJ230" s="25">
        <f t="shared" si="142"/>
        <v>0</v>
      </c>
    </row>
    <row r="231" spans="1:36">
      <c r="A231">
        <f t="shared" si="122"/>
        <v>228</v>
      </c>
      <c r="B231">
        <f t="shared" si="131"/>
        <v>5</v>
      </c>
      <c r="C231">
        <f t="shared" si="109"/>
        <v>240</v>
      </c>
      <c r="D231">
        <f t="shared" si="123"/>
        <v>0</v>
      </c>
      <c r="E231">
        <f t="shared" si="143"/>
        <v>4</v>
      </c>
      <c r="F231">
        <f t="shared" si="110"/>
        <v>270</v>
      </c>
      <c r="G231">
        <f t="shared" si="124"/>
        <v>0</v>
      </c>
      <c r="H231">
        <f t="shared" si="132"/>
        <v>3</v>
      </c>
      <c r="I231">
        <f t="shared" si="111"/>
        <v>240</v>
      </c>
      <c r="J231">
        <f t="shared" si="125"/>
        <v>0</v>
      </c>
      <c r="K231">
        <f t="shared" si="133"/>
        <v>3</v>
      </c>
      <c r="L231">
        <f t="shared" si="112"/>
        <v>360</v>
      </c>
      <c r="M231">
        <f t="shared" si="126"/>
        <v>0</v>
      </c>
      <c r="N231">
        <f t="shared" si="134"/>
        <v>2</v>
      </c>
      <c r="O231">
        <f t="shared" si="113"/>
        <v>300</v>
      </c>
      <c r="P231">
        <f t="shared" si="135"/>
        <v>0</v>
      </c>
      <c r="Q231">
        <f t="shared" si="136"/>
        <v>2</v>
      </c>
      <c r="R231">
        <f t="shared" si="114"/>
        <v>300</v>
      </c>
      <c r="S231">
        <f t="shared" si="137"/>
        <v>0</v>
      </c>
      <c r="T231">
        <f t="shared" si="138"/>
        <v>-1</v>
      </c>
      <c r="U231">
        <f t="shared" si="127"/>
        <v>0</v>
      </c>
      <c r="V231">
        <f t="shared" si="128"/>
        <v>1</v>
      </c>
      <c r="W231">
        <f t="shared" si="115"/>
        <v>0</v>
      </c>
      <c r="X231">
        <f t="shared" si="139"/>
        <v>0</v>
      </c>
      <c r="Y231">
        <f t="shared" si="116"/>
        <v>0</v>
      </c>
      <c r="Z231">
        <f t="shared" si="117"/>
        <v>0</v>
      </c>
      <c r="AA231">
        <f t="shared" si="118"/>
        <v>0</v>
      </c>
      <c r="AB231" s="29">
        <f t="shared" si="119"/>
        <v>0.74178816089935007</v>
      </c>
      <c r="AC231" s="25">
        <f t="shared" si="129"/>
        <v>127.49804426656831</v>
      </c>
      <c r="AD231" s="29">
        <f t="shared" si="120"/>
        <v>1.0808524183153847</v>
      </c>
      <c r="AE231" s="25">
        <f t="shared" si="130"/>
        <v>13.243681724743192</v>
      </c>
      <c r="AF231" s="25">
        <f t="shared" si="121"/>
        <v>13.243681724743192</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290.78918279358999</v>
      </c>
      <c r="AH231" s="25">
        <f t="shared" si="140"/>
        <v>0</v>
      </c>
      <c r="AI231" s="25">
        <f t="shared" si="141"/>
        <v>0</v>
      </c>
      <c r="AJ231" s="25">
        <f t="shared" si="142"/>
        <v>0</v>
      </c>
    </row>
    <row r="232" spans="1:36">
      <c r="A232">
        <f t="shared" si="122"/>
        <v>229</v>
      </c>
      <c r="B232">
        <f t="shared" si="131"/>
        <v>5</v>
      </c>
      <c r="C232">
        <f t="shared" si="109"/>
        <v>240</v>
      </c>
      <c r="D232">
        <f t="shared" si="123"/>
        <v>0</v>
      </c>
      <c r="E232">
        <f t="shared" si="143"/>
        <v>4</v>
      </c>
      <c r="F232">
        <f t="shared" si="110"/>
        <v>270</v>
      </c>
      <c r="G232">
        <f t="shared" si="124"/>
        <v>0</v>
      </c>
      <c r="H232">
        <f t="shared" si="132"/>
        <v>3</v>
      </c>
      <c r="I232">
        <f t="shared" si="111"/>
        <v>240</v>
      </c>
      <c r="J232">
        <f t="shared" si="125"/>
        <v>0</v>
      </c>
      <c r="K232">
        <f t="shared" si="133"/>
        <v>3</v>
      </c>
      <c r="L232">
        <f t="shared" si="112"/>
        <v>360</v>
      </c>
      <c r="M232">
        <f t="shared" si="126"/>
        <v>0</v>
      </c>
      <c r="N232">
        <f t="shared" si="134"/>
        <v>2</v>
      </c>
      <c r="O232">
        <f t="shared" si="113"/>
        <v>300</v>
      </c>
      <c r="P232">
        <f t="shared" si="135"/>
        <v>0</v>
      </c>
      <c r="Q232">
        <f t="shared" si="136"/>
        <v>2</v>
      </c>
      <c r="R232">
        <f t="shared" si="114"/>
        <v>300</v>
      </c>
      <c r="S232">
        <f t="shared" si="137"/>
        <v>0</v>
      </c>
      <c r="T232">
        <f t="shared" si="138"/>
        <v>-1</v>
      </c>
      <c r="U232">
        <f t="shared" si="127"/>
        <v>0</v>
      </c>
      <c r="V232">
        <f t="shared" si="128"/>
        <v>1</v>
      </c>
      <c r="W232">
        <f t="shared" si="115"/>
        <v>0</v>
      </c>
      <c r="X232">
        <f t="shared" si="139"/>
        <v>0</v>
      </c>
      <c r="Y232">
        <f t="shared" si="116"/>
        <v>0</v>
      </c>
      <c r="Z232">
        <f t="shared" si="117"/>
        <v>0</v>
      </c>
      <c r="AA232">
        <f t="shared" si="118"/>
        <v>0</v>
      </c>
      <c r="AB232" s="29">
        <f t="shared" si="119"/>
        <v>0.74178816089935007</v>
      </c>
      <c r="AC232" s="25">
        <f t="shared" si="129"/>
        <v>127.49804426656831</v>
      </c>
      <c r="AD232" s="29">
        <f t="shared" si="120"/>
        <v>1.0808524183153847</v>
      </c>
      <c r="AE232" s="25">
        <f t="shared" si="130"/>
        <v>13.243681724743192</v>
      </c>
      <c r="AF232" s="25">
        <f t="shared" si="121"/>
        <v>13.243681724743192</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290.78918279358999</v>
      </c>
      <c r="AH232" s="25">
        <f t="shared" si="140"/>
        <v>0</v>
      </c>
      <c r="AI232" s="25">
        <f t="shared" si="141"/>
        <v>0</v>
      </c>
      <c r="AJ232" s="25">
        <f t="shared" si="142"/>
        <v>0</v>
      </c>
    </row>
    <row r="233" spans="1:36">
      <c r="A233">
        <f t="shared" si="122"/>
        <v>230</v>
      </c>
      <c r="B233">
        <f t="shared" si="131"/>
        <v>5</v>
      </c>
      <c r="C233">
        <f t="shared" si="109"/>
        <v>240</v>
      </c>
      <c r="D233">
        <f t="shared" si="123"/>
        <v>0</v>
      </c>
      <c r="E233">
        <f t="shared" si="143"/>
        <v>4</v>
      </c>
      <c r="F233">
        <f t="shared" si="110"/>
        <v>270</v>
      </c>
      <c r="G233">
        <f t="shared" si="124"/>
        <v>0</v>
      </c>
      <c r="H233">
        <f t="shared" si="132"/>
        <v>3</v>
      </c>
      <c r="I233">
        <f t="shared" si="111"/>
        <v>240</v>
      </c>
      <c r="J233">
        <f t="shared" si="125"/>
        <v>0</v>
      </c>
      <c r="K233">
        <f t="shared" si="133"/>
        <v>3</v>
      </c>
      <c r="L233">
        <f t="shared" si="112"/>
        <v>360</v>
      </c>
      <c r="M233">
        <f t="shared" si="126"/>
        <v>0</v>
      </c>
      <c r="N233">
        <f t="shared" si="134"/>
        <v>2</v>
      </c>
      <c r="O233">
        <f t="shared" si="113"/>
        <v>300</v>
      </c>
      <c r="P233">
        <f t="shared" si="135"/>
        <v>0</v>
      </c>
      <c r="Q233">
        <f t="shared" si="136"/>
        <v>2</v>
      </c>
      <c r="R233">
        <f t="shared" si="114"/>
        <v>300</v>
      </c>
      <c r="S233">
        <f t="shared" si="137"/>
        <v>0</v>
      </c>
      <c r="T233">
        <f t="shared" si="138"/>
        <v>-1</v>
      </c>
      <c r="U233">
        <f t="shared" si="127"/>
        <v>0</v>
      </c>
      <c r="V233">
        <f t="shared" si="128"/>
        <v>1</v>
      </c>
      <c r="W233">
        <f t="shared" si="115"/>
        <v>0</v>
      </c>
      <c r="X233">
        <f t="shared" si="139"/>
        <v>0</v>
      </c>
      <c r="Y233">
        <f t="shared" si="116"/>
        <v>0</v>
      </c>
      <c r="Z233">
        <f t="shared" si="117"/>
        <v>0</v>
      </c>
      <c r="AA233">
        <f t="shared" si="118"/>
        <v>0</v>
      </c>
      <c r="AB233" s="29">
        <f t="shared" si="119"/>
        <v>0.74178816089935007</v>
      </c>
      <c r="AC233" s="25">
        <f t="shared" si="129"/>
        <v>127.49804426656831</v>
      </c>
      <c r="AD233" s="29">
        <f t="shared" si="120"/>
        <v>1.0808524183153847</v>
      </c>
      <c r="AE233" s="25">
        <f t="shared" si="130"/>
        <v>13.243681724743192</v>
      </c>
      <c r="AF233" s="25">
        <f t="shared" si="121"/>
        <v>13.243681724743192</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290.78918279358999</v>
      </c>
      <c r="AH233" s="25">
        <f t="shared" si="140"/>
        <v>0</v>
      </c>
      <c r="AI233" s="25">
        <f t="shared" si="141"/>
        <v>0</v>
      </c>
      <c r="AJ233" s="25">
        <f t="shared" si="142"/>
        <v>0</v>
      </c>
    </row>
    <row r="234" spans="1:36">
      <c r="A234">
        <f t="shared" si="122"/>
        <v>231</v>
      </c>
      <c r="B234">
        <f t="shared" si="131"/>
        <v>5</v>
      </c>
      <c r="C234">
        <f t="shared" si="109"/>
        <v>240</v>
      </c>
      <c r="D234">
        <f t="shared" si="123"/>
        <v>0</v>
      </c>
      <c r="E234">
        <f t="shared" si="143"/>
        <v>4</v>
      </c>
      <c r="F234">
        <f t="shared" si="110"/>
        <v>270</v>
      </c>
      <c r="G234">
        <f t="shared" si="124"/>
        <v>0</v>
      </c>
      <c r="H234">
        <f t="shared" si="132"/>
        <v>3</v>
      </c>
      <c r="I234">
        <f t="shared" si="111"/>
        <v>240</v>
      </c>
      <c r="J234">
        <f t="shared" si="125"/>
        <v>0</v>
      </c>
      <c r="K234">
        <f t="shared" si="133"/>
        <v>3</v>
      </c>
      <c r="L234">
        <f t="shared" si="112"/>
        <v>360</v>
      </c>
      <c r="M234">
        <f t="shared" si="126"/>
        <v>0</v>
      </c>
      <c r="N234">
        <f t="shared" si="134"/>
        <v>2</v>
      </c>
      <c r="O234">
        <f t="shared" si="113"/>
        <v>300</v>
      </c>
      <c r="P234">
        <f t="shared" si="135"/>
        <v>0</v>
      </c>
      <c r="Q234">
        <f t="shared" si="136"/>
        <v>2</v>
      </c>
      <c r="R234">
        <f t="shared" si="114"/>
        <v>300</v>
      </c>
      <c r="S234">
        <f t="shared" si="137"/>
        <v>0</v>
      </c>
      <c r="T234">
        <f t="shared" si="138"/>
        <v>-1</v>
      </c>
      <c r="U234">
        <f t="shared" si="127"/>
        <v>0</v>
      </c>
      <c r="V234">
        <f t="shared" si="128"/>
        <v>1</v>
      </c>
      <c r="W234">
        <f t="shared" si="115"/>
        <v>0</v>
      </c>
      <c r="X234">
        <f t="shared" si="139"/>
        <v>0</v>
      </c>
      <c r="Y234">
        <f t="shared" si="116"/>
        <v>0</v>
      </c>
      <c r="Z234">
        <f t="shared" si="117"/>
        <v>0</v>
      </c>
      <c r="AA234">
        <f t="shared" si="118"/>
        <v>0</v>
      </c>
      <c r="AB234" s="29">
        <f t="shared" si="119"/>
        <v>0.74178816089935007</v>
      </c>
      <c r="AC234" s="25">
        <f t="shared" si="129"/>
        <v>127.49804426656831</v>
      </c>
      <c r="AD234" s="29">
        <f t="shared" si="120"/>
        <v>1.0808524183153847</v>
      </c>
      <c r="AE234" s="25">
        <f t="shared" si="130"/>
        <v>13.243681724743192</v>
      </c>
      <c r="AF234" s="25">
        <f t="shared" si="121"/>
        <v>13.243681724743192</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290.78918279358999</v>
      </c>
      <c r="AH234" s="25">
        <f t="shared" si="140"/>
        <v>0</v>
      </c>
      <c r="AI234" s="25">
        <f t="shared" si="141"/>
        <v>0</v>
      </c>
      <c r="AJ234" s="25">
        <f t="shared" si="142"/>
        <v>0</v>
      </c>
    </row>
    <row r="235" spans="1:36">
      <c r="A235">
        <f t="shared" si="122"/>
        <v>232</v>
      </c>
      <c r="B235">
        <f t="shared" si="131"/>
        <v>5</v>
      </c>
      <c r="C235">
        <f t="shared" si="109"/>
        <v>240</v>
      </c>
      <c r="D235">
        <f t="shared" si="123"/>
        <v>0</v>
      </c>
      <c r="E235">
        <f t="shared" si="143"/>
        <v>4</v>
      </c>
      <c r="F235">
        <f t="shared" si="110"/>
        <v>270</v>
      </c>
      <c r="G235">
        <f t="shared" si="124"/>
        <v>0</v>
      </c>
      <c r="H235">
        <f t="shared" si="132"/>
        <v>3</v>
      </c>
      <c r="I235">
        <f t="shared" si="111"/>
        <v>240</v>
      </c>
      <c r="J235">
        <f t="shared" si="125"/>
        <v>0</v>
      </c>
      <c r="K235">
        <f t="shared" si="133"/>
        <v>3</v>
      </c>
      <c r="L235">
        <f t="shared" si="112"/>
        <v>360</v>
      </c>
      <c r="M235">
        <f t="shared" si="126"/>
        <v>0</v>
      </c>
      <c r="N235">
        <f t="shared" si="134"/>
        <v>2</v>
      </c>
      <c r="O235">
        <f t="shared" si="113"/>
        <v>300</v>
      </c>
      <c r="P235">
        <f t="shared" si="135"/>
        <v>0</v>
      </c>
      <c r="Q235">
        <f t="shared" si="136"/>
        <v>2</v>
      </c>
      <c r="R235">
        <f t="shared" si="114"/>
        <v>300</v>
      </c>
      <c r="S235">
        <f t="shared" si="137"/>
        <v>0</v>
      </c>
      <c r="T235">
        <f t="shared" si="138"/>
        <v>-1</v>
      </c>
      <c r="U235">
        <f t="shared" si="127"/>
        <v>0</v>
      </c>
      <c r="V235">
        <f t="shared" si="128"/>
        <v>1</v>
      </c>
      <c r="W235">
        <f t="shared" si="115"/>
        <v>0</v>
      </c>
      <c r="X235">
        <f t="shared" si="139"/>
        <v>0</v>
      </c>
      <c r="Y235">
        <f t="shared" si="116"/>
        <v>0</v>
      </c>
      <c r="Z235">
        <f t="shared" si="117"/>
        <v>0</v>
      </c>
      <c r="AA235">
        <f t="shared" si="118"/>
        <v>0</v>
      </c>
      <c r="AB235" s="29">
        <f t="shared" si="119"/>
        <v>0.74178816089935007</v>
      </c>
      <c r="AC235" s="25">
        <f t="shared" si="129"/>
        <v>127.49804426656831</v>
      </c>
      <c r="AD235" s="29">
        <f t="shared" si="120"/>
        <v>1.0808524183153847</v>
      </c>
      <c r="AE235" s="25">
        <f t="shared" si="130"/>
        <v>13.243681724743192</v>
      </c>
      <c r="AF235" s="25">
        <f t="shared" si="121"/>
        <v>13.243681724743192</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290.78918279358999</v>
      </c>
      <c r="AH235" s="25">
        <f t="shared" si="140"/>
        <v>0</v>
      </c>
      <c r="AI235" s="25">
        <f t="shared" si="141"/>
        <v>0</v>
      </c>
      <c r="AJ235" s="25">
        <f t="shared" si="142"/>
        <v>0</v>
      </c>
    </row>
    <row r="236" spans="1:36">
      <c r="A236">
        <f t="shared" si="122"/>
        <v>233</v>
      </c>
      <c r="B236">
        <f t="shared" si="131"/>
        <v>5</v>
      </c>
      <c r="C236">
        <f t="shared" si="109"/>
        <v>240</v>
      </c>
      <c r="D236">
        <f t="shared" si="123"/>
        <v>0</v>
      </c>
      <c r="E236">
        <f t="shared" si="143"/>
        <v>4</v>
      </c>
      <c r="F236">
        <f t="shared" si="110"/>
        <v>270</v>
      </c>
      <c r="G236">
        <f t="shared" si="124"/>
        <v>0</v>
      </c>
      <c r="H236">
        <f t="shared" si="132"/>
        <v>3</v>
      </c>
      <c r="I236">
        <f t="shared" si="111"/>
        <v>240</v>
      </c>
      <c r="J236">
        <f t="shared" si="125"/>
        <v>0</v>
      </c>
      <c r="K236">
        <f t="shared" si="133"/>
        <v>3</v>
      </c>
      <c r="L236">
        <f t="shared" si="112"/>
        <v>360</v>
      </c>
      <c r="M236">
        <f t="shared" si="126"/>
        <v>0</v>
      </c>
      <c r="N236">
        <f t="shared" si="134"/>
        <v>2</v>
      </c>
      <c r="O236">
        <f t="shared" si="113"/>
        <v>300</v>
      </c>
      <c r="P236">
        <f t="shared" si="135"/>
        <v>0</v>
      </c>
      <c r="Q236">
        <f t="shared" si="136"/>
        <v>2</v>
      </c>
      <c r="R236">
        <f t="shared" si="114"/>
        <v>300</v>
      </c>
      <c r="S236">
        <f t="shared" si="137"/>
        <v>0</v>
      </c>
      <c r="T236">
        <f t="shared" si="138"/>
        <v>-1</v>
      </c>
      <c r="U236">
        <f t="shared" si="127"/>
        <v>0</v>
      </c>
      <c r="V236">
        <f t="shared" si="128"/>
        <v>1</v>
      </c>
      <c r="W236">
        <f t="shared" si="115"/>
        <v>0</v>
      </c>
      <c r="X236">
        <f t="shared" si="139"/>
        <v>0</v>
      </c>
      <c r="Y236">
        <f t="shared" si="116"/>
        <v>0</v>
      </c>
      <c r="Z236">
        <f t="shared" si="117"/>
        <v>0</v>
      </c>
      <c r="AA236">
        <f t="shared" si="118"/>
        <v>0</v>
      </c>
      <c r="AB236" s="29">
        <f t="shared" si="119"/>
        <v>0.74178816089935007</v>
      </c>
      <c r="AC236" s="25">
        <f t="shared" si="129"/>
        <v>127.49804426656831</v>
      </c>
      <c r="AD236" s="29">
        <f t="shared" si="120"/>
        <v>1.0808524183153847</v>
      </c>
      <c r="AE236" s="25">
        <f t="shared" si="130"/>
        <v>13.243681724743192</v>
      </c>
      <c r="AF236" s="25">
        <f t="shared" si="121"/>
        <v>13.243681724743192</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290.78918279358999</v>
      </c>
      <c r="AH236" s="25">
        <f t="shared" si="140"/>
        <v>0</v>
      </c>
      <c r="AI236" s="25">
        <f t="shared" si="141"/>
        <v>0</v>
      </c>
      <c r="AJ236" s="25">
        <f t="shared" si="142"/>
        <v>0</v>
      </c>
    </row>
    <row r="237" spans="1:36">
      <c r="A237">
        <f t="shared" si="122"/>
        <v>234</v>
      </c>
      <c r="B237">
        <f t="shared" si="131"/>
        <v>5</v>
      </c>
      <c r="C237">
        <f t="shared" si="109"/>
        <v>240</v>
      </c>
      <c r="D237">
        <f t="shared" si="123"/>
        <v>0</v>
      </c>
      <c r="E237">
        <f t="shared" si="143"/>
        <v>4</v>
      </c>
      <c r="F237">
        <f t="shared" si="110"/>
        <v>270</v>
      </c>
      <c r="G237">
        <f t="shared" si="124"/>
        <v>0</v>
      </c>
      <c r="H237">
        <f t="shared" si="132"/>
        <v>3</v>
      </c>
      <c r="I237">
        <f t="shared" si="111"/>
        <v>240</v>
      </c>
      <c r="J237">
        <f t="shared" si="125"/>
        <v>0</v>
      </c>
      <c r="K237">
        <f t="shared" si="133"/>
        <v>3</v>
      </c>
      <c r="L237">
        <f t="shared" si="112"/>
        <v>360</v>
      </c>
      <c r="M237">
        <f t="shared" si="126"/>
        <v>0</v>
      </c>
      <c r="N237">
        <f t="shared" si="134"/>
        <v>2</v>
      </c>
      <c r="O237">
        <f t="shared" si="113"/>
        <v>300</v>
      </c>
      <c r="P237">
        <f t="shared" si="135"/>
        <v>0</v>
      </c>
      <c r="Q237">
        <f t="shared" si="136"/>
        <v>2</v>
      </c>
      <c r="R237">
        <f t="shared" si="114"/>
        <v>300</v>
      </c>
      <c r="S237">
        <f t="shared" si="137"/>
        <v>0</v>
      </c>
      <c r="T237">
        <f t="shared" si="138"/>
        <v>-1</v>
      </c>
      <c r="U237">
        <f t="shared" si="127"/>
        <v>0</v>
      </c>
      <c r="V237">
        <f t="shared" si="128"/>
        <v>1</v>
      </c>
      <c r="W237">
        <f t="shared" si="115"/>
        <v>0</v>
      </c>
      <c r="X237">
        <f t="shared" si="139"/>
        <v>0</v>
      </c>
      <c r="Y237">
        <f t="shared" si="116"/>
        <v>0</v>
      </c>
      <c r="Z237">
        <f t="shared" si="117"/>
        <v>0</v>
      </c>
      <c r="AA237">
        <f t="shared" si="118"/>
        <v>0</v>
      </c>
      <c r="AB237" s="29">
        <f t="shared" si="119"/>
        <v>0.74178816089935007</v>
      </c>
      <c r="AC237" s="25">
        <f t="shared" si="129"/>
        <v>127.49804426656831</v>
      </c>
      <c r="AD237" s="29">
        <f t="shared" si="120"/>
        <v>1.0808524183153847</v>
      </c>
      <c r="AE237" s="25">
        <f t="shared" si="130"/>
        <v>13.243681724743192</v>
      </c>
      <c r="AF237" s="25">
        <f t="shared" si="121"/>
        <v>13.243681724743192</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290.78918279358999</v>
      </c>
      <c r="AH237" s="25">
        <f t="shared" si="140"/>
        <v>0</v>
      </c>
      <c r="AI237" s="25">
        <f t="shared" si="141"/>
        <v>0</v>
      </c>
      <c r="AJ237" s="25">
        <f t="shared" si="142"/>
        <v>0</v>
      </c>
    </row>
    <row r="238" spans="1:36">
      <c r="A238">
        <f t="shared" si="122"/>
        <v>235</v>
      </c>
      <c r="B238">
        <f t="shared" si="131"/>
        <v>5</v>
      </c>
      <c r="C238">
        <f t="shared" si="109"/>
        <v>240</v>
      </c>
      <c r="D238">
        <f t="shared" si="123"/>
        <v>0</v>
      </c>
      <c r="E238">
        <f t="shared" si="143"/>
        <v>4</v>
      </c>
      <c r="F238">
        <f t="shared" si="110"/>
        <v>270</v>
      </c>
      <c r="G238">
        <f t="shared" si="124"/>
        <v>0</v>
      </c>
      <c r="H238">
        <f t="shared" si="132"/>
        <v>3</v>
      </c>
      <c r="I238">
        <f t="shared" si="111"/>
        <v>240</v>
      </c>
      <c r="J238">
        <f t="shared" si="125"/>
        <v>0</v>
      </c>
      <c r="K238">
        <f t="shared" si="133"/>
        <v>3</v>
      </c>
      <c r="L238">
        <f t="shared" si="112"/>
        <v>360</v>
      </c>
      <c r="M238">
        <f t="shared" si="126"/>
        <v>0</v>
      </c>
      <c r="N238">
        <f t="shared" si="134"/>
        <v>2</v>
      </c>
      <c r="O238">
        <f t="shared" si="113"/>
        <v>300</v>
      </c>
      <c r="P238">
        <f t="shared" si="135"/>
        <v>0</v>
      </c>
      <c r="Q238">
        <f t="shared" si="136"/>
        <v>2</v>
      </c>
      <c r="R238">
        <f t="shared" si="114"/>
        <v>300</v>
      </c>
      <c r="S238">
        <f t="shared" si="137"/>
        <v>0</v>
      </c>
      <c r="T238">
        <f t="shared" si="138"/>
        <v>-1</v>
      </c>
      <c r="U238">
        <f t="shared" si="127"/>
        <v>0</v>
      </c>
      <c r="V238">
        <f t="shared" si="128"/>
        <v>1</v>
      </c>
      <c r="W238">
        <f t="shared" si="115"/>
        <v>0</v>
      </c>
      <c r="X238">
        <f t="shared" si="139"/>
        <v>0</v>
      </c>
      <c r="Y238">
        <f t="shared" si="116"/>
        <v>0</v>
      </c>
      <c r="Z238">
        <f t="shared" si="117"/>
        <v>0</v>
      </c>
      <c r="AA238">
        <f t="shared" si="118"/>
        <v>0</v>
      </c>
      <c r="AB238" s="29">
        <f t="shared" si="119"/>
        <v>0.74178816089935007</v>
      </c>
      <c r="AC238" s="25">
        <f t="shared" si="129"/>
        <v>127.49804426656831</v>
      </c>
      <c r="AD238" s="29">
        <f t="shared" si="120"/>
        <v>1.0808524183153847</v>
      </c>
      <c r="AE238" s="25">
        <f t="shared" si="130"/>
        <v>13.243681724743192</v>
      </c>
      <c r="AF238" s="25">
        <f t="shared" si="121"/>
        <v>13.243681724743192</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290.78918279358999</v>
      </c>
      <c r="AH238" s="25">
        <f t="shared" si="140"/>
        <v>0</v>
      </c>
      <c r="AI238" s="25">
        <f t="shared" si="141"/>
        <v>0</v>
      </c>
      <c r="AJ238" s="25">
        <f t="shared" si="142"/>
        <v>0</v>
      </c>
    </row>
    <row r="239" spans="1:36">
      <c r="A239">
        <f t="shared" si="122"/>
        <v>236</v>
      </c>
      <c r="B239">
        <f t="shared" si="131"/>
        <v>5</v>
      </c>
      <c r="C239">
        <f t="shared" si="109"/>
        <v>240</v>
      </c>
      <c r="D239">
        <f t="shared" si="123"/>
        <v>0</v>
      </c>
      <c r="E239">
        <f t="shared" si="143"/>
        <v>4</v>
      </c>
      <c r="F239">
        <f t="shared" si="110"/>
        <v>270</v>
      </c>
      <c r="G239">
        <f t="shared" si="124"/>
        <v>0</v>
      </c>
      <c r="H239">
        <f t="shared" si="132"/>
        <v>3</v>
      </c>
      <c r="I239">
        <f t="shared" si="111"/>
        <v>240</v>
      </c>
      <c r="J239">
        <f t="shared" si="125"/>
        <v>0</v>
      </c>
      <c r="K239">
        <f t="shared" si="133"/>
        <v>3</v>
      </c>
      <c r="L239">
        <f t="shared" si="112"/>
        <v>360</v>
      </c>
      <c r="M239">
        <f t="shared" si="126"/>
        <v>0</v>
      </c>
      <c r="N239">
        <f t="shared" si="134"/>
        <v>2</v>
      </c>
      <c r="O239">
        <f t="shared" si="113"/>
        <v>300</v>
      </c>
      <c r="P239">
        <f t="shared" si="135"/>
        <v>0</v>
      </c>
      <c r="Q239">
        <f t="shared" si="136"/>
        <v>2</v>
      </c>
      <c r="R239">
        <f t="shared" si="114"/>
        <v>300</v>
      </c>
      <c r="S239">
        <f t="shared" si="137"/>
        <v>0</v>
      </c>
      <c r="T239">
        <f t="shared" si="138"/>
        <v>-1</v>
      </c>
      <c r="U239">
        <f t="shared" si="127"/>
        <v>0</v>
      </c>
      <c r="V239">
        <f t="shared" si="128"/>
        <v>1</v>
      </c>
      <c r="W239">
        <f t="shared" si="115"/>
        <v>0</v>
      </c>
      <c r="X239">
        <f t="shared" si="139"/>
        <v>0</v>
      </c>
      <c r="Y239">
        <f t="shared" si="116"/>
        <v>0</v>
      </c>
      <c r="Z239">
        <f t="shared" si="117"/>
        <v>0</v>
      </c>
      <c r="AA239">
        <f t="shared" si="118"/>
        <v>0</v>
      </c>
      <c r="AB239" s="29">
        <f t="shared" si="119"/>
        <v>0.74178816089935007</v>
      </c>
      <c r="AC239" s="25">
        <f t="shared" si="129"/>
        <v>127.49804426656831</v>
      </c>
      <c r="AD239" s="29">
        <f t="shared" si="120"/>
        <v>1.0808524183153847</v>
      </c>
      <c r="AE239" s="25">
        <f t="shared" si="130"/>
        <v>13.243681724743192</v>
      </c>
      <c r="AF239" s="25">
        <f t="shared" si="121"/>
        <v>13.243681724743192</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290.78918279358999</v>
      </c>
      <c r="AH239" s="25">
        <f t="shared" si="140"/>
        <v>0</v>
      </c>
      <c r="AI239" s="25">
        <f t="shared" si="141"/>
        <v>0</v>
      </c>
      <c r="AJ239" s="25">
        <f t="shared" si="142"/>
        <v>0</v>
      </c>
    </row>
    <row r="240" spans="1:36">
      <c r="A240">
        <f t="shared" si="122"/>
        <v>237</v>
      </c>
      <c r="B240">
        <f t="shared" si="131"/>
        <v>5</v>
      </c>
      <c r="C240">
        <f t="shared" si="109"/>
        <v>240</v>
      </c>
      <c r="D240">
        <f t="shared" si="123"/>
        <v>0</v>
      </c>
      <c r="E240">
        <f t="shared" si="143"/>
        <v>4</v>
      </c>
      <c r="F240">
        <f t="shared" si="110"/>
        <v>270</v>
      </c>
      <c r="G240">
        <f t="shared" si="124"/>
        <v>0</v>
      </c>
      <c r="H240">
        <f t="shared" si="132"/>
        <v>3</v>
      </c>
      <c r="I240">
        <f t="shared" si="111"/>
        <v>240</v>
      </c>
      <c r="J240">
        <f t="shared" si="125"/>
        <v>0</v>
      </c>
      <c r="K240">
        <f t="shared" si="133"/>
        <v>3</v>
      </c>
      <c r="L240">
        <f t="shared" si="112"/>
        <v>360</v>
      </c>
      <c r="M240">
        <f t="shared" si="126"/>
        <v>0</v>
      </c>
      <c r="N240">
        <f t="shared" si="134"/>
        <v>2</v>
      </c>
      <c r="O240">
        <f t="shared" si="113"/>
        <v>300</v>
      </c>
      <c r="P240">
        <f t="shared" si="135"/>
        <v>0</v>
      </c>
      <c r="Q240">
        <f t="shared" si="136"/>
        <v>2</v>
      </c>
      <c r="R240">
        <f t="shared" si="114"/>
        <v>300</v>
      </c>
      <c r="S240">
        <f t="shared" si="137"/>
        <v>0</v>
      </c>
      <c r="T240">
        <f t="shared" si="138"/>
        <v>-1</v>
      </c>
      <c r="U240">
        <f t="shared" si="127"/>
        <v>0</v>
      </c>
      <c r="V240">
        <f t="shared" si="128"/>
        <v>1</v>
      </c>
      <c r="W240">
        <f t="shared" si="115"/>
        <v>0</v>
      </c>
      <c r="X240">
        <f t="shared" si="139"/>
        <v>0</v>
      </c>
      <c r="Y240">
        <f t="shared" si="116"/>
        <v>0</v>
      </c>
      <c r="Z240">
        <f t="shared" si="117"/>
        <v>0</v>
      </c>
      <c r="AA240">
        <f t="shared" si="118"/>
        <v>0</v>
      </c>
      <c r="AB240" s="29">
        <f t="shared" si="119"/>
        <v>0.74178816089935007</v>
      </c>
      <c r="AC240" s="25">
        <f t="shared" si="129"/>
        <v>127.49804426656831</v>
      </c>
      <c r="AD240" s="29">
        <f t="shared" si="120"/>
        <v>1.0808524183153847</v>
      </c>
      <c r="AE240" s="25">
        <f t="shared" si="130"/>
        <v>13.243681724743192</v>
      </c>
      <c r="AF240" s="25">
        <f t="shared" si="121"/>
        <v>13.243681724743192</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290.78918279358999</v>
      </c>
      <c r="AH240" s="25">
        <f t="shared" si="140"/>
        <v>0</v>
      </c>
      <c r="AI240" s="25">
        <f t="shared" si="141"/>
        <v>0</v>
      </c>
      <c r="AJ240" s="25">
        <f t="shared" si="142"/>
        <v>0</v>
      </c>
    </row>
    <row r="241" spans="1:36">
      <c r="A241">
        <f t="shared" si="122"/>
        <v>238</v>
      </c>
      <c r="B241">
        <f t="shared" si="131"/>
        <v>5</v>
      </c>
      <c r="C241">
        <f t="shared" si="109"/>
        <v>240</v>
      </c>
      <c r="D241">
        <f t="shared" si="123"/>
        <v>0</v>
      </c>
      <c r="E241">
        <f t="shared" si="143"/>
        <v>4</v>
      </c>
      <c r="F241">
        <f t="shared" si="110"/>
        <v>270</v>
      </c>
      <c r="G241">
        <f t="shared" si="124"/>
        <v>0</v>
      </c>
      <c r="H241">
        <f t="shared" si="132"/>
        <v>3</v>
      </c>
      <c r="I241">
        <f t="shared" si="111"/>
        <v>240</v>
      </c>
      <c r="J241">
        <f t="shared" si="125"/>
        <v>0</v>
      </c>
      <c r="K241">
        <f t="shared" si="133"/>
        <v>3</v>
      </c>
      <c r="L241">
        <f t="shared" si="112"/>
        <v>360</v>
      </c>
      <c r="M241">
        <f t="shared" si="126"/>
        <v>0</v>
      </c>
      <c r="N241">
        <f t="shared" si="134"/>
        <v>2</v>
      </c>
      <c r="O241">
        <f t="shared" si="113"/>
        <v>300</v>
      </c>
      <c r="P241">
        <f t="shared" si="135"/>
        <v>0</v>
      </c>
      <c r="Q241">
        <f t="shared" si="136"/>
        <v>2</v>
      </c>
      <c r="R241">
        <f t="shared" si="114"/>
        <v>300</v>
      </c>
      <c r="S241">
        <f t="shared" si="137"/>
        <v>0</v>
      </c>
      <c r="T241">
        <f t="shared" si="138"/>
        <v>-1</v>
      </c>
      <c r="U241">
        <f t="shared" si="127"/>
        <v>0</v>
      </c>
      <c r="V241">
        <f t="shared" si="128"/>
        <v>1</v>
      </c>
      <c r="W241">
        <f t="shared" si="115"/>
        <v>0</v>
      </c>
      <c r="X241">
        <f t="shared" si="139"/>
        <v>0</v>
      </c>
      <c r="Y241">
        <f t="shared" si="116"/>
        <v>0</v>
      </c>
      <c r="Z241">
        <f t="shared" si="117"/>
        <v>0</v>
      </c>
      <c r="AA241">
        <f t="shared" si="118"/>
        <v>0</v>
      </c>
      <c r="AB241" s="29">
        <f t="shared" si="119"/>
        <v>0.74178816089935007</v>
      </c>
      <c r="AC241" s="25">
        <f t="shared" si="129"/>
        <v>127.49804426656831</v>
      </c>
      <c r="AD241" s="29">
        <f t="shared" si="120"/>
        <v>1.0808524183153847</v>
      </c>
      <c r="AE241" s="25">
        <f t="shared" si="130"/>
        <v>13.243681724743192</v>
      </c>
      <c r="AF241" s="25">
        <f t="shared" si="121"/>
        <v>13.243681724743192</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290.78918279358999</v>
      </c>
      <c r="AH241" s="25">
        <f t="shared" si="140"/>
        <v>0</v>
      </c>
      <c r="AI241" s="25">
        <f t="shared" si="141"/>
        <v>0</v>
      </c>
      <c r="AJ241" s="25">
        <f t="shared" si="142"/>
        <v>0</v>
      </c>
    </row>
    <row r="242" spans="1:36">
      <c r="A242">
        <f t="shared" si="122"/>
        <v>239</v>
      </c>
      <c r="B242">
        <f t="shared" si="131"/>
        <v>5</v>
      </c>
      <c r="C242">
        <f t="shared" si="109"/>
        <v>240</v>
      </c>
      <c r="D242">
        <f t="shared" si="123"/>
        <v>0</v>
      </c>
      <c r="E242">
        <f t="shared" si="143"/>
        <v>4</v>
      </c>
      <c r="F242">
        <f t="shared" si="110"/>
        <v>270</v>
      </c>
      <c r="G242">
        <f t="shared" si="124"/>
        <v>0</v>
      </c>
      <c r="H242">
        <f t="shared" si="132"/>
        <v>3</v>
      </c>
      <c r="I242">
        <f t="shared" si="111"/>
        <v>240</v>
      </c>
      <c r="J242">
        <f t="shared" si="125"/>
        <v>0</v>
      </c>
      <c r="K242">
        <f t="shared" si="133"/>
        <v>3</v>
      </c>
      <c r="L242">
        <f t="shared" si="112"/>
        <v>360</v>
      </c>
      <c r="M242">
        <f t="shared" si="126"/>
        <v>0</v>
      </c>
      <c r="N242">
        <f t="shared" si="134"/>
        <v>2</v>
      </c>
      <c r="O242">
        <f t="shared" si="113"/>
        <v>300</v>
      </c>
      <c r="P242">
        <f t="shared" si="135"/>
        <v>0</v>
      </c>
      <c r="Q242">
        <f t="shared" si="136"/>
        <v>2</v>
      </c>
      <c r="R242">
        <f t="shared" si="114"/>
        <v>300</v>
      </c>
      <c r="S242">
        <f t="shared" si="137"/>
        <v>0</v>
      </c>
      <c r="T242">
        <f t="shared" si="138"/>
        <v>-1</v>
      </c>
      <c r="U242">
        <f t="shared" si="127"/>
        <v>0</v>
      </c>
      <c r="V242">
        <f t="shared" si="128"/>
        <v>1</v>
      </c>
      <c r="W242">
        <f t="shared" si="115"/>
        <v>0</v>
      </c>
      <c r="X242">
        <f t="shared" si="139"/>
        <v>0</v>
      </c>
      <c r="Y242">
        <f t="shared" si="116"/>
        <v>0</v>
      </c>
      <c r="Z242">
        <f t="shared" si="117"/>
        <v>0</v>
      </c>
      <c r="AA242">
        <f t="shared" si="118"/>
        <v>0</v>
      </c>
      <c r="AB242" s="29">
        <f t="shared" si="119"/>
        <v>0.74178816089935007</v>
      </c>
      <c r="AC242" s="25">
        <f t="shared" si="129"/>
        <v>127.49804426656831</v>
      </c>
      <c r="AD242" s="29">
        <f t="shared" si="120"/>
        <v>1.0808524183153847</v>
      </c>
      <c r="AE242" s="25">
        <f t="shared" si="130"/>
        <v>13.243681724743192</v>
      </c>
      <c r="AF242" s="25">
        <f t="shared" si="121"/>
        <v>13.243681724743192</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290.78918279358999</v>
      </c>
      <c r="AH242" s="25">
        <f t="shared" si="140"/>
        <v>0</v>
      </c>
      <c r="AI242" s="25">
        <f t="shared" si="141"/>
        <v>0</v>
      </c>
      <c r="AJ242" s="25">
        <f t="shared" si="142"/>
        <v>0</v>
      </c>
    </row>
    <row r="243" spans="1:36">
      <c r="A243">
        <f t="shared" si="122"/>
        <v>240</v>
      </c>
      <c r="B243">
        <f t="shared" si="131"/>
        <v>5</v>
      </c>
      <c r="C243">
        <f t="shared" si="109"/>
        <v>240</v>
      </c>
      <c r="D243">
        <f t="shared" si="123"/>
        <v>1</v>
      </c>
      <c r="E243">
        <f t="shared" si="143"/>
        <v>4</v>
      </c>
      <c r="F243">
        <f t="shared" si="110"/>
        <v>270</v>
      </c>
      <c r="G243">
        <f t="shared" si="124"/>
        <v>0</v>
      </c>
      <c r="H243">
        <f t="shared" si="132"/>
        <v>3</v>
      </c>
      <c r="I243">
        <f t="shared" si="111"/>
        <v>240</v>
      </c>
      <c r="J243">
        <f t="shared" si="125"/>
        <v>1</v>
      </c>
      <c r="K243">
        <f t="shared" si="133"/>
        <v>3</v>
      </c>
      <c r="L243">
        <f t="shared" si="112"/>
        <v>360</v>
      </c>
      <c r="M243">
        <f t="shared" si="126"/>
        <v>0</v>
      </c>
      <c r="N243">
        <f t="shared" si="134"/>
        <v>2</v>
      </c>
      <c r="O243">
        <f t="shared" si="113"/>
        <v>300</v>
      </c>
      <c r="P243">
        <f t="shared" si="135"/>
        <v>0</v>
      </c>
      <c r="Q243">
        <f t="shared" si="136"/>
        <v>2</v>
      </c>
      <c r="R243">
        <f t="shared" si="114"/>
        <v>300</v>
      </c>
      <c r="S243">
        <f t="shared" si="137"/>
        <v>0</v>
      </c>
      <c r="T243">
        <f t="shared" si="138"/>
        <v>-1</v>
      </c>
      <c r="U243">
        <f t="shared" si="127"/>
        <v>0</v>
      </c>
      <c r="V243">
        <f t="shared" si="128"/>
        <v>1</v>
      </c>
      <c r="W243">
        <f t="shared" si="115"/>
        <v>0</v>
      </c>
      <c r="X243">
        <f t="shared" si="139"/>
        <v>0</v>
      </c>
      <c r="Y243">
        <f t="shared" si="116"/>
        <v>0</v>
      </c>
      <c r="Z243">
        <f t="shared" si="117"/>
        <v>278</v>
      </c>
      <c r="AA243">
        <f t="shared" si="118"/>
        <v>0</v>
      </c>
      <c r="AB243" s="29">
        <f t="shared" si="119"/>
        <v>0.74178816089935007</v>
      </c>
      <c r="AC243" s="25">
        <f t="shared" si="129"/>
        <v>607.49804426656829</v>
      </c>
      <c r="AD243" s="29">
        <f t="shared" si="120"/>
        <v>1.6622911946613885</v>
      </c>
      <c r="AE243" s="25">
        <f t="shared" si="130"/>
        <v>-11.756318275256808</v>
      </c>
      <c r="AF243" s="25">
        <f t="shared" si="121"/>
        <v>-11.756318275256808</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-272.80074649840844</v>
      </c>
      <c r="AH243" s="25">
        <f t="shared" si="140"/>
        <v>11.756318275256808</v>
      </c>
      <c r="AI243" s="25">
        <f t="shared" si="141"/>
        <v>11.756318275256808</v>
      </c>
      <c r="AJ243" s="25">
        <f t="shared" si="142"/>
        <v>11.756318275256808</v>
      </c>
    </row>
    <row r="244" spans="1:36">
      <c r="A244">
        <f t="shared" si="122"/>
        <v>241</v>
      </c>
      <c r="B244">
        <f t="shared" si="131"/>
        <v>6</v>
      </c>
      <c r="C244">
        <f t="shared" si="109"/>
        <v>300</v>
      </c>
      <c r="D244">
        <f t="shared" si="123"/>
        <v>2</v>
      </c>
      <c r="E244">
        <f t="shared" si="143"/>
        <v>4</v>
      </c>
      <c r="F244">
        <f t="shared" si="110"/>
        <v>270</v>
      </c>
      <c r="G244">
        <f t="shared" si="124"/>
        <v>0</v>
      </c>
      <c r="H244">
        <f t="shared" si="132"/>
        <v>4</v>
      </c>
      <c r="I244">
        <f t="shared" si="111"/>
        <v>360</v>
      </c>
      <c r="J244">
        <f t="shared" si="125"/>
        <v>2</v>
      </c>
      <c r="K244">
        <f t="shared" si="133"/>
        <v>3</v>
      </c>
      <c r="L244">
        <f t="shared" si="112"/>
        <v>360</v>
      </c>
      <c r="M244">
        <f t="shared" si="126"/>
        <v>0</v>
      </c>
      <c r="N244">
        <f t="shared" si="134"/>
        <v>2</v>
      </c>
      <c r="O244">
        <f t="shared" si="113"/>
        <v>300</v>
      </c>
      <c r="P244">
        <f t="shared" si="135"/>
        <v>0</v>
      </c>
      <c r="Q244">
        <f t="shared" si="136"/>
        <v>2</v>
      </c>
      <c r="R244">
        <f t="shared" si="114"/>
        <v>300</v>
      </c>
      <c r="S244">
        <f t="shared" si="137"/>
        <v>0</v>
      </c>
      <c r="T244">
        <f t="shared" si="138"/>
        <v>-1</v>
      </c>
      <c r="U244">
        <f t="shared" si="127"/>
        <v>0</v>
      </c>
      <c r="V244">
        <f t="shared" si="128"/>
        <v>1</v>
      </c>
      <c r="W244">
        <f t="shared" si="115"/>
        <v>0</v>
      </c>
      <c r="X244">
        <f t="shared" si="139"/>
        <v>0</v>
      </c>
      <c r="Y244">
        <f t="shared" si="116"/>
        <v>0</v>
      </c>
      <c r="Z244">
        <f t="shared" si="117"/>
        <v>278</v>
      </c>
      <c r="AA244">
        <f t="shared" si="118"/>
        <v>0</v>
      </c>
      <c r="AB244" s="29">
        <f t="shared" si="119"/>
        <v>0.74178816089935007</v>
      </c>
      <c r="AC244" s="25">
        <f t="shared" si="129"/>
        <v>607.49804426656829</v>
      </c>
      <c r="AD244" s="29">
        <f t="shared" si="120"/>
        <v>1.6622911946613885</v>
      </c>
      <c r="AE244" s="25">
        <f t="shared" si="130"/>
        <v>13.243681724743192</v>
      </c>
      <c r="AF244" s="25">
        <f t="shared" si="121"/>
        <v>13.243681724743192</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307.31443095592368</v>
      </c>
      <c r="AH244" s="25">
        <f t="shared" si="140"/>
        <v>0</v>
      </c>
      <c r="AI244" s="25">
        <f t="shared" si="141"/>
        <v>0</v>
      </c>
      <c r="AJ244" s="25">
        <f t="shared" si="142"/>
        <v>0</v>
      </c>
    </row>
    <row r="245" spans="1:36">
      <c r="A245">
        <f t="shared" si="122"/>
        <v>242</v>
      </c>
      <c r="B245">
        <f t="shared" si="131"/>
        <v>6</v>
      </c>
      <c r="C245">
        <f t="shared" si="109"/>
        <v>300</v>
      </c>
      <c r="D245">
        <f t="shared" si="123"/>
        <v>3</v>
      </c>
      <c r="E245">
        <f t="shared" si="143"/>
        <v>4</v>
      </c>
      <c r="F245">
        <f t="shared" si="110"/>
        <v>270</v>
      </c>
      <c r="G245">
        <f t="shared" si="124"/>
        <v>0</v>
      </c>
      <c r="H245">
        <f t="shared" si="132"/>
        <v>4</v>
      </c>
      <c r="I245">
        <f t="shared" si="111"/>
        <v>360</v>
      </c>
      <c r="J245">
        <f t="shared" si="125"/>
        <v>3</v>
      </c>
      <c r="K245">
        <f t="shared" si="133"/>
        <v>3</v>
      </c>
      <c r="L245">
        <f t="shared" si="112"/>
        <v>360</v>
      </c>
      <c r="M245">
        <f t="shared" si="126"/>
        <v>0</v>
      </c>
      <c r="N245">
        <f t="shared" si="134"/>
        <v>2</v>
      </c>
      <c r="O245">
        <f t="shared" si="113"/>
        <v>300</v>
      </c>
      <c r="P245">
        <f t="shared" si="135"/>
        <v>0</v>
      </c>
      <c r="Q245">
        <f t="shared" si="136"/>
        <v>2</v>
      </c>
      <c r="R245">
        <f t="shared" si="114"/>
        <v>300</v>
      </c>
      <c r="S245">
        <f t="shared" si="137"/>
        <v>0</v>
      </c>
      <c r="T245">
        <f t="shared" si="138"/>
        <v>-1</v>
      </c>
      <c r="U245">
        <f t="shared" si="127"/>
        <v>0</v>
      </c>
      <c r="V245">
        <f t="shared" si="128"/>
        <v>1</v>
      </c>
      <c r="W245">
        <f t="shared" si="115"/>
        <v>0</v>
      </c>
      <c r="X245">
        <f t="shared" si="139"/>
        <v>0</v>
      </c>
      <c r="Y245">
        <f t="shared" si="116"/>
        <v>0</v>
      </c>
      <c r="Z245">
        <f t="shared" si="117"/>
        <v>278</v>
      </c>
      <c r="AA245">
        <f t="shared" si="118"/>
        <v>0</v>
      </c>
      <c r="AB245" s="29">
        <f t="shared" si="119"/>
        <v>0.74178816089935007</v>
      </c>
      <c r="AC245" s="25">
        <f t="shared" si="129"/>
        <v>607.49804426656829</v>
      </c>
      <c r="AD245" s="29">
        <f t="shared" si="120"/>
        <v>1.6622911946613885</v>
      </c>
      <c r="AE245" s="25">
        <f t="shared" si="130"/>
        <v>13.243681724743192</v>
      </c>
      <c r="AF245" s="25">
        <f t="shared" si="121"/>
        <v>13.243681724743192</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307.31443095592368</v>
      </c>
      <c r="AH245" s="25">
        <f t="shared" si="140"/>
        <v>0</v>
      </c>
      <c r="AI245" s="25">
        <f t="shared" si="141"/>
        <v>0</v>
      </c>
      <c r="AJ245" s="25">
        <f t="shared" si="142"/>
        <v>0</v>
      </c>
    </row>
    <row r="246" spans="1:36">
      <c r="A246">
        <f t="shared" si="122"/>
        <v>243</v>
      </c>
      <c r="B246">
        <f t="shared" si="131"/>
        <v>6</v>
      </c>
      <c r="C246">
        <f t="shared" si="109"/>
        <v>300</v>
      </c>
      <c r="D246">
        <f t="shared" si="123"/>
        <v>4</v>
      </c>
      <c r="E246">
        <f t="shared" si="143"/>
        <v>4</v>
      </c>
      <c r="F246">
        <f t="shared" si="110"/>
        <v>270</v>
      </c>
      <c r="G246">
        <f t="shared" si="124"/>
        <v>0</v>
      </c>
      <c r="H246">
        <f t="shared" si="132"/>
        <v>4</v>
      </c>
      <c r="I246">
        <f t="shared" si="111"/>
        <v>360</v>
      </c>
      <c r="J246">
        <f t="shared" si="125"/>
        <v>4</v>
      </c>
      <c r="K246">
        <f t="shared" si="133"/>
        <v>3</v>
      </c>
      <c r="L246">
        <f t="shared" si="112"/>
        <v>360</v>
      </c>
      <c r="M246">
        <f t="shared" si="126"/>
        <v>0</v>
      </c>
      <c r="N246">
        <f t="shared" si="134"/>
        <v>2</v>
      </c>
      <c r="O246">
        <f t="shared" si="113"/>
        <v>300</v>
      </c>
      <c r="P246">
        <f t="shared" si="135"/>
        <v>0</v>
      </c>
      <c r="Q246">
        <f t="shared" si="136"/>
        <v>2</v>
      </c>
      <c r="R246">
        <f t="shared" si="114"/>
        <v>300</v>
      </c>
      <c r="S246">
        <f t="shared" si="137"/>
        <v>0</v>
      </c>
      <c r="T246">
        <f t="shared" si="138"/>
        <v>-1</v>
      </c>
      <c r="U246">
        <f t="shared" si="127"/>
        <v>0</v>
      </c>
      <c r="V246">
        <f t="shared" si="128"/>
        <v>1</v>
      </c>
      <c r="W246">
        <f t="shared" si="115"/>
        <v>0</v>
      </c>
      <c r="X246">
        <f t="shared" si="139"/>
        <v>0</v>
      </c>
      <c r="Y246">
        <f t="shared" si="116"/>
        <v>0</v>
      </c>
      <c r="Z246">
        <f t="shared" si="117"/>
        <v>278</v>
      </c>
      <c r="AA246">
        <f t="shared" si="118"/>
        <v>0</v>
      </c>
      <c r="AB246" s="29">
        <f t="shared" si="119"/>
        <v>0.74178816089935007</v>
      </c>
      <c r="AC246" s="25">
        <f t="shared" si="129"/>
        <v>607.49804426656829</v>
      </c>
      <c r="AD246" s="29">
        <f t="shared" si="120"/>
        <v>1.6622911946613885</v>
      </c>
      <c r="AE246" s="25">
        <f t="shared" si="130"/>
        <v>13.243681724743192</v>
      </c>
      <c r="AF246" s="25">
        <f t="shared" si="121"/>
        <v>13.243681724743192</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307.31443095592368</v>
      </c>
      <c r="AH246" s="25">
        <f t="shared" si="140"/>
        <v>0</v>
      </c>
      <c r="AI246" s="25">
        <f t="shared" si="141"/>
        <v>0</v>
      </c>
      <c r="AJ246" s="25">
        <f t="shared" si="142"/>
        <v>0</v>
      </c>
    </row>
    <row r="247" spans="1:36">
      <c r="A247">
        <f t="shared" si="122"/>
        <v>244</v>
      </c>
      <c r="B247">
        <f t="shared" si="131"/>
        <v>6</v>
      </c>
      <c r="C247">
        <f t="shared" si="109"/>
        <v>300</v>
      </c>
      <c r="D247">
        <f t="shared" si="123"/>
        <v>5</v>
      </c>
      <c r="E247">
        <f t="shared" si="143"/>
        <v>4</v>
      </c>
      <c r="F247">
        <f t="shared" si="110"/>
        <v>270</v>
      </c>
      <c r="G247">
        <f t="shared" si="124"/>
        <v>0</v>
      </c>
      <c r="H247">
        <f t="shared" si="132"/>
        <v>4</v>
      </c>
      <c r="I247">
        <f t="shared" si="111"/>
        <v>360</v>
      </c>
      <c r="J247">
        <f t="shared" si="125"/>
        <v>5</v>
      </c>
      <c r="K247">
        <f t="shared" si="133"/>
        <v>3</v>
      </c>
      <c r="L247">
        <f t="shared" si="112"/>
        <v>360</v>
      </c>
      <c r="M247">
        <f t="shared" si="126"/>
        <v>0</v>
      </c>
      <c r="N247">
        <f t="shared" si="134"/>
        <v>2</v>
      </c>
      <c r="O247">
        <f t="shared" si="113"/>
        <v>300</v>
      </c>
      <c r="P247">
        <f t="shared" si="135"/>
        <v>0</v>
      </c>
      <c r="Q247">
        <f t="shared" si="136"/>
        <v>2</v>
      </c>
      <c r="R247">
        <f t="shared" si="114"/>
        <v>300</v>
      </c>
      <c r="S247">
        <f t="shared" si="137"/>
        <v>0</v>
      </c>
      <c r="T247">
        <f t="shared" si="138"/>
        <v>-1</v>
      </c>
      <c r="U247">
        <f t="shared" si="127"/>
        <v>0</v>
      </c>
      <c r="V247">
        <f t="shared" si="128"/>
        <v>1</v>
      </c>
      <c r="W247">
        <f t="shared" si="115"/>
        <v>0</v>
      </c>
      <c r="X247">
        <f t="shared" si="139"/>
        <v>0</v>
      </c>
      <c r="Y247">
        <f t="shared" si="116"/>
        <v>0</v>
      </c>
      <c r="Z247">
        <f t="shared" si="117"/>
        <v>278</v>
      </c>
      <c r="AA247">
        <f t="shared" si="118"/>
        <v>0</v>
      </c>
      <c r="AB247" s="29">
        <f t="shared" si="119"/>
        <v>0.74178816089935007</v>
      </c>
      <c r="AC247" s="25">
        <f t="shared" si="129"/>
        <v>607.49804426656829</v>
      </c>
      <c r="AD247" s="29">
        <f t="shared" si="120"/>
        <v>1.6622911946613885</v>
      </c>
      <c r="AE247" s="25">
        <f t="shared" si="130"/>
        <v>13.243681724743192</v>
      </c>
      <c r="AF247" s="25">
        <f t="shared" si="121"/>
        <v>13.243681724743192</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307.31443095592368</v>
      </c>
      <c r="AH247" s="25">
        <f t="shared" si="140"/>
        <v>0</v>
      </c>
      <c r="AI247" s="25">
        <f t="shared" si="141"/>
        <v>0</v>
      </c>
      <c r="AJ247" s="25">
        <f t="shared" si="142"/>
        <v>0</v>
      </c>
    </row>
    <row r="248" spans="1:36">
      <c r="A248">
        <f t="shared" si="122"/>
        <v>245</v>
      </c>
      <c r="B248">
        <f t="shared" si="131"/>
        <v>6</v>
      </c>
      <c r="C248">
        <f t="shared" si="109"/>
        <v>300</v>
      </c>
      <c r="D248">
        <f t="shared" si="123"/>
        <v>6</v>
      </c>
      <c r="E248">
        <f t="shared" si="143"/>
        <v>4</v>
      </c>
      <c r="F248">
        <f t="shared" si="110"/>
        <v>270</v>
      </c>
      <c r="G248">
        <f t="shared" si="124"/>
        <v>0</v>
      </c>
      <c r="H248">
        <f t="shared" si="132"/>
        <v>4</v>
      </c>
      <c r="I248">
        <f t="shared" si="111"/>
        <v>360</v>
      </c>
      <c r="J248">
        <f t="shared" si="125"/>
        <v>6</v>
      </c>
      <c r="K248">
        <f t="shared" si="133"/>
        <v>3</v>
      </c>
      <c r="L248">
        <f t="shared" si="112"/>
        <v>360</v>
      </c>
      <c r="M248">
        <f t="shared" si="126"/>
        <v>0</v>
      </c>
      <c r="N248">
        <f t="shared" si="134"/>
        <v>2</v>
      </c>
      <c r="O248">
        <f t="shared" si="113"/>
        <v>300</v>
      </c>
      <c r="P248">
        <f t="shared" si="135"/>
        <v>0</v>
      </c>
      <c r="Q248">
        <f t="shared" si="136"/>
        <v>2</v>
      </c>
      <c r="R248">
        <f t="shared" si="114"/>
        <v>300</v>
      </c>
      <c r="S248">
        <f t="shared" si="137"/>
        <v>0</v>
      </c>
      <c r="T248">
        <f t="shared" si="138"/>
        <v>-1</v>
      </c>
      <c r="U248">
        <f t="shared" si="127"/>
        <v>0</v>
      </c>
      <c r="V248">
        <f t="shared" si="128"/>
        <v>1</v>
      </c>
      <c r="W248">
        <f t="shared" si="115"/>
        <v>0</v>
      </c>
      <c r="X248">
        <f t="shared" si="139"/>
        <v>0</v>
      </c>
      <c r="Y248">
        <f t="shared" si="116"/>
        <v>0</v>
      </c>
      <c r="Z248">
        <f t="shared" si="117"/>
        <v>278</v>
      </c>
      <c r="AA248">
        <f t="shared" si="118"/>
        <v>0</v>
      </c>
      <c r="AB248" s="29">
        <f t="shared" si="119"/>
        <v>0.74178816089935007</v>
      </c>
      <c r="AC248" s="25">
        <f t="shared" si="129"/>
        <v>607.49804426656829</v>
      </c>
      <c r="AD248" s="29">
        <f t="shared" si="120"/>
        <v>1.6622911946613885</v>
      </c>
      <c r="AE248" s="25">
        <f t="shared" si="130"/>
        <v>13.243681724743192</v>
      </c>
      <c r="AF248" s="25">
        <f t="shared" si="121"/>
        <v>13.243681724743192</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307.31443095592368</v>
      </c>
      <c r="AH248" s="25">
        <f t="shared" si="140"/>
        <v>0</v>
      </c>
      <c r="AI248" s="25">
        <f t="shared" si="141"/>
        <v>0</v>
      </c>
      <c r="AJ248" s="25">
        <f t="shared" si="142"/>
        <v>0</v>
      </c>
    </row>
    <row r="249" spans="1:36">
      <c r="A249">
        <f t="shared" si="122"/>
        <v>246</v>
      </c>
      <c r="B249">
        <f t="shared" si="131"/>
        <v>6</v>
      </c>
      <c r="C249">
        <f t="shared" si="109"/>
        <v>300</v>
      </c>
      <c r="D249">
        <f t="shared" si="123"/>
        <v>7</v>
      </c>
      <c r="E249">
        <f t="shared" si="143"/>
        <v>4</v>
      </c>
      <c r="F249">
        <f t="shared" si="110"/>
        <v>270</v>
      </c>
      <c r="G249">
        <f t="shared" si="124"/>
        <v>0</v>
      </c>
      <c r="H249">
        <f t="shared" si="132"/>
        <v>4</v>
      </c>
      <c r="I249">
        <f t="shared" si="111"/>
        <v>360</v>
      </c>
      <c r="J249">
        <f t="shared" si="125"/>
        <v>7</v>
      </c>
      <c r="K249">
        <f t="shared" si="133"/>
        <v>3</v>
      </c>
      <c r="L249">
        <f t="shared" si="112"/>
        <v>360</v>
      </c>
      <c r="M249">
        <f t="shared" si="126"/>
        <v>0</v>
      </c>
      <c r="N249">
        <f t="shared" si="134"/>
        <v>2</v>
      </c>
      <c r="O249">
        <f t="shared" si="113"/>
        <v>300</v>
      </c>
      <c r="P249">
        <f t="shared" si="135"/>
        <v>0</v>
      </c>
      <c r="Q249">
        <f t="shared" si="136"/>
        <v>2</v>
      </c>
      <c r="R249">
        <f t="shared" si="114"/>
        <v>300</v>
      </c>
      <c r="S249">
        <f t="shared" si="137"/>
        <v>0</v>
      </c>
      <c r="T249">
        <f t="shared" si="138"/>
        <v>-1</v>
      </c>
      <c r="U249">
        <f t="shared" si="127"/>
        <v>0</v>
      </c>
      <c r="V249">
        <f t="shared" si="128"/>
        <v>1</v>
      </c>
      <c r="W249">
        <f t="shared" si="115"/>
        <v>0</v>
      </c>
      <c r="X249">
        <f t="shared" si="139"/>
        <v>0</v>
      </c>
      <c r="Y249">
        <f t="shared" si="116"/>
        <v>0</v>
      </c>
      <c r="Z249">
        <f t="shared" si="117"/>
        <v>278</v>
      </c>
      <c r="AA249">
        <f t="shared" si="118"/>
        <v>0</v>
      </c>
      <c r="AB249" s="29">
        <f t="shared" si="119"/>
        <v>0.74178816089935007</v>
      </c>
      <c r="AC249" s="25">
        <f t="shared" si="129"/>
        <v>607.49804426656829</v>
      </c>
      <c r="AD249" s="29">
        <f t="shared" si="120"/>
        <v>1.6622911946613885</v>
      </c>
      <c r="AE249" s="25">
        <f t="shared" si="130"/>
        <v>13.243681724743192</v>
      </c>
      <c r="AF249" s="25">
        <f t="shared" si="121"/>
        <v>13.243681724743192</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307.31443095592368</v>
      </c>
      <c r="AH249" s="25">
        <f t="shared" si="140"/>
        <v>0</v>
      </c>
      <c r="AI249" s="25">
        <f t="shared" si="141"/>
        <v>0</v>
      </c>
      <c r="AJ249" s="25">
        <f t="shared" si="142"/>
        <v>0</v>
      </c>
    </row>
    <row r="250" spans="1:36">
      <c r="A250">
        <f t="shared" si="122"/>
        <v>247</v>
      </c>
      <c r="B250">
        <f t="shared" si="131"/>
        <v>6</v>
      </c>
      <c r="C250">
        <f t="shared" si="109"/>
        <v>300</v>
      </c>
      <c r="D250">
        <f t="shared" si="123"/>
        <v>8</v>
      </c>
      <c r="E250">
        <f t="shared" si="143"/>
        <v>4</v>
      </c>
      <c r="F250">
        <f t="shared" si="110"/>
        <v>270</v>
      </c>
      <c r="G250">
        <f t="shared" si="124"/>
        <v>0</v>
      </c>
      <c r="H250">
        <f t="shared" si="132"/>
        <v>4</v>
      </c>
      <c r="I250">
        <f t="shared" si="111"/>
        <v>360</v>
      </c>
      <c r="J250">
        <f t="shared" si="125"/>
        <v>8</v>
      </c>
      <c r="K250">
        <f t="shared" si="133"/>
        <v>3</v>
      </c>
      <c r="L250">
        <f t="shared" si="112"/>
        <v>360</v>
      </c>
      <c r="M250">
        <f t="shared" si="126"/>
        <v>0</v>
      </c>
      <c r="N250">
        <f t="shared" si="134"/>
        <v>2</v>
      </c>
      <c r="O250">
        <f t="shared" si="113"/>
        <v>300</v>
      </c>
      <c r="P250">
        <f t="shared" si="135"/>
        <v>0</v>
      </c>
      <c r="Q250">
        <f t="shared" si="136"/>
        <v>2</v>
      </c>
      <c r="R250">
        <f t="shared" si="114"/>
        <v>300</v>
      </c>
      <c r="S250">
        <f t="shared" si="137"/>
        <v>0</v>
      </c>
      <c r="T250">
        <f t="shared" si="138"/>
        <v>-1</v>
      </c>
      <c r="U250">
        <f t="shared" si="127"/>
        <v>0</v>
      </c>
      <c r="V250">
        <f t="shared" si="128"/>
        <v>1</v>
      </c>
      <c r="W250">
        <f t="shared" si="115"/>
        <v>0</v>
      </c>
      <c r="X250">
        <f t="shared" si="139"/>
        <v>0</v>
      </c>
      <c r="Y250">
        <f t="shared" si="116"/>
        <v>0</v>
      </c>
      <c r="Z250">
        <f t="shared" si="117"/>
        <v>278</v>
      </c>
      <c r="AA250">
        <f t="shared" si="118"/>
        <v>0</v>
      </c>
      <c r="AB250" s="29">
        <f t="shared" si="119"/>
        <v>0.74178816089935007</v>
      </c>
      <c r="AC250" s="25">
        <f t="shared" si="129"/>
        <v>607.49804426656829</v>
      </c>
      <c r="AD250" s="29">
        <f t="shared" si="120"/>
        <v>1.6622911946613885</v>
      </c>
      <c r="AE250" s="25">
        <f t="shared" si="130"/>
        <v>13.243681724743192</v>
      </c>
      <c r="AF250" s="25">
        <f t="shared" si="121"/>
        <v>13.243681724743192</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307.31443095592368</v>
      </c>
      <c r="AH250" s="25">
        <f t="shared" si="140"/>
        <v>0</v>
      </c>
      <c r="AI250" s="25">
        <f t="shared" si="141"/>
        <v>0</v>
      </c>
      <c r="AJ250" s="25">
        <f t="shared" si="142"/>
        <v>0</v>
      </c>
    </row>
    <row r="251" spans="1:36">
      <c r="A251">
        <f t="shared" si="122"/>
        <v>248</v>
      </c>
      <c r="B251">
        <f t="shared" si="131"/>
        <v>6</v>
      </c>
      <c r="C251">
        <f t="shared" si="109"/>
        <v>300</v>
      </c>
      <c r="D251">
        <f t="shared" si="123"/>
        <v>9</v>
      </c>
      <c r="E251">
        <f t="shared" si="143"/>
        <v>4</v>
      </c>
      <c r="F251">
        <f t="shared" si="110"/>
        <v>270</v>
      </c>
      <c r="G251">
        <f t="shared" si="124"/>
        <v>0</v>
      </c>
      <c r="H251">
        <f t="shared" si="132"/>
        <v>4</v>
      </c>
      <c r="I251">
        <f t="shared" si="111"/>
        <v>360</v>
      </c>
      <c r="J251">
        <f t="shared" si="125"/>
        <v>9</v>
      </c>
      <c r="K251">
        <f t="shared" si="133"/>
        <v>3</v>
      </c>
      <c r="L251">
        <f t="shared" si="112"/>
        <v>360</v>
      </c>
      <c r="M251">
        <f t="shared" si="126"/>
        <v>0</v>
      </c>
      <c r="N251">
        <f t="shared" si="134"/>
        <v>2</v>
      </c>
      <c r="O251">
        <f t="shared" si="113"/>
        <v>300</v>
      </c>
      <c r="P251">
        <f t="shared" si="135"/>
        <v>0</v>
      </c>
      <c r="Q251">
        <f t="shared" si="136"/>
        <v>2</v>
      </c>
      <c r="R251">
        <f t="shared" si="114"/>
        <v>300</v>
      </c>
      <c r="S251">
        <f t="shared" si="137"/>
        <v>0</v>
      </c>
      <c r="T251">
        <f t="shared" si="138"/>
        <v>-1</v>
      </c>
      <c r="U251">
        <f t="shared" si="127"/>
        <v>0</v>
      </c>
      <c r="V251">
        <f t="shared" si="128"/>
        <v>1</v>
      </c>
      <c r="W251">
        <f t="shared" si="115"/>
        <v>0</v>
      </c>
      <c r="X251">
        <f t="shared" si="139"/>
        <v>0</v>
      </c>
      <c r="Y251">
        <f t="shared" si="116"/>
        <v>0</v>
      </c>
      <c r="Z251">
        <f t="shared" si="117"/>
        <v>278</v>
      </c>
      <c r="AA251">
        <f t="shared" si="118"/>
        <v>0</v>
      </c>
      <c r="AB251" s="29">
        <f t="shared" si="119"/>
        <v>0.74178816089935007</v>
      </c>
      <c r="AC251" s="25">
        <f t="shared" si="129"/>
        <v>607.49804426656829</v>
      </c>
      <c r="AD251" s="29">
        <f t="shared" si="120"/>
        <v>1.6622911946613885</v>
      </c>
      <c r="AE251" s="25">
        <f t="shared" si="130"/>
        <v>13.243681724743192</v>
      </c>
      <c r="AF251" s="25">
        <f t="shared" si="121"/>
        <v>13.243681724743192</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307.31443095592368</v>
      </c>
      <c r="AH251" s="25">
        <f t="shared" si="140"/>
        <v>0</v>
      </c>
      <c r="AI251" s="25">
        <f t="shared" si="141"/>
        <v>0</v>
      </c>
      <c r="AJ251" s="25">
        <f t="shared" si="142"/>
        <v>0</v>
      </c>
    </row>
    <row r="252" spans="1:36">
      <c r="A252">
        <f t="shared" si="122"/>
        <v>249</v>
      </c>
      <c r="B252">
        <f t="shared" si="131"/>
        <v>6</v>
      </c>
      <c r="C252">
        <f t="shared" si="109"/>
        <v>300</v>
      </c>
      <c r="D252">
        <f t="shared" si="123"/>
        <v>10</v>
      </c>
      <c r="E252">
        <f t="shared" si="143"/>
        <v>4</v>
      </c>
      <c r="F252">
        <f t="shared" si="110"/>
        <v>270</v>
      </c>
      <c r="G252">
        <f t="shared" si="124"/>
        <v>0</v>
      </c>
      <c r="H252">
        <f t="shared" si="132"/>
        <v>4</v>
      </c>
      <c r="I252">
        <f t="shared" si="111"/>
        <v>360</v>
      </c>
      <c r="J252">
        <f t="shared" si="125"/>
        <v>10</v>
      </c>
      <c r="K252">
        <f t="shared" si="133"/>
        <v>3</v>
      </c>
      <c r="L252">
        <f t="shared" si="112"/>
        <v>360</v>
      </c>
      <c r="M252">
        <f t="shared" si="126"/>
        <v>0</v>
      </c>
      <c r="N252">
        <f t="shared" si="134"/>
        <v>2</v>
      </c>
      <c r="O252">
        <f t="shared" si="113"/>
        <v>300</v>
      </c>
      <c r="P252">
        <f t="shared" si="135"/>
        <v>0</v>
      </c>
      <c r="Q252">
        <f t="shared" si="136"/>
        <v>2</v>
      </c>
      <c r="R252">
        <f t="shared" si="114"/>
        <v>300</v>
      </c>
      <c r="S252">
        <f t="shared" si="137"/>
        <v>0</v>
      </c>
      <c r="T252">
        <f t="shared" si="138"/>
        <v>-1</v>
      </c>
      <c r="U252">
        <f t="shared" si="127"/>
        <v>0</v>
      </c>
      <c r="V252">
        <f t="shared" si="128"/>
        <v>1</v>
      </c>
      <c r="W252">
        <f t="shared" si="115"/>
        <v>0</v>
      </c>
      <c r="X252">
        <f t="shared" si="139"/>
        <v>0</v>
      </c>
      <c r="Y252">
        <f t="shared" si="116"/>
        <v>0</v>
      </c>
      <c r="Z252">
        <f t="shared" si="117"/>
        <v>278</v>
      </c>
      <c r="AA252">
        <f t="shared" si="118"/>
        <v>0</v>
      </c>
      <c r="AB252" s="29">
        <f t="shared" si="119"/>
        <v>0.74178816089935007</v>
      </c>
      <c r="AC252" s="25">
        <f t="shared" si="129"/>
        <v>607.49804426656829</v>
      </c>
      <c r="AD252" s="29">
        <f t="shared" si="120"/>
        <v>1.6622911946613885</v>
      </c>
      <c r="AE252" s="25">
        <f t="shared" si="130"/>
        <v>13.243681724743192</v>
      </c>
      <c r="AF252" s="25">
        <f t="shared" si="121"/>
        <v>13.243681724743192</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307.31443095592368</v>
      </c>
      <c r="AH252" s="25">
        <f t="shared" si="140"/>
        <v>0</v>
      </c>
      <c r="AI252" s="25">
        <f t="shared" si="141"/>
        <v>0</v>
      </c>
      <c r="AJ252" s="25">
        <f t="shared" si="142"/>
        <v>0</v>
      </c>
    </row>
    <row r="253" spans="1:36">
      <c r="A253">
        <f t="shared" si="122"/>
        <v>250</v>
      </c>
      <c r="B253">
        <f t="shared" si="131"/>
        <v>6</v>
      </c>
      <c r="C253">
        <f t="shared" si="109"/>
        <v>300</v>
      </c>
      <c r="D253">
        <f t="shared" si="123"/>
        <v>11</v>
      </c>
      <c r="E253">
        <f t="shared" si="143"/>
        <v>4</v>
      </c>
      <c r="F253">
        <f t="shared" si="110"/>
        <v>270</v>
      </c>
      <c r="G253">
        <f t="shared" si="124"/>
        <v>0</v>
      </c>
      <c r="H253">
        <f t="shared" si="132"/>
        <v>4</v>
      </c>
      <c r="I253">
        <f t="shared" si="111"/>
        <v>360</v>
      </c>
      <c r="J253">
        <f t="shared" si="125"/>
        <v>11</v>
      </c>
      <c r="K253">
        <f t="shared" si="133"/>
        <v>3</v>
      </c>
      <c r="L253">
        <f t="shared" si="112"/>
        <v>360</v>
      </c>
      <c r="M253">
        <f t="shared" si="126"/>
        <v>0</v>
      </c>
      <c r="N253">
        <f t="shared" si="134"/>
        <v>2</v>
      </c>
      <c r="O253">
        <f t="shared" si="113"/>
        <v>300</v>
      </c>
      <c r="P253">
        <f t="shared" si="135"/>
        <v>0</v>
      </c>
      <c r="Q253">
        <f t="shared" si="136"/>
        <v>2</v>
      </c>
      <c r="R253">
        <f t="shared" si="114"/>
        <v>300</v>
      </c>
      <c r="S253">
        <f t="shared" si="137"/>
        <v>0</v>
      </c>
      <c r="T253">
        <f t="shared" si="138"/>
        <v>-1</v>
      </c>
      <c r="U253">
        <f t="shared" si="127"/>
        <v>0</v>
      </c>
      <c r="V253">
        <f t="shared" si="128"/>
        <v>1</v>
      </c>
      <c r="W253">
        <f t="shared" si="115"/>
        <v>0</v>
      </c>
      <c r="X253">
        <f t="shared" si="139"/>
        <v>0</v>
      </c>
      <c r="Y253">
        <f t="shared" si="116"/>
        <v>0</v>
      </c>
      <c r="Z253">
        <f t="shared" si="117"/>
        <v>278</v>
      </c>
      <c r="AA253">
        <f t="shared" si="118"/>
        <v>0</v>
      </c>
      <c r="AB253" s="29">
        <f t="shared" si="119"/>
        <v>0.74178816089935007</v>
      </c>
      <c r="AC253" s="25">
        <f t="shared" si="129"/>
        <v>607.49804426656829</v>
      </c>
      <c r="AD253" s="29">
        <f t="shared" si="120"/>
        <v>1.6622911946613885</v>
      </c>
      <c r="AE253" s="25">
        <f t="shared" si="130"/>
        <v>13.243681724743192</v>
      </c>
      <c r="AF253" s="25">
        <f t="shared" si="121"/>
        <v>13.243681724743192</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307.31443095592368</v>
      </c>
      <c r="AH253" s="25">
        <f t="shared" si="140"/>
        <v>0</v>
      </c>
      <c r="AI253" s="25">
        <f t="shared" si="141"/>
        <v>0</v>
      </c>
      <c r="AJ253" s="25">
        <f t="shared" si="142"/>
        <v>0</v>
      </c>
    </row>
    <row r="254" spans="1:36">
      <c r="A254">
        <f t="shared" si="122"/>
        <v>251</v>
      </c>
      <c r="B254">
        <f t="shared" si="131"/>
        <v>6</v>
      </c>
      <c r="C254">
        <f t="shared" si="109"/>
        <v>300</v>
      </c>
      <c r="D254">
        <f t="shared" si="123"/>
        <v>12</v>
      </c>
      <c r="E254">
        <f t="shared" si="143"/>
        <v>4</v>
      </c>
      <c r="F254">
        <f t="shared" si="110"/>
        <v>270</v>
      </c>
      <c r="G254">
        <f t="shared" si="124"/>
        <v>0</v>
      </c>
      <c r="H254">
        <f t="shared" si="132"/>
        <v>4</v>
      </c>
      <c r="I254">
        <f t="shared" si="111"/>
        <v>360</v>
      </c>
      <c r="J254">
        <f t="shared" si="125"/>
        <v>12</v>
      </c>
      <c r="K254">
        <f t="shared" si="133"/>
        <v>3</v>
      </c>
      <c r="L254">
        <f t="shared" si="112"/>
        <v>360</v>
      </c>
      <c r="M254">
        <f t="shared" si="126"/>
        <v>0</v>
      </c>
      <c r="N254">
        <f t="shared" si="134"/>
        <v>2</v>
      </c>
      <c r="O254">
        <f t="shared" si="113"/>
        <v>300</v>
      </c>
      <c r="P254">
        <f t="shared" si="135"/>
        <v>0</v>
      </c>
      <c r="Q254">
        <f t="shared" si="136"/>
        <v>2</v>
      </c>
      <c r="R254">
        <f t="shared" si="114"/>
        <v>300</v>
      </c>
      <c r="S254">
        <f t="shared" si="137"/>
        <v>0</v>
      </c>
      <c r="T254">
        <f t="shared" si="138"/>
        <v>-1</v>
      </c>
      <c r="U254">
        <f t="shared" si="127"/>
        <v>0</v>
      </c>
      <c r="V254">
        <f t="shared" si="128"/>
        <v>1</v>
      </c>
      <c r="W254">
        <f t="shared" si="115"/>
        <v>0</v>
      </c>
      <c r="X254">
        <f t="shared" si="139"/>
        <v>0</v>
      </c>
      <c r="Y254">
        <f t="shared" si="116"/>
        <v>0</v>
      </c>
      <c r="Z254">
        <f t="shared" si="117"/>
        <v>278</v>
      </c>
      <c r="AA254">
        <f t="shared" si="118"/>
        <v>0</v>
      </c>
      <c r="AB254" s="29">
        <f t="shared" si="119"/>
        <v>0.74178816089935007</v>
      </c>
      <c r="AC254" s="25">
        <f t="shared" si="129"/>
        <v>607.49804426656829</v>
      </c>
      <c r="AD254" s="29">
        <f t="shared" si="120"/>
        <v>1.6622911946613885</v>
      </c>
      <c r="AE254" s="25">
        <f t="shared" si="130"/>
        <v>13.243681724743192</v>
      </c>
      <c r="AF254" s="25">
        <f t="shared" si="121"/>
        <v>13.243681724743192</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307.31443095592368</v>
      </c>
      <c r="AH254" s="25">
        <f t="shared" si="140"/>
        <v>0</v>
      </c>
      <c r="AI254" s="25">
        <f t="shared" si="141"/>
        <v>0</v>
      </c>
      <c r="AJ254" s="25">
        <f t="shared" si="142"/>
        <v>0</v>
      </c>
    </row>
    <row r="255" spans="1:36">
      <c r="A255">
        <f t="shared" si="122"/>
        <v>252</v>
      </c>
      <c r="B255">
        <f t="shared" si="131"/>
        <v>6</v>
      </c>
      <c r="C255">
        <f t="shared" si="109"/>
        <v>300</v>
      </c>
      <c r="D255">
        <f t="shared" si="123"/>
        <v>13</v>
      </c>
      <c r="E255">
        <f t="shared" si="143"/>
        <v>4</v>
      </c>
      <c r="F255">
        <f t="shared" si="110"/>
        <v>270</v>
      </c>
      <c r="G255">
        <f t="shared" si="124"/>
        <v>0</v>
      </c>
      <c r="H255">
        <f t="shared" si="132"/>
        <v>4</v>
      </c>
      <c r="I255">
        <f t="shared" si="111"/>
        <v>360</v>
      </c>
      <c r="J255">
        <f t="shared" si="125"/>
        <v>13</v>
      </c>
      <c r="K255">
        <f t="shared" si="133"/>
        <v>3</v>
      </c>
      <c r="L255">
        <f t="shared" si="112"/>
        <v>360</v>
      </c>
      <c r="M255">
        <f t="shared" si="126"/>
        <v>0</v>
      </c>
      <c r="N255">
        <f t="shared" si="134"/>
        <v>2</v>
      </c>
      <c r="O255">
        <f t="shared" si="113"/>
        <v>300</v>
      </c>
      <c r="P255">
        <f t="shared" si="135"/>
        <v>0</v>
      </c>
      <c r="Q255">
        <f t="shared" si="136"/>
        <v>2</v>
      </c>
      <c r="R255">
        <f t="shared" si="114"/>
        <v>300</v>
      </c>
      <c r="S255">
        <f t="shared" si="137"/>
        <v>0</v>
      </c>
      <c r="T255">
        <f t="shared" si="138"/>
        <v>-1</v>
      </c>
      <c r="U255">
        <f t="shared" si="127"/>
        <v>0</v>
      </c>
      <c r="V255">
        <f t="shared" si="128"/>
        <v>1</v>
      </c>
      <c r="W255">
        <f t="shared" si="115"/>
        <v>0</v>
      </c>
      <c r="X255">
        <f t="shared" si="139"/>
        <v>0</v>
      </c>
      <c r="Y255">
        <f t="shared" si="116"/>
        <v>0</v>
      </c>
      <c r="Z255">
        <f t="shared" si="117"/>
        <v>278</v>
      </c>
      <c r="AA255">
        <f t="shared" si="118"/>
        <v>0</v>
      </c>
      <c r="AB255" s="29">
        <f t="shared" si="119"/>
        <v>0.74178816089935007</v>
      </c>
      <c r="AC255" s="25">
        <f t="shared" si="129"/>
        <v>607.49804426656829</v>
      </c>
      <c r="AD255" s="29">
        <f t="shared" si="120"/>
        <v>1.6622911946613885</v>
      </c>
      <c r="AE255" s="25">
        <f t="shared" si="130"/>
        <v>13.243681724743192</v>
      </c>
      <c r="AF255" s="25">
        <f t="shared" si="121"/>
        <v>13.243681724743192</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307.31443095592368</v>
      </c>
      <c r="AH255" s="25">
        <f t="shared" si="140"/>
        <v>0</v>
      </c>
      <c r="AI255" s="25">
        <f t="shared" si="141"/>
        <v>0</v>
      </c>
      <c r="AJ255" s="25">
        <f t="shared" si="142"/>
        <v>0</v>
      </c>
    </row>
    <row r="256" spans="1:36">
      <c r="A256">
        <f t="shared" si="122"/>
        <v>253</v>
      </c>
      <c r="B256">
        <f t="shared" si="131"/>
        <v>6</v>
      </c>
      <c r="C256">
        <f t="shared" si="109"/>
        <v>300</v>
      </c>
      <c r="D256">
        <f t="shared" si="123"/>
        <v>14</v>
      </c>
      <c r="E256">
        <f t="shared" si="143"/>
        <v>4</v>
      </c>
      <c r="F256">
        <f t="shared" si="110"/>
        <v>270</v>
      </c>
      <c r="G256">
        <f t="shared" si="124"/>
        <v>0</v>
      </c>
      <c r="H256">
        <f t="shared" si="132"/>
        <v>4</v>
      </c>
      <c r="I256">
        <f t="shared" si="111"/>
        <v>360</v>
      </c>
      <c r="J256">
        <f t="shared" si="125"/>
        <v>14</v>
      </c>
      <c r="K256">
        <f t="shared" si="133"/>
        <v>3</v>
      </c>
      <c r="L256">
        <f t="shared" si="112"/>
        <v>360</v>
      </c>
      <c r="M256">
        <f t="shared" si="126"/>
        <v>0</v>
      </c>
      <c r="N256">
        <f t="shared" si="134"/>
        <v>2</v>
      </c>
      <c r="O256">
        <f t="shared" si="113"/>
        <v>300</v>
      </c>
      <c r="P256">
        <f t="shared" si="135"/>
        <v>0</v>
      </c>
      <c r="Q256">
        <f t="shared" si="136"/>
        <v>2</v>
      </c>
      <c r="R256">
        <f t="shared" si="114"/>
        <v>300</v>
      </c>
      <c r="S256">
        <f t="shared" si="137"/>
        <v>0</v>
      </c>
      <c r="T256">
        <f t="shared" si="138"/>
        <v>-1</v>
      </c>
      <c r="U256">
        <f t="shared" si="127"/>
        <v>0</v>
      </c>
      <c r="V256">
        <f t="shared" si="128"/>
        <v>1</v>
      </c>
      <c r="W256">
        <f t="shared" si="115"/>
        <v>0</v>
      </c>
      <c r="X256">
        <f t="shared" si="139"/>
        <v>0</v>
      </c>
      <c r="Y256">
        <f t="shared" si="116"/>
        <v>0</v>
      </c>
      <c r="Z256">
        <f t="shared" si="117"/>
        <v>278</v>
      </c>
      <c r="AA256">
        <f t="shared" si="118"/>
        <v>0</v>
      </c>
      <c r="AB256" s="29">
        <f t="shared" si="119"/>
        <v>0.74178816089935007</v>
      </c>
      <c r="AC256" s="25">
        <f t="shared" si="129"/>
        <v>607.49804426656829</v>
      </c>
      <c r="AD256" s="29">
        <f t="shared" si="120"/>
        <v>1.6622911946613885</v>
      </c>
      <c r="AE256" s="25">
        <f t="shared" si="130"/>
        <v>13.243681724743192</v>
      </c>
      <c r="AF256" s="25">
        <f t="shared" si="121"/>
        <v>13.243681724743192</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307.31443095592368</v>
      </c>
      <c r="AH256" s="25">
        <f t="shared" si="140"/>
        <v>0</v>
      </c>
      <c r="AI256" s="25">
        <f t="shared" si="141"/>
        <v>0</v>
      </c>
      <c r="AJ256" s="25">
        <f t="shared" si="142"/>
        <v>0</v>
      </c>
    </row>
    <row r="257" spans="1:36">
      <c r="A257">
        <f t="shared" si="122"/>
        <v>254</v>
      </c>
      <c r="B257">
        <f t="shared" si="131"/>
        <v>6</v>
      </c>
      <c r="C257">
        <f t="shared" si="109"/>
        <v>300</v>
      </c>
      <c r="D257">
        <f t="shared" si="123"/>
        <v>15</v>
      </c>
      <c r="E257">
        <f t="shared" si="143"/>
        <v>4</v>
      </c>
      <c r="F257">
        <f t="shared" si="110"/>
        <v>270</v>
      </c>
      <c r="G257">
        <f t="shared" si="124"/>
        <v>0</v>
      </c>
      <c r="H257">
        <f t="shared" si="132"/>
        <v>4</v>
      </c>
      <c r="I257">
        <f t="shared" si="111"/>
        <v>360</v>
      </c>
      <c r="J257">
        <f t="shared" si="125"/>
        <v>15</v>
      </c>
      <c r="K257">
        <f t="shared" si="133"/>
        <v>3</v>
      </c>
      <c r="L257">
        <f t="shared" si="112"/>
        <v>360</v>
      </c>
      <c r="M257">
        <f t="shared" si="126"/>
        <v>0</v>
      </c>
      <c r="N257">
        <f t="shared" si="134"/>
        <v>2</v>
      </c>
      <c r="O257">
        <f t="shared" si="113"/>
        <v>300</v>
      </c>
      <c r="P257">
        <f t="shared" si="135"/>
        <v>0</v>
      </c>
      <c r="Q257">
        <f t="shared" si="136"/>
        <v>2</v>
      </c>
      <c r="R257">
        <f t="shared" si="114"/>
        <v>300</v>
      </c>
      <c r="S257">
        <f t="shared" si="137"/>
        <v>0</v>
      </c>
      <c r="T257">
        <f t="shared" si="138"/>
        <v>-1</v>
      </c>
      <c r="U257">
        <f t="shared" si="127"/>
        <v>0</v>
      </c>
      <c r="V257">
        <f t="shared" si="128"/>
        <v>1</v>
      </c>
      <c r="W257">
        <f t="shared" si="115"/>
        <v>0</v>
      </c>
      <c r="X257">
        <f t="shared" si="139"/>
        <v>0</v>
      </c>
      <c r="Y257">
        <f t="shared" si="116"/>
        <v>0</v>
      </c>
      <c r="Z257">
        <f t="shared" si="117"/>
        <v>278</v>
      </c>
      <c r="AA257">
        <f t="shared" si="118"/>
        <v>0</v>
      </c>
      <c r="AB257" s="29">
        <f t="shared" si="119"/>
        <v>0.74178816089935007</v>
      </c>
      <c r="AC257" s="25">
        <f t="shared" si="129"/>
        <v>607.49804426656829</v>
      </c>
      <c r="AD257" s="29">
        <f t="shared" si="120"/>
        <v>1.6622911946613885</v>
      </c>
      <c r="AE257" s="25">
        <f t="shared" si="130"/>
        <v>13.243681724743192</v>
      </c>
      <c r="AF257" s="25">
        <f t="shared" si="121"/>
        <v>13.243681724743192</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307.31443095592368</v>
      </c>
      <c r="AH257" s="25">
        <f t="shared" si="140"/>
        <v>0</v>
      </c>
      <c r="AI257" s="25">
        <f t="shared" si="141"/>
        <v>0</v>
      </c>
      <c r="AJ257" s="25">
        <f t="shared" si="142"/>
        <v>0</v>
      </c>
    </row>
    <row r="258" spans="1:36">
      <c r="A258">
        <f t="shared" si="122"/>
        <v>255</v>
      </c>
      <c r="B258">
        <f t="shared" si="131"/>
        <v>6</v>
      </c>
      <c r="C258">
        <f t="shared" si="109"/>
        <v>300</v>
      </c>
      <c r="D258">
        <f t="shared" si="123"/>
        <v>16</v>
      </c>
      <c r="E258">
        <f t="shared" si="143"/>
        <v>4</v>
      </c>
      <c r="F258">
        <f t="shared" si="110"/>
        <v>270</v>
      </c>
      <c r="G258">
        <f t="shared" si="124"/>
        <v>0</v>
      </c>
      <c r="H258">
        <f t="shared" si="132"/>
        <v>4</v>
      </c>
      <c r="I258">
        <f t="shared" si="111"/>
        <v>360</v>
      </c>
      <c r="J258">
        <f t="shared" si="125"/>
        <v>16</v>
      </c>
      <c r="K258">
        <f t="shared" si="133"/>
        <v>3</v>
      </c>
      <c r="L258">
        <f t="shared" si="112"/>
        <v>360</v>
      </c>
      <c r="M258">
        <f t="shared" si="126"/>
        <v>0</v>
      </c>
      <c r="N258">
        <f t="shared" si="134"/>
        <v>2</v>
      </c>
      <c r="O258">
        <f t="shared" si="113"/>
        <v>300</v>
      </c>
      <c r="P258">
        <f t="shared" si="135"/>
        <v>0</v>
      </c>
      <c r="Q258">
        <f t="shared" si="136"/>
        <v>2</v>
      </c>
      <c r="R258">
        <f t="shared" si="114"/>
        <v>300</v>
      </c>
      <c r="S258">
        <f t="shared" si="137"/>
        <v>0</v>
      </c>
      <c r="T258">
        <f t="shared" si="138"/>
        <v>-1</v>
      </c>
      <c r="U258">
        <f t="shared" si="127"/>
        <v>0</v>
      </c>
      <c r="V258">
        <f t="shared" si="128"/>
        <v>1</v>
      </c>
      <c r="W258">
        <f t="shared" si="115"/>
        <v>0</v>
      </c>
      <c r="X258">
        <f t="shared" si="139"/>
        <v>0</v>
      </c>
      <c r="Y258">
        <f t="shared" si="116"/>
        <v>0</v>
      </c>
      <c r="Z258">
        <f t="shared" si="117"/>
        <v>278</v>
      </c>
      <c r="AA258">
        <f t="shared" si="118"/>
        <v>0</v>
      </c>
      <c r="AB258" s="29">
        <f t="shared" si="119"/>
        <v>0.74178816089935007</v>
      </c>
      <c r="AC258" s="25">
        <f t="shared" si="129"/>
        <v>207.49804426656831</v>
      </c>
      <c r="AD258" s="29">
        <f t="shared" si="120"/>
        <v>1.1315841256324579</v>
      </c>
      <c r="AE258" s="25">
        <f t="shared" si="130"/>
        <v>13.243681724743192</v>
      </c>
      <c r="AF258" s="25">
        <f t="shared" si="121"/>
        <v>13.243681724743192</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307.31443095592368</v>
      </c>
      <c r="AH258" s="25">
        <f t="shared" si="140"/>
        <v>0</v>
      </c>
      <c r="AI258" s="25">
        <f t="shared" si="141"/>
        <v>0</v>
      </c>
      <c r="AJ258" s="25">
        <f t="shared" si="142"/>
        <v>0</v>
      </c>
    </row>
    <row r="259" spans="1:36">
      <c r="A259">
        <f t="shared" si="122"/>
        <v>256</v>
      </c>
      <c r="B259">
        <f t="shared" si="131"/>
        <v>6</v>
      </c>
      <c r="C259">
        <f t="shared" ref="C259:C322" si="144">IF(AND(cdspec60,cdspec60plus),CHOOSE($B259,cdspec601,cdspec602,cdspec603,cdspec604,cdspec605,cdspec606,cdspec607,cdspec608,cdspec609,cdspec6010),($B259-1)*60+IF(cdspec60,cdspec601,0))</f>
        <v>300</v>
      </c>
      <c r="D259">
        <f t="shared" si="123"/>
        <v>17</v>
      </c>
      <c r="E259">
        <f t="shared" si="143"/>
        <v>4</v>
      </c>
      <c r="F259">
        <f t="shared" ref="F259:F322" si="145">IF(AND(cdspec90,cdspec90plus),CHOOSE(E259,cdspec901,cdspec902,cdspec903,cdspec904,cdspec905,cdspec906),(E259-1)*IF(cdtreat90as120,120,90)+IF(cdspec90,cdspec901,0))</f>
        <v>270</v>
      </c>
      <c r="G259">
        <f t="shared" si="124"/>
        <v>0</v>
      </c>
      <c r="H259">
        <f t="shared" si="132"/>
        <v>4</v>
      </c>
      <c r="I259">
        <f t="shared" ref="I259:I322" si="146">IF(AND(cdspec120,cdspec120plus),CHOOSE(H259,cdspec1201,cdspec1202,cdspec1203,cdspec1204,cdspec1205),(H259-1)*120+IF(cdspec120,cdspec1201,0))</f>
        <v>360</v>
      </c>
      <c r="J259">
        <f t="shared" si="125"/>
        <v>17</v>
      </c>
      <c r="K259">
        <f t="shared" si="133"/>
        <v>3</v>
      </c>
      <c r="L259">
        <f t="shared" ref="L259:L322" si="147">IF(AND(cdspec180,cdspec180plus),CHOOSE(K259,cdspec1801,cdspec1802,cdspec1803,cdspec1804),(K259-1)*IF(cdtreat180as240,240,180)+IF(cdspec180,cdspec1801,0))</f>
        <v>360</v>
      </c>
      <c r="M259">
        <f t="shared" si="126"/>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7"/>
        <v>0</v>
      </c>
      <c r="V259">
        <f t="shared" si="128"/>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si="129"/>
        <v>207.49804426656831</v>
      </c>
      <c r="AD259" s="29">
        <f t="shared" ref="AD259:AD322" si="155">IF($A259&lt;0,0,(1+$AC259/(hasterate*100))*(1+$AS$26/100*AND($J259&gt;0,$J259&lt;=$AT$26))*(1+$AS$35/100*AND($M259&gt;0,$M259&lt;=$AT$35))*(1+0.3*($X259&gt;0)))</f>
        <v>1.1315841256324579</v>
      </c>
      <c r="AE259" s="25">
        <f t="shared" si="130"/>
        <v>13.243681724743192</v>
      </c>
      <c r="AF259" s="25">
        <f t="shared" ref="AF259:AF322" si="156">MIN(instcost,AE259)</f>
        <v>13.243681724743192</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307.31443095592368</v>
      </c>
      <c r="AH259" s="25">
        <f t="shared" si="140"/>
        <v>0</v>
      </c>
      <c r="AI259" s="25">
        <f t="shared" si="141"/>
        <v>0</v>
      </c>
      <c r="AJ259" s="25">
        <f t="shared" si="142"/>
        <v>0</v>
      </c>
    </row>
    <row r="260" spans="1:36">
      <c r="A260">
        <f t="shared" ref="A260:A323" si="157">IF(A259&lt;0,-1,IF(A259+1&gt;=time,-1,A259+1))</f>
        <v>257</v>
      </c>
      <c r="B260">
        <f t="shared" si="131"/>
        <v>6</v>
      </c>
      <c r="C260">
        <f t="shared" si="144"/>
        <v>300</v>
      </c>
      <c r="D260">
        <f t="shared" ref="D260:D323" si="158">IF($A260=$C260,1,IF(AND($D259&gt;0,$D259&lt;30),$D259+1,0))</f>
        <v>18</v>
      </c>
      <c r="E260">
        <f t="shared" si="143"/>
        <v>4</v>
      </c>
      <c r="F260">
        <f t="shared" si="145"/>
        <v>270</v>
      </c>
      <c r="G260">
        <f t="shared" ref="G260:G323" si="159">IF($A260=F260,1,IF(AND(G259&gt;0,G259&lt;30),G259+1,0))</f>
        <v>0</v>
      </c>
      <c r="H260">
        <f t="shared" si="132"/>
        <v>4</v>
      </c>
      <c r="I260">
        <f t="shared" si="146"/>
        <v>360</v>
      </c>
      <c r="J260">
        <f t="shared" ref="J260:J323" si="160">IF($A260=I260,1,IF(AND(J259&gt;0,J259&lt;30),J259+1,0))</f>
        <v>18</v>
      </c>
      <c r="K260">
        <f t="shared" si="133"/>
        <v>3</v>
      </c>
      <c r="L260">
        <f t="shared" si="147"/>
        <v>360</v>
      </c>
      <c r="M260">
        <f t="shared" ref="M260:M323" si="161">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2">IF($A260=T260,1,IF(AND(U259&gt;0,U259&lt;$AT$3),U259+1,0))</f>
        <v>0</v>
      </c>
      <c r="V260">
        <f t="shared" ref="V260:V323" si="163">MIN(IF(X259=1,V259+1,V259),blustcount)</f>
        <v>1</v>
      </c>
      <c r="W260">
        <f t="shared" si="150"/>
        <v>0</v>
      </c>
      <c r="X260">
        <f t="shared" si="139"/>
        <v>0</v>
      </c>
      <c r="Y260">
        <f t="shared" si="151"/>
        <v>0</v>
      </c>
      <c r="Z260">
        <f t="shared" si="152"/>
        <v>278</v>
      </c>
      <c r="AA260">
        <f t="shared" si="153"/>
        <v>0</v>
      </c>
      <c r="AB260" s="29">
        <f t="shared" si="154"/>
        <v>0.74178816089935007</v>
      </c>
      <c r="AC260" s="25">
        <f t="shared" ref="AC260:AC323" si="164">IF($A260&lt;0,0,$AN$43+IF($J260=0, 0, $AR$15*($J260&lt;=$AT$15)+$AR$22*($J260&lt;=$AT$22)+$AR$28*($J260&lt;=$AT$28)+$AR$29*($J260&lt;=$AT$29)-IF($AW$14, $AR$3*($J260&lt;=$AT$3)))+IF($U260=0,0,$AR$3))</f>
        <v>207.49804426656831</v>
      </c>
      <c r="AD260" s="29">
        <f t="shared" si="155"/>
        <v>1.1315841256324579</v>
      </c>
      <c r="AE260" s="25">
        <f t="shared" ref="AE260:AE323" si="165">IF($A260&lt;0,0,$AN$45+IF($P260&gt;0,$AN$37*$AL$37,0)+$S260*(60-IF(CharLevel&gt;60,(CharLevel-60)*2,0))*$AL$38+IF($J260=1,$AL$26*-25+IF($AL$39, 30, 0),0)+IF($M260=1,$AL$35*-10,0)+IF(AE259&gt;instcost,AE259-instcost,0))</f>
        <v>13.243681724743192</v>
      </c>
      <c r="AF260" s="25">
        <f t="shared" si="156"/>
        <v>13.243681724743192</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307.31443095592368</v>
      </c>
      <c r="AH260" s="25">
        <f t="shared" si="140"/>
        <v>0</v>
      </c>
      <c r="AI260" s="25">
        <f t="shared" si="141"/>
        <v>0</v>
      </c>
      <c r="AJ260" s="25">
        <f t="shared" si="142"/>
        <v>0</v>
      </c>
    </row>
    <row r="261" spans="1:36">
      <c r="A261">
        <f t="shared" si="157"/>
        <v>258</v>
      </c>
      <c r="B261">
        <f t="shared" ref="B261:B324" si="166">MIN(IF(D260=1,B260+1,B260),10)</f>
        <v>6</v>
      </c>
      <c r="C261">
        <f t="shared" si="144"/>
        <v>300</v>
      </c>
      <c r="D261">
        <f t="shared" si="158"/>
        <v>19</v>
      </c>
      <c r="E261">
        <f t="shared" si="143"/>
        <v>4</v>
      </c>
      <c r="F261">
        <f t="shared" si="145"/>
        <v>270</v>
      </c>
      <c r="G261">
        <f t="shared" si="159"/>
        <v>0</v>
      </c>
      <c r="H261">
        <f t="shared" ref="H261:H324" si="167">MIN(IF(J260=1,H260+1,H260),5)</f>
        <v>4</v>
      </c>
      <c r="I261">
        <f t="shared" si="146"/>
        <v>360</v>
      </c>
      <c r="J261">
        <f t="shared" si="160"/>
        <v>19</v>
      </c>
      <c r="K261">
        <f t="shared" ref="K261:K324" si="168">MIN(IF(M260=1,K260+1,K260),4)</f>
        <v>3</v>
      </c>
      <c r="L261">
        <f t="shared" si="147"/>
        <v>360</v>
      </c>
      <c r="M261">
        <f t="shared" si="161"/>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2"/>
        <v>0</v>
      </c>
      <c r="V261">
        <f t="shared" si="163"/>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64"/>
        <v>207.49804426656831</v>
      </c>
      <c r="AD261" s="29">
        <f t="shared" si="155"/>
        <v>1.1315841256324579</v>
      </c>
      <c r="AE261" s="25">
        <f t="shared" si="165"/>
        <v>13.243681724743192</v>
      </c>
      <c r="AF261" s="25">
        <f t="shared" si="156"/>
        <v>13.243681724743192</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307.31443095592368</v>
      </c>
      <c r="AH261" s="25">
        <f t="shared" ref="AH261:AH324" si="175">IF(AH260-$AF261&lt;0,0,AH260-$AF261)</f>
        <v>0</v>
      </c>
      <c r="AI261" s="25">
        <f t="shared" ref="AI261:AI324" si="176">IF(AI260-AF261&lt;0,0,AI260-AF261)</f>
        <v>0</v>
      </c>
      <c r="AJ261" s="25">
        <f t="shared" ref="AJ261:AJ324" si="177">IF(AJ260-$AF261&lt;0,0,AJ260-$AF261)</f>
        <v>0</v>
      </c>
    </row>
    <row r="262" spans="1:36">
      <c r="A262">
        <f t="shared" si="157"/>
        <v>259</v>
      </c>
      <c r="B262">
        <f t="shared" si="166"/>
        <v>6</v>
      </c>
      <c r="C262">
        <f t="shared" si="144"/>
        <v>300</v>
      </c>
      <c r="D262">
        <f t="shared" si="158"/>
        <v>20</v>
      </c>
      <c r="E262">
        <f t="shared" ref="E262:E325" si="178">MIN(IF(G261=1,E261+1,E261),6)</f>
        <v>4</v>
      </c>
      <c r="F262">
        <f t="shared" si="145"/>
        <v>270</v>
      </c>
      <c r="G262">
        <f t="shared" si="159"/>
        <v>0</v>
      </c>
      <c r="H262">
        <f t="shared" si="167"/>
        <v>4</v>
      </c>
      <c r="I262">
        <f t="shared" si="146"/>
        <v>360</v>
      </c>
      <c r="J262">
        <f t="shared" si="160"/>
        <v>20</v>
      </c>
      <c r="K262">
        <f t="shared" si="168"/>
        <v>3</v>
      </c>
      <c r="L262">
        <f t="shared" si="147"/>
        <v>360</v>
      </c>
      <c r="M262">
        <f t="shared" si="161"/>
        <v>0</v>
      </c>
      <c r="N262">
        <f t="shared" si="169"/>
        <v>2</v>
      </c>
      <c r="O262">
        <f t="shared" si="148"/>
        <v>300</v>
      </c>
      <c r="P262">
        <f t="shared" si="170"/>
        <v>0</v>
      </c>
      <c r="Q262">
        <f t="shared" si="171"/>
        <v>2</v>
      </c>
      <c r="R262">
        <f t="shared" si="149"/>
        <v>300</v>
      </c>
      <c r="S262">
        <f t="shared" si="172"/>
        <v>0</v>
      </c>
      <c r="T262">
        <f t="shared" si="173"/>
        <v>-1</v>
      </c>
      <c r="U262">
        <f t="shared" si="162"/>
        <v>0</v>
      </c>
      <c r="V262">
        <f t="shared" si="163"/>
        <v>1</v>
      </c>
      <c r="W262">
        <f t="shared" si="150"/>
        <v>0</v>
      </c>
      <c r="X262">
        <f t="shared" si="174"/>
        <v>0</v>
      </c>
      <c r="Y262">
        <f t="shared" si="151"/>
        <v>0</v>
      </c>
      <c r="Z262">
        <f t="shared" si="152"/>
        <v>278</v>
      </c>
      <c r="AA262">
        <f t="shared" si="153"/>
        <v>0</v>
      </c>
      <c r="AB262" s="29">
        <f t="shared" si="154"/>
        <v>0.74178816089935007</v>
      </c>
      <c r="AC262" s="25">
        <f t="shared" si="164"/>
        <v>207.49804426656831</v>
      </c>
      <c r="AD262" s="29">
        <f t="shared" si="155"/>
        <v>1.1315841256324579</v>
      </c>
      <c r="AE262" s="25">
        <f t="shared" si="165"/>
        <v>13.243681724743192</v>
      </c>
      <c r="AF262" s="25">
        <f t="shared" si="156"/>
        <v>13.243681724743192</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307.31443095592368</v>
      </c>
      <c r="AH262" s="25">
        <f t="shared" si="175"/>
        <v>0</v>
      </c>
      <c r="AI262" s="25">
        <f t="shared" si="176"/>
        <v>0</v>
      </c>
      <c r="AJ262" s="25">
        <f t="shared" si="177"/>
        <v>0</v>
      </c>
    </row>
    <row r="263" spans="1:36">
      <c r="A263">
        <f t="shared" si="157"/>
        <v>260</v>
      </c>
      <c r="B263">
        <f t="shared" si="166"/>
        <v>6</v>
      </c>
      <c r="C263">
        <f t="shared" si="144"/>
        <v>300</v>
      </c>
      <c r="D263">
        <f t="shared" si="158"/>
        <v>21</v>
      </c>
      <c r="E263">
        <f t="shared" si="178"/>
        <v>4</v>
      </c>
      <c r="F263">
        <f t="shared" si="145"/>
        <v>270</v>
      </c>
      <c r="G263">
        <f t="shared" si="159"/>
        <v>0</v>
      </c>
      <c r="H263">
        <f t="shared" si="167"/>
        <v>4</v>
      </c>
      <c r="I263">
        <f t="shared" si="146"/>
        <v>360</v>
      </c>
      <c r="J263">
        <f t="shared" si="160"/>
        <v>21</v>
      </c>
      <c r="K263">
        <f t="shared" si="168"/>
        <v>3</v>
      </c>
      <c r="L263">
        <f t="shared" si="147"/>
        <v>360</v>
      </c>
      <c r="M263">
        <f t="shared" si="161"/>
        <v>0</v>
      </c>
      <c r="N263">
        <f t="shared" si="169"/>
        <v>2</v>
      </c>
      <c r="O263">
        <f t="shared" si="148"/>
        <v>300</v>
      </c>
      <c r="P263">
        <f t="shared" si="170"/>
        <v>0</v>
      </c>
      <c r="Q263">
        <f t="shared" si="171"/>
        <v>2</v>
      </c>
      <c r="R263">
        <f t="shared" si="149"/>
        <v>300</v>
      </c>
      <c r="S263">
        <f t="shared" si="172"/>
        <v>0</v>
      </c>
      <c r="T263">
        <f t="shared" si="173"/>
        <v>-1</v>
      </c>
      <c r="U263">
        <f t="shared" si="162"/>
        <v>0</v>
      </c>
      <c r="V263">
        <f t="shared" si="163"/>
        <v>1</v>
      </c>
      <c r="W263">
        <f t="shared" si="150"/>
        <v>0</v>
      </c>
      <c r="X263">
        <f t="shared" si="174"/>
        <v>0</v>
      </c>
      <c r="Y263">
        <f t="shared" si="151"/>
        <v>0</v>
      </c>
      <c r="Z263">
        <f t="shared" si="152"/>
        <v>0</v>
      </c>
      <c r="AA263">
        <f t="shared" si="153"/>
        <v>0</v>
      </c>
      <c r="AB263" s="29">
        <f t="shared" si="154"/>
        <v>0.74178816089935007</v>
      </c>
      <c r="AC263" s="25">
        <f t="shared" si="164"/>
        <v>207.49804426656831</v>
      </c>
      <c r="AD263" s="29">
        <f t="shared" si="155"/>
        <v>1.1315841256324579</v>
      </c>
      <c r="AE263" s="25">
        <f t="shared" si="165"/>
        <v>13.243681724743192</v>
      </c>
      <c r="AF263" s="25">
        <f t="shared" si="156"/>
        <v>13.243681724743192</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290.78918279358999</v>
      </c>
      <c r="AH263" s="25">
        <f t="shared" si="175"/>
        <v>0</v>
      </c>
      <c r="AI263" s="25">
        <f t="shared" si="176"/>
        <v>0</v>
      </c>
      <c r="AJ263" s="25">
        <f t="shared" si="177"/>
        <v>0</v>
      </c>
    </row>
    <row r="264" spans="1:36">
      <c r="A264">
        <f t="shared" si="157"/>
        <v>261</v>
      </c>
      <c r="B264">
        <f t="shared" si="166"/>
        <v>6</v>
      </c>
      <c r="C264">
        <f t="shared" si="144"/>
        <v>300</v>
      </c>
      <c r="D264">
        <f t="shared" si="158"/>
        <v>22</v>
      </c>
      <c r="E264">
        <f t="shared" si="178"/>
        <v>4</v>
      </c>
      <c r="F264">
        <f t="shared" si="145"/>
        <v>270</v>
      </c>
      <c r="G264">
        <f t="shared" si="159"/>
        <v>0</v>
      </c>
      <c r="H264">
        <f t="shared" si="167"/>
        <v>4</v>
      </c>
      <c r="I264">
        <f t="shared" si="146"/>
        <v>360</v>
      </c>
      <c r="J264">
        <f t="shared" si="160"/>
        <v>22</v>
      </c>
      <c r="K264">
        <f t="shared" si="168"/>
        <v>3</v>
      </c>
      <c r="L264">
        <f t="shared" si="147"/>
        <v>360</v>
      </c>
      <c r="M264">
        <f t="shared" si="161"/>
        <v>0</v>
      </c>
      <c r="N264">
        <f t="shared" si="169"/>
        <v>2</v>
      </c>
      <c r="O264">
        <f t="shared" si="148"/>
        <v>300</v>
      </c>
      <c r="P264">
        <f t="shared" si="170"/>
        <v>0</v>
      </c>
      <c r="Q264">
        <f t="shared" si="171"/>
        <v>2</v>
      </c>
      <c r="R264">
        <f t="shared" si="149"/>
        <v>300</v>
      </c>
      <c r="S264">
        <f t="shared" si="172"/>
        <v>0</v>
      </c>
      <c r="T264">
        <f t="shared" si="173"/>
        <v>-1</v>
      </c>
      <c r="U264">
        <f t="shared" si="162"/>
        <v>0</v>
      </c>
      <c r="V264">
        <f t="shared" si="163"/>
        <v>1</v>
      </c>
      <c r="W264">
        <f t="shared" si="150"/>
        <v>0</v>
      </c>
      <c r="X264">
        <f t="shared" si="174"/>
        <v>0</v>
      </c>
      <c r="Y264">
        <f t="shared" si="151"/>
        <v>0</v>
      </c>
      <c r="Z264">
        <f t="shared" si="152"/>
        <v>0</v>
      </c>
      <c r="AA264">
        <f t="shared" si="153"/>
        <v>0</v>
      </c>
      <c r="AB264" s="29">
        <f t="shared" si="154"/>
        <v>0.74178816089935007</v>
      </c>
      <c r="AC264" s="25">
        <f t="shared" si="164"/>
        <v>207.49804426656831</v>
      </c>
      <c r="AD264" s="29">
        <f t="shared" si="155"/>
        <v>1.1315841256324579</v>
      </c>
      <c r="AE264" s="25">
        <f t="shared" si="165"/>
        <v>13.243681724743192</v>
      </c>
      <c r="AF264" s="25">
        <f t="shared" si="156"/>
        <v>13.243681724743192</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290.78918279358999</v>
      </c>
      <c r="AH264" s="25">
        <f t="shared" si="175"/>
        <v>0</v>
      </c>
      <c r="AI264" s="25">
        <f t="shared" si="176"/>
        <v>0</v>
      </c>
      <c r="AJ264" s="25">
        <f t="shared" si="177"/>
        <v>0</v>
      </c>
    </row>
    <row r="265" spans="1:36">
      <c r="A265">
        <f t="shared" si="157"/>
        <v>262</v>
      </c>
      <c r="B265">
        <f t="shared" si="166"/>
        <v>6</v>
      </c>
      <c r="C265">
        <f t="shared" si="144"/>
        <v>300</v>
      </c>
      <c r="D265">
        <f t="shared" si="158"/>
        <v>23</v>
      </c>
      <c r="E265">
        <f t="shared" si="178"/>
        <v>4</v>
      </c>
      <c r="F265">
        <f t="shared" si="145"/>
        <v>270</v>
      </c>
      <c r="G265">
        <f t="shared" si="159"/>
        <v>0</v>
      </c>
      <c r="H265">
        <f t="shared" si="167"/>
        <v>4</v>
      </c>
      <c r="I265">
        <f t="shared" si="146"/>
        <v>360</v>
      </c>
      <c r="J265">
        <f t="shared" si="160"/>
        <v>23</v>
      </c>
      <c r="K265">
        <f t="shared" si="168"/>
        <v>3</v>
      </c>
      <c r="L265">
        <f t="shared" si="147"/>
        <v>360</v>
      </c>
      <c r="M265">
        <f t="shared" si="161"/>
        <v>0</v>
      </c>
      <c r="N265">
        <f t="shared" si="169"/>
        <v>2</v>
      </c>
      <c r="O265">
        <f t="shared" si="148"/>
        <v>300</v>
      </c>
      <c r="P265">
        <f t="shared" si="170"/>
        <v>0</v>
      </c>
      <c r="Q265">
        <f t="shared" si="171"/>
        <v>2</v>
      </c>
      <c r="R265">
        <f t="shared" si="149"/>
        <v>300</v>
      </c>
      <c r="S265">
        <f t="shared" si="172"/>
        <v>0</v>
      </c>
      <c r="T265">
        <f t="shared" si="173"/>
        <v>-1</v>
      </c>
      <c r="U265">
        <f t="shared" si="162"/>
        <v>0</v>
      </c>
      <c r="V265">
        <f t="shared" si="163"/>
        <v>1</v>
      </c>
      <c r="W265">
        <f t="shared" si="150"/>
        <v>0</v>
      </c>
      <c r="X265">
        <f t="shared" si="174"/>
        <v>0</v>
      </c>
      <c r="Y265">
        <f t="shared" si="151"/>
        <v>0</v>
      </c>
      <c r="Z265">
        <f t="shared" si="152"/>
        <v>0</v>
      </c>
      <c r="AA265">
        <f t="shared" si="153"/>
        <v>0</v>
      </c>
      <c r="AB265" s="29">
        <f t="shared" si="154"/>
        <v>0.74178816089935007</v>
      </c>
      <c r="AC265" s="25">
        <f t="shared" si="164"/>
        <v>207.49804426656831</v>
      </c>
      <c r="AD265" s="29">
        <f t="shared" si="155"/>
        <v>1.1315841256324579</v>
      </c>
      <c r="AE265" s="25">
        <f t="shared" si="165"/>
        <v>13.243681724743192</v>
      </c>
      <c r="AF265" s="25">
        <f t="shared" si="156"/>
        <v>13.243681724743192</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290.78918279358999</v>
      </c>
      <c r="AH265" s="25">
        <f t="shared" si="175"/>
        <v>0</v>
      </c>
      <c r="AI265" s="25">
        <f t="shared" si="176"/>
        <v>0</v>
      </c>
      <c r="AJ265" s="25">
        <f t="shared" si="177"/>
        <v>0</v>
      </c>
    </row>
    <row r="266" spans="1:36">
      <c r="A266">
        <f t="shared" si="157"/>
        <v>263</v>
      </c>
      <c r="B266">
        <f t="shared" si="166"/>
        <v>6</v>
      </c>
      <c r="C266">
        <f t="shared" si="144"/>
        <v>300</v>
      </c>
      <c r="D266">
        <f t="shared" si="158"/>
        <v>24</v>
      </c>
      <c r="E266">
        <f t="shared" si="178"/>
        <v>4</v>
      </c>
      <c r="F266">
        <f t="shared" si="145"/>
        <v>270</v>
      </c>
      <c r="G266">
        <f t="shared" si="159"/>
        <v>0</v>
      </c>
      <c r="H266">
        <f t="shared" si="167"/>
        <v>4</v>
      </c>
      <c r="I266">
        <f t="shared" si="146"/>
        <v>360</v>
      </c>
      <c r="J266">
        <f t="shared" si="160"/>
        <v>24</v>
      </c>
      <c r="K266">
        <f t="shared" si="168"/>
        <v>3</v>
      </c>
      <c r="L266">
        <f t="shared" si="147"/>
        <v>360</v>
      </c>
      <c r="M266">
        <f t="shared" si="161"/>
        <v>0</v>
      </c>
      <c r="N266">
        <f t="shared" si="169"/>
        <v>2</v>
      </c>
      <c r="O266">
        <f t="shared" si="148"/>
        <v>300</v>
      </c>
      <c r="P266">
        <f t="shared" si="170"/>
        <v>0</v>
      </c>
      <c r="Q266">
        <f t="shared" si="171"/>
        <v>2</v>
      </c>
      <c r="R266">
        <f t="shared" si="149"/>
        <v>300</v>
      </c>
      <c r="S266">
        <f t="shared" si="172"/>
        <v>0</v>
      </c>
      <c r="T266">
        <f t="shared" si="173"/>
        <v>-1</v>
      </c>
      <c r="U266">
        <f t="shared" si="162"/>
        <v>0</v>
      </c>
      <c r="V266">
        <f t="shared" si="163"/>
        <v>1</v>
      </c>
      <c r="W266">
        <f t="shared" si="150"/>
        <v>0</v>
      </c>
      <c r="X266">
        <f t="shared" si="174"/>
        <v>0</v>
      </c>
      <c r="Y266">
        <f t="shared" si="151"/>
        <v>0</v>
      </c>
      <c r="Z266">
        <f t="shared" si="152"/>
        <v>0</v>
      </c>
      <c r="AA266">
        <f t="shared" si="153"/>
        <v>0</v>
      </c>
      <c r="AB266" s="29">
        <f t="shared" si="154"/>
        <v>0.74178816089935007</v>
      </c>
      <c r="AC266" s="25">
        <f t="shared" si="164"/>
        <v>207.49804426656831</v>
      </c>
      <c r="AD266" s="29">
        <f t="shared" si="155"/>
        <v>1.1315841256324579</v>
      </c>
      <c r="AE266" s="25">
        <f t="shared" si="165"/>
        <v>13.243681724743192</v>
      </c>
      <c r="AF266" s="25">
        <f t="shared" si="156"/>
        <v>13.243681724743192</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290.78918279358999</v>
      </c>
      <c r="AH266" s="25">
        <f t="shared" si="175"/>
        <v>0</v>
      </c>
      <c r="AI266" s="25">
        <f t="shared" si="176"/>
        <v>0</v>
      </c>
      <c r="AJ266" s="25">
        <f t="shared" si="177"/>
        <v>0</v>
      </c>
    </row>
    <row r="267" spans="1:36">
      <c r="A267">
        <f t="shared" si="157"/>
        <v>264</v>
      </c>
      <c r="B267">
        <f t="shared" si="166"/>
        <v>6</v>
      </c>
      <c r="C267">
        <f t="shared" si="144"/>
        <v>300</v>
      </c>
      <c r="D267">
        <f t="shared" si="158"/>
        <v>25</v>
      </c>
      <c r="E267">
        <f t="shared" si="178"/>
        <v>4</v>
      </c>
      <c r="F267">
        <f t="shared" si="145"/>
        <v>270</v>
      </c>
      <c r="G267">
        <f t="shared" si="159"/>
        <v>0</v>
      </c>
      <c r="H267">
        <f t="shared" si="167"/>
        <v>4</v>
      </c>
      <c r="I267">
        <f t="shared" si="146"/>
        <v>360</v>
      </c>
      <c r="J267">
        <f t="shared" si="160"/>
        <v>25</v>
      </c>
      <c r="K267">
        <f t="shared" si="168"/>
        <v>3</v>
      </c>
      <c r="L267">
        <f t="shared" si="147"/>
        <v>360</v>
      </c>
      <c r="M267">
        <f t="shared" si="161"/>
        <v>0</v>
      </c>
      <c r="N267">
        <f t="shared" si="169"/>
        <v>2</v>
      </c>
      <c r="O267">
        <f t="shared" si="148"/>
        <v>300</v>
      </c>
      <c r="P267">
        <f t="shared" si="170"/>
        <v>0</v>
      </c>
      <c r="Q267">
        <f t="shared" si="171"/>
        <v>2</v>
      </c>
      <c r="R267">
        <f t="shared" si="149"/>
        <v>300</v>
      </c>
      <c r="S267">
        <f t="shared" si="172"/>
        <v>0</v>
      </c>
      <c r="T267">
        <f t="shared" si="173"/>
        <v>-1</v>
      </c>
      <c r="U267">
        <f t="shared" si="162"/>
        <v>0</v>
      </c>
      <c r="V267">
        <f t="shared" si="163"/>
        <v>1</v>
      </c>
      <c r="W267">
        <f t="shared" si="150"/>
        <v>0</v>
      </c>
      <c r="X267">
        <f t="shared" si="174"/>
        <v>0</v>
      </c>
      <c r="Y267">
        <f t="shared" si="151"/>
        <v>0</v>
      </c>
      <c r="Z267">
        <f t="shared" si="152"/>
        <v>0</v>
      </c>
      <c r="AA267">
        <f t="shared" si="153"/>
        <v>0</v>
      </c>
      <c r="AB267" s="29">
        <f t="shared" si="154"/>
        <v>0.74178816089935007</v>
      </c>
      <c r="AC267" s="25">
        <f t="shared" si="164"/>
        <v>207.49804426656831</v>
      </c>
      <c r="AD267" s="29">
        <f t="shared" si="155"/>
        <v>1.1315841256324579</v>
      </c>
      <c r="AE267" s="25">
        <f t="shared" si="165"/>
        <v>13.243681724743192</v>
      </c>
      <c r="AF267" s="25">
        <f t="shared" si="156"/>
        <v>13.243681724743192</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290.78918279358999</v>
      </c>
      <c r="AH267" s="25">
        <f t="shared" si="175"/>
        <v>0</v>
      </c>
      <c r="AI267" s="25">
        <f t="shared" si="176"/>
        <v>0</v>
      </c>
      <c r="AJ267" s="25">
        <f t="shared" si="177"/>
        <v>0</v>
      </c>
    </row>
    <row r="268" spans="1:36">
      <c r="A268">
        <f t="shared" si="157"/>
        <v>265</v>
      </c>
      <c r="B268">
        <f t="shared" si="166"/>
        <v>6</v>
      </c>
      <c r="C268">
        <f t="shared" si="144"/>
        <v>300</v>
      </c>
      <c r="D268">
        <f t="shared" si="158"/>
        <v>26</v>
      </c>
      <c r="E268">
        <f t="shared" si="178"/>
        <v>4</v>
      </c>
      <c r="F268">
        <f t="shared" si="145"/>
        <v>270</v>
      </c>
      <c r="G268">
        <f t="shared" si="159"/>
        <v>0</v>
      </c>
      <c r="H268">
        <f t="shared" si="167"/>
        <v>4</v>
      </c>
      <c r="I268">
        <f t="shared" si="146"/>
        <v>360</v>
      </c>
      <c r="J268">
        <f t="shared" si="160"/>
        <v>26</v>
      </c>
      <c r="K268">
        <f t="shared" si="168"/>
        <v>3</v>
      </c>
      <c r="L268">
        <f t="shared" si="147"/>
        <v>360</v>
      </c>
      <c r="M268">
        <f t="shared" si="161"/>
        <v>0</v>
      </c>
      <c r="N268">
        <f t="shared" si="169"/>
        <v>2</v>
      </c>
      <c r="O268">
        <f t="shared" si="148"/>
        <v>300</v>
      </c>
      <c r="P268">
        <f t="shared" si="170"/>
        <v>0</v>
      </c>
      <c r="Q268">
        <f t="shared" si="171"/>
        <v>2</v>
      </c>
      <c r="R268">
        <f t="shared" si="149"/>
        <v>300</v>
      </c>
      <c r="S268">
        <f t="shared" si="172"/>
        <v>0</v>
      </c>
      <c r="T268">
        <f t="shared" si="173"/>
        <v>-1</v>
      </c>
      <c r="U268">
        <f t="shared" si="162"/>
        <v>0</v>
      </c>
      <c r="V268">
        <f t="shared" si="163"/>
        <v>1</v>
      </c>
      <c r="W268">
        <f t="shared" si="150"/>
        <v>0</v>
      </c>
      <c r="X268">
        <f t="shared" si="174"/>
        <v>0</v>
      </c>
      <c r="Y268">
        <f t="shared" si="151"/>
        <v>0</v>
      </c>
      <c r="Z268">
        <f t="shared" si="152"/>
        <v>0</v>
      </c>
      <c r="AA268">
        <f t="shared" si="153"/>
        <v>0</v>
      </c>
      <c r="AB268" s="29">
        <f t="shared" si="154"/>
        <v>0.74178816089935007</v>
      </c>
      <c r="AC268" s="25">
        <f t="shared" si="164"/>
        <v>207.49804426656831</v>
      </c>
      <c r="AD268" s="29">
        <f t="shared" si="155"/>
        <v>1.1315841256324579</v>
      </c>
      <c r="AE268" s="25">
        <f t="shared" si="165"/>
        <v>13.243681724743192</v>
      </c>
      <c r="AF268" s="25">
        <f t="shared" si="156"/>
        <v>13.243681724743192</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290.78918279358999</v>
      </c>
      <c r="AH268" s="25">
        <f t="shared" si="175"/>
        <v>0</v>
      </c>
      <c r="AI268" s="25">
        <f t="shared" si="176"/>
        <v>0</v>
      </c>
      <c r="AJ268" s="25">
        <f t="shared" si="177"/>
        <v>0</v>
      </c>
    </row>
    <row r="269" spans="1:36">
      <c r="A269">
        <f t="shared" si="157"/>
        <v>266</v>
      </c>
      <c r="B269">
        <f t="shared" si="166"/>
        <v>6</v>
      </c>
      <c r="C269">
        <f t="shared" si="144"/>
        <v>300</v>
      </c>
      <c r="D269">
        <f t="shared" si="158"/>
        <v>27</v>
      </c>
      <c r="E269">
        <f t="shared" si="178"/>
        <v>4</v>
      </c>
      <c r="F269">
        <f t="shared" si="145"/>
        <v>270</v>
      </c>
      <c r="G269">
        <f t="shared" si="159"/>
        <v>0</v>
      </c>
      <c r="H269">
        <f t="shared" si="167"/>
        <v>4</v>
      </c>
      <c r="I269">
        <f t="shared" si="146"/>
        <v>360</v>
      </c>
      <c r="J269">
        <f t="shared" si="160"/>
        <v>27</v>
      </c>
      <c r="K269">
        <f t="shared" si="168"/>
        <v>3</v>
      </c>
      <c r="L269">
        <f t="shared" si="147"/>
        <v>360</v>
      </c>
      <c r="M269">
        <f t="shared" si="161"/>
        <v>0</v>
      </c>
      <c r="N269">
        <f t="shared" si="169"/>
        <v>2</v>
      </c>
      <c r="O269">
        <f t="shared" si="148"/>
        <v>300</v>
      </c>
      <c r="P269">
        <f t="shared" si="170"/>
        <v>0</v>
      </c>
      <c r="Q269">
        <f t="shared" si="171"/>
        <v>2</v>
      </c>
      <c r="R269">
        <f t="shared" si="149"/>
        <v>300</v>
      </c>
      <c r="S269">
        <f t="shared" si="172"/>
        <v>0</v>
      </c>
      <c r="T269">
        <f t="shared" si="173"/>
        <v>-1</v>
      </c>
      <c r="U269">
        <f t="shared" si="162"/>
        <v>0</v>
      </c>
      <c r="V269">
        <f t="shared" si="163"/>
        <v>1</v>
      </c>
      <c r="W269">
        <f t="shared" si="150"/>
        <v>0</v>
      </c>
      <c r="X269">
        <f t="shared" si="174"/>
        <v>0</v>
      </c>
      <c r="Y269">
        <f t="shared" si="151"/>
        <v>0</v>
      </c>
      <c r="Z269">
        <f t="shared" si="152"/>
        <v>0</v>
      </c>
      <c r="AA269">
        <f t="shared" si="153"/>
        <v>0</v>
      </c>
      <c r="AB269" s="29">
        <f t="shared" si="154"/>
        <v>0.74178816089935007</v>
      </c>
      <c r="AC269" s="25">
        <f t="shared" si="164"/>
        <v>207.49804426656831</v>
      </c>
      <c r="AD269" s="29">
        <f t="shared" si="155"/>
        <v>1.1315841256324579</v>
      </c>
      <c r="AE269" s="25">
        <f t="shared" si="165"/>
        <v>13.243681724743192</v>
      </c>
      <c r="AF269" s="25">
        <f t="shared" si="156"/>
        <v>13.243681724743192</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290.78918279358999</v>
      </c>
      <c r="AH269" s="25">
        <f t="shared" si="175"/>
        <v>0</v>
      </c>
      <c r="AI269" s="25">
        <f t="shared" si="176"/>
        <v>0</v>
      </c>
      <c r="AJ269" s="25">
        <f t="shared" si="177"/>
        <v>0</v>
      </c>
    </row>
    <row r="270" spans="1:36">
      <c r="A270">
        <f t="shared" si="157"/>
        <v>267</v>
      </c>
      <c r="B270">
        <f t="shared" si="166"/>
        <v>6</v>
      </c>
      <c r="C270">
        <f t="shared" si="144"/>
        <v>300</v>
      </c>
      <c r="D270">
        <f t="shared" si="158"/>
        <v>28</v>
      </c>
      <c r="E270">
        <f t="shared" si="178"/>
        <v>4</v>
      </c>
      <c r="F270">
        <f t="shared" si="145"/>
        <v>270</v>
      </c>
      <c r="G270">
        <f t="shared" si="159"/>
        <v>0</v>
      </c>
      <c r="H270">
        <f t="shared" si="167"/>
        <v>4</v>
      </c>
      <c r="I270">
        <f t="shared" si="146"/>
        <v>360</v>
      </c>
      <c r="J270">
        <f t="shared" si="160"/>
        <v>28</v>
      </c>
      <c r="K270">
        <f t="shared" si="168"/>
        <v>3</v>
      </c>
      <c r="L270">
        <f t="shared" si="147"/>
        <v>360</v>
      </c>
      <c r="M270">
        <f t="shared" si="161"/>
        <v>0</v>
      </c>
      <c r="N270">
        <f t="shared" si="169"/>
        <v>2</v>
      </c>
      <c r="O270">
        <f t="shared" si="148"/>
        <v>300</v>
      </c>
      <c r="P270">
        <f t="shared" si="170"/>
        <v>0</v>
      </c>
      <c r="Q270">
        <f t="shared" si="171"/>
        <v>2</v>
      </c>
      <c r="R270">
        <f t="shared" si="149"/>
        <v>300</v>
      </c>
      <c r="S270">
        <f t="shared" si="172"/>
        <v>0</v>
      </c>
      <c r="T270">
        <f t="shared" si="173"/>
        <v>-1</v>
      </c>
      <c r="U270">
        <f t="shared" si="162"/>
        <v>0</v>
      </c>
      <c r="V270">
        <f t="shared" si="163"/>
        <v>1</v>
      </c>
      <c r="W270">
        <f t="shared" si="150"/>
        <v>0</v>
      </c>
      <c r="X270">
        <f t="shared" si="174"/>
        <v>0</v>
      </c>
      <c r="Y270">
        <f t="shared" si="151"/>
        <v>0</v>
      </c>
      <c r="Z270">
        <f t="shared" si="152"/>
        <v>0</v>
      </c>
      <c r="AA270">
        <f t="shared" si="153"/>
        <v>0</v>
      </c>
      <c r="AB270" s="29">
        <f t="shared" si="154"/>
        <v>0.74178816089935007</v>
      </c>
      <c r="AC270" s="25">
        <f t="shared" si="164"/>
        <v>207.49804426656831</v>
      </c>
      <c r="AD270" s="29">
        <f t="shared" si="155"/>
        <v>1.1315841256324579</v>
      </c>
      <c r="AE270" s="25">
        <f t="shared" si="165"/>
        <v>13.243681724743192</v>
      </c>
      <c r="AF270" s="25">
        <f t="shared" si="156"/>
        <v>13.243681724743192</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290.78918279358999</v>
      </c>
      <c r="AH270" s="25">
        <f t="shared" si="175"/>
        <v>0</v>
      </c>
      <c r="AI270" s="25">
        <f t="shared" si="176"/>
        <v>0</v>
      </c>
      <c r="AJ270" s="25">
        <f t="shared" si="177"/>
        <v>0</v>
      </c>
    </row>
    <row r="271" spans="1:36">
      <c r="A271">
        <f t="shared" si="157"/>
        <v>268</v>
      </c>
      <c r="B271">
        <f t="shared" si="166"/>
        <v>6</v>
      </c>
      <c r="C271">
        <f t="shared" si="144"/>
        <v>300</v>
      </c>
      <c r="D271">
        <f t="shared" si="158"/>
        <v>29</v>
      </c>
      <c r="E271">
        <f t="shared" si="178"/>
        <v>4</v>
      </c>
      <c r="F271">
        <f t="shared" si="145"/>
        <v>270</v>
      </c>
      <c r="G271">
        <f t="shared" si="159"/>
        <v>0</v>
      </c>
      <c r="H271">
        <f t="shared" si="167"/>
        <v>4</v>
      </c>
      <c r="I271">
        <f t="shared" si="146"/>
        <v>360</v>
      </c>
      <c r="J271">
        <f t="shared" si="160"/>
        <v>29</v>
      </c>
      <c r="K271">
        <f t="shared" si="168"/>
        <v>3</v>
      </c>
      <c r="L271">
        <f t="shared" si="147"/>
        <v>360</v>
      </c>
      <c r="M271">
        <f t="shared" si="161"/>
        <v>0</v>
      </c>
      <c r="N271">
        <f t="shared" si="169"/>
        <v>2</v>
      </c>
      <c r="O271">
        <f t="shared" si="148"/>
        <v>300</v>
      </c>
      <c r="P271">
        <f t="shared" si="170"/>
        <v>0</v>
      </c>
      <c r="Q271">
        <f t="shared" si="171"/>
        <v>2</v>
      </c>
      <c r="R271">
        <f t="shared" si="149"/>
        <v>300</v>
      </c>
      <c r="S271">
        <f t="shared" si="172"/>
        <v>0</v>
      </c>
      <c r="T271">
        <f t="shared" si="173"/>
        <v>-1</v>
      </c>
      <c r="U271">
        <f t="shared" si="162"/>
        <v>0</v>
      </c>
      <c r="V271">
        <f t="shared" si="163"/>
        <v>1</v>
      </c>
      <c r="W271">
        <f t="shared" si="150"/>
        <v>0</v>
      </c>
      <c r="X271">
        <f t="shared" si="174"/>
        <v>0</v>
      </c>
      <c r="Y271">
        <f t="shared" si="151"/>
        <v>0</v>
      </c>
      <c r="Z271">
        <f t="shared" si="152"/>
        <v>0</v>
      </c>
      <c r="AA271">
        <f t="shared" si="153"/>
        <v>0</v>
      </c>
      <c r="AB271" s="29">
        <f t="shared" si="154"/>
        <v>0.74178816089935007</v>
      </c>
      <c r="AC271" s="25">
        <f t="shared" si="164"/>
        <v>207.49804426656831</v>
      </c>
      <c r="AD271" s="29">
        <f t="shared" si="155"/>
        <v>1.1315841256324579</v>
      </c>
      <c r="AE271" s="25">
        <f t="shared" si="165"/>
        <v>13.243681724743192</v>
      </c>
      <c r="AF271" s="25">
        <f t="shared" si="156"/>
        <v>13.243681724743192</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290.78918279358999</v>
      </c>
      <c r="AH271" s="25">
        <f t="shared" si="175"/>
        <v>0</v>
      </c>
      <c r="AI271" s="25">
        <f t="shared" si="176"/>
        <v>0</v>
      </c>
      <c r="AJ271" s="25">
        <f t="shared" si="177"/>
        <v>0</v>
      </c>
    </row>
    <row r="272" spans="1:36">
      <c r="A272">
        <f t="shared" si="157"/>
        <v>269</v>
      </c>
      <c r="B272">
        <f t="shared" si="166"/>
        <v>6</v>
      </c>
      <c r="C272">
        <f t="shared" si="144"/>
        <v>300</v>
      </c>
      <c r="D272">
        <f t="shared" si="158"/>
        <v>30</v>
      </c>
      <c r="E272">
        <f t="shared" si="178"/>
        <v>4</v>
      </c>
      <c r="F272">
        <f t="shared" si="145"/>
        <v>270</v>
      </c>
      <c r="G272">
        <f t="shared" si="159"/>
        <v>0</v>
      </c>
      <c r="H272">
        <f t="shared" si="167"/>
        <v>4</v>
      </c>
      <c r="I272">
        <f t="shared" si="146"/>
        <v>360</v>
      </c>
      <c r="J272">
        <f t="shared" si="160"/>
        <v>30</v>
      </c>
      <c r="K272">
        <f t="shared" si="168"/>
        <v>3</v>
      </c>
      <c r="L272">
        <f t="shared" si="147"/>
        <v>360</v>
      </c>
      <c r="M272">
        <f t="shared" si="161"/>
        <v>0</v>
      </c>
      <c r="N272">
        <f t="shared" si="169"/>
        <v>2</v>
      </c>
      <c r="O272">
        <f t="shared" si="148"/>
        <v>300</v>
      </c>
      <c r="P272">
        <f t="shared" si="170"/>
        <v>0</v>
      </c>
      <c r="Q272">
        <f t="shared" si="171"/>
        <v>2</v>
      </c>
      <c r="R272">
        <f t="shared" si="149"/>
        <v>300</v>
      </c>
      <c r="S272">
        <f t="shared" si="172"/>
        <v>0</v>
      </c>
      <c r="T272">
        <f t="shared" si="173"/>
        <v>-1</v>
      </c>
      <c r="U272">
        <f t="shared" si="162"/>
        <v>0</v>
      </c>
      <c r="V272">
        <f t="shared" si="163"/>
        <v>1</v>
      </c>
      <c r="W272">
        <f t="shared" si="150"/>
        <v>0</v>
      </c>
      <c r="X272">
        <f t="shared" si="174"/>
        <v>0</v>
      </c>
      <c r="Y272">
        <f t="shared" si="151"/>
        <v>0</v>
      </c>
      <c r="Z272">
        <f t="shared" si="152"/>
        <v>0</v>
      </c>
      <c r="AA272">
        <f t="shared" si="153"/>
        <v>0</v>
      </c>
      <c r="AB272" s="29">
        <f t="shared" si="154"/>
        <v>0.74178816089935007</v>
      </c>
      <c r="AC272" s="25">
        <f t="shared" si="164"/>
        <v>207.49804426656831</v>
      </c>
      <c r="AD272" s="29">
        <f t="shared" si="155"/>
        <v>1.1315841256324579</v>
      </c>
      <c r="AE272" s="25">
        <f t="shared" si="165"/>
        <v>13.243681724743192</v>
      </c>
      <c r="AF272" s="25">
        <f t="shared" si="156"/>
        <v>13.243681724743192</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290.78918279358999</v>
      </c>
      <c r="AH272" s="25">
        <f t="shared" si="175"/>
        <v>0</v>
      </c>
      <c r="AI272" s="25">
        <f t="shared" si="176"/>
        <v>0</v>
      </c>
      <c r="AJ272" s="25">
        <f t="shared" si="177"/>
        <v>0</v>
      </c>
    </row>
    <row r="273" spans="1:36">
      <c r="A273">
        <f t="shared" si="157"/>
        <v>270</v>
      </c>
      <c r="B273">
        <f t="shared" si="166"/>
        <v>6</v>
      </c>
      <c r="C273">
        <f t="shared" si="144"/>
        <v>300</v>
      </c>
      <c r="D273">
        <f t="shared" si="158"/>
        <v>0</v>
      </c>
      <c r="E273">
        <f t="shared" si="178"/>
        <v>4</v>
      </c>
      <c r="F273">
        <f t="shared" si="145"/>
        <v>270</v>
      </c>
      <c r="G273">
        <f t="shared" si="159"/>
        <v>1</v>
      </c>
      <c r="H273">
        <f t="shared" si="167"/>
        <v>4</v>
      </c>
      <c r="I273">
        <f t="shared" si="146"/>
        <v>360</v>
      </c>
      <c r="J273">
        <f t="shared" si="160"/>
        <v>0</v>
      </c>
      <c r="K273">
        <f t="shared" si="168"/>
        <v>3</v>
      </c>
      <c r="L273">
        <f t="shared" si="147"/>
        <v>360</v>
      </c>
      <c r="M273">
        <f t="shared" si="161"/>
        <v>0</v>
      </c>
      <c r="N273">
        <f t="shared" si="169"/>
        <v>2</v>
      </c>
      <c r="O273">
        <f t="shared" si="148"/>
        <v>300</v>
      </c>
      <c r="P273">
        <f t="shared" si="170"/>
        <v>0</v>
      </c>
      <c r="Q273">
        <f t="shared" si="171"/>
        <v>2</v>
      </c>
      <c r="R273">
        <f t="shared" si="149"/>
        <v>300</v>
      </c>
      <c r="S273">
        <f t="shared" si="172"/>
        <v>0</v>
      </c>
      <c r="T273">
        <f t="shared" si="173"/>
        <v>-1</v>
      </c>
      <c r="U273">
        <f t="shared" si="162"/>
        <v>0</v>
      </c>
      <c r="V273">
        <f t="shared" si="163"/>
        <v>1</v>
      </c>
      <c r="W273">
        <f t="shared" si="150"/>
        <v>0</v>
      </c>
      <c r="X273">
        <f t="shared" si="174"/>
        <v>0</v>
      </c>
      <c r="Y273">
        <f t="shared" si="151"/>
        <v>0</v>
      </c>
      <c r="Z273">
        <f t="shared" si="152"/>
        <v>0</v>
      </c>
      <c r="AA273">
        <f t="shared" si="153"/>
        <v>0</v>
      </c>
      <c r="AB273" s="29">
        <f t="shared" si="154"/>
        <v>0.74178816089935007</v>
      </c>
      <c r="AC273" s="25">
        <f t="shared" si="164"/>
        <v>127.49804426656831</v>
      </c>
      <c r="AD273" s="29">
        <f t="shared" si="155"/>
        <v>1.0808524183153847</v>
      </c>
      <c r="AE273" s="25">
        <f t="shared" si="165"/>
        <v>13.243681724743192</v>
      </c>
      <c r="AF273" s="25">
        <f t="shared" si="156"/>
        <v>13.243681724743192</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290.78918279358999</v>
      </c>
      <c r="AH273" s="25">
        <f t="shared" si="175"/>
        <v>0</v>
      </c>
      <c r="AI273" s="25">
        <f t="shared" si="176"/>
        <v>0</v>
      </c>
      <c r="AJ273" s="25">
        <f t="shared" si="177"/>
        <v>0</v>
      </c>
    </row>
    <row r="274" spans="1:36">
      <c r="A274">
        <f t="shared" si="157"/>
        <v>271</v>
      </c>
      <c r="B274">
        <f t="shared" si="166"/>
        <v>6</v>
      </c>
      <c r="C274">
        <f t="shared" si="144"/>
        <v>300</v>
      </c>
      <c r="D274">
        <f t="shared" si="158"/>
        <v>0</v>
      </c>
      <c r="E274">
        <f t="shared" si="178"/>
        <v>5</v>
      </c>
      <c r="F274">
        <f t="shared" si="145"/>
        <v>360</v>
      </c>
      <c r="G274">
        <f t="shared" si="159"/>
        <v>2</v>
      </c>
      <c r="H274">
        <f t="shared" si="167"/>
        <v>4</v>
      </c>
      <c r="I274">
        <f t="shared" si="146"/>
        <v>360</v>
      </c>
      <c r="J274">
        <f t="shared" si="160"/>
        <v>0</v>
      </c>
      <c r="K274">
        <f t="shared" si="168"/>
        <v>3</v>
      </c>
      <c r="L274">
        <f t="shared" si="147"/>
        <v>360</v>
      </c>
      <c r="M274">
        <f t="shared" si="161"/>
        <v>0</v>
      </c>
      <c r="N274">
        <f t="shared" si="169"/>
        <v>2</v>
      </c>
      <c r="O274">
        <f t="shared" si="148"/>
        <v>300</v>
      </c>
      <c r="P274">
        <f t="shared" si="170"/>
        <v>0</v>
      </c>
      <c r="Q274">
        <f t="shared" si="171"/>
        <v>2</v>
      </c>
      <c r="R274">
        <f t="shared" si="149"/>
        <v>300</v>
      </c>
      <c r="S274">
        <f t="shared" si="172"/>
        <v>0</v>
      </c>
      <c r="T274">
        <f t="shared" si="173"/>
        <v>-1</v>
      </c>
      <c r="U274">
        <f t="shared" si="162"/>
        <v>0</v>
      </c>
      <c r="V274">
        <f t="shared" si="163"/>
        <v>1</v>
      </c>
      <c r="W274">
        <f t="shared" si="150"/>
        <v>0</v>
      </c>
      <c r="X274">
        <f t="shared" si="174"/>
        <v>0</v>
      </c>
      <c r="Y274">
        <f t="shared" si="151"/>
        <v>0</v>
      </c>
      <c r="Z274">
        <f t="shared" si="152"/>
        <v>0</v>
      </c>
      <c r="AA274">
        <f t="shared" si="153"/>
        <v>0</v>
      </c>
      <c r="AB274" s="29">
        <f t="shared" si="154"/>
        <v>0.74178816089935007</v>
      </c>
      <c r="AC274" s="25">
        <f t="shared" si="164"/>
        <v>127.49804426656831</v>
      </c>
      <c r="AD274" s="29">
        <f t="shared" si="155"/>
        <v>1.0808524183153847</v>
      </c>
      <c r="AE274" s="25">
        <f t="shared" si="165"/>
        <v>13.243681724743192</v>
      </c>
      <c r="AF274" s="25">
        <f t="shared" si="156"/>
        <v>13.243681724743192</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290.78918279358999</v>
      </c>
      <c r="AH274" s="25">
        <f t="shared" si="175"/>
        <v>0</v>
      </c>
      <c r="AI274" s="25">
        <f t="shared" si="176"/>
        <v>0</v>
      </c>
      <c r="AJ274" s="25">
        <f t="shared" si="177"/>
        <v>0</v>
      </c>
    </row>
    <row r="275" spans="1:36">
      <c r="A275">
        <f t="shared" si="157"/>
        <v>272</v>
      </c>
      <c r="B275">
        <f t="shared" si="166"/>
        <v>6</v>
      </c>
      <c r="C275">
        <f t="shared" si="144"/>
        <v>300</v>
      </c>
      <c r="D275">
        <f t="shared" si="158"/>
        <v>0</v>
      </c>
      <c r="E275">
        <f t="shared" si="178"/>
        <v>5</v>
      </c>
      <c r="F275">
        <f t="shared" si="145"/>
        <v>360</v>
      </c>
      <c r="G275">
        <f t="shared" si="159"/>
        <v>3</v>
      </c>
      <c r="H275">
        <f t="shared" si="167"/>
        <v>4</v>
      </c>
      <c r="I275">
        <f t="shared" si="146"/>
        <v>360</v>
      </c>
      <c r="J275">
        <f t="shared" si="160"/>
        <v>0</v>
      </c>
      <c r="K275">
        <f t="shared" si="168"/>
        <v>3</v>
      </c>
      <c r="L275">
        <f t="shared" si="147"/>
        <v>360</v>
      </c>
      <c r="M275">
        <f t="shared" si="161"/>
        <v>0</v>
      </c>
      <c r="N275">
        <f t="shared" si="169"/>
        <v>2</v>
      </c>
      <c r="O275">
        <f t="shared" si="148"/>
        <v>300</v>
      </c>
      <c r="P275">
        <f t="shared" si="170"/>
        <v>0</v>
      </c>
      <c r="Q275">
        <f t="shared" si="171"/>
        <v>2</v>
      </c>
      <c r="R275">
        <f t="shared" si="149"/>
        <v>300</v>
      </c>
      <c r="S275">
        <f t="shared" si="172"/>
        <v>0</v>
      </c>
      <c r="T275">
        <f t="shared" si="173"/>
        <v>-1</v>
      </c>
      <c r="U275">
        <f t="shared" si="162"/>
        <v>0</v>
      </c>
      <c r="V275">
        <f t="shared" si="163"/>
        <v>1</v>
      </c>
      <c r="W275">
        <f t="shared" si="150"/>
        <v>0</v>
      </c>
      <c r="X275">
        <f t="shared" si="174"/>
        <v>0</v>
      </c>
      <c r="Y275">
        <f t="shared" si="151"/>
        <v>0</v>
      </c>
      <c r="Z275">
        <f t="shared" si="152"/>
        <v>0</v>
      </c>
      <c r="AA275">
        <f t="shared" si="153"/>
        <v>0</v>
      </c>
      <c r="AB275" s="29">
        <f t="shared" si="154"/>
        <v>0.74178816089935007</v>
      </c>
      <c r="AC275" s="25">
        <f t="shared" si="164"/>
        <v>127.49804426656831</v>
      </c>
      <c r="AD275" s="29">
        <f t="shared" si="155"/>
        <v>1.0808524183153847</v>
      </c>
      <c r="AE275" s="25">
        <f t="shared" si="165"/>
        <v>13.243681724743192</v>
      </c>
      <c r="AF275" s="25">
        <f t="shared" si="156"/>
        <v>13.243681724743192</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290.78918279358999</v>
      </c>
      <c r="AH275" s="25">
        <f t="shared" si="175"/>
        <v>0</v>
      </c>
      <c r="AI275" s="25">
        <f t="shared" si="176"/>
        <v>0</v>
      </c>
      <c r="AJ275" s="25">
        <f t="shared" si="177"/>
        <v>0</v>
      </c>
    </row>
    <row r="276" spans="1:36">
      <c r="A276">
        <f t="shared" si="157"/>
        <v>273</v>
      </c>
      <c r="B276">
        <f t="shared" si="166"/>
        <v>6</v>
      </c>
      <c r="C276">
        <f t="shared" si="144"/>
        <v>300</v>
      </c>
      <c r="D276">
        <f t="shared" si="158"/>
        <v>0</v>
      </c>
      <c r="E276">
        <f t="shared" si="178"/>
        <v>5</v>
      </c>
      <c r="F276">
        <f t="shared" si="145"/>
        <v>360</v>
      </c>
      <c r="G276">
        <f t="shared" si="159"/>
        <v>4</v>
      </c>
      <c r="H276">
        <f t="shared" si="167"/>
        <v>4</v>
      </c>
      <c r="I276">
        <f t="shared" si="146"/>
        <v>360</v>
      </c>
      <c r="J276">
        <f t="shared" si="160"/>
        <v>0</v>
      </c>
      <c r="K276">
        <f t="shared" si="168"/>
        <v>3</v>
      </c>
      <c r="L276">
        <f t="shared" si="147"/>
        <v>360</v>
      </c>
      <c r="M276">
        <f t="shared" si="161"/>
        <v>0</v>
      </c>
      <c r="N276">
        <f t="shared" si="169"/>
        <v>2</v>
      </c>
      <c r="O276">
        <f t="shared" si="148"/>
        <v>300</v>
      </c>
      <c r="P276">
        <f t="shared" si="170"/>
        <v>0</v>
      </c>
      <c r="Q276">
        <f t="shared" si="171"/>
        <v>2</v>
      </c>
      <c r="R276">
        <f t="shared" si="149"/>
        <v>300</v>
      </c>
      <c r="S276">
        <f t="shared" si="172"/>
        <v>0</v>
      </c>
      <c r="T276">
        <f t="shared" si="173"/>
        <v>-1</v>
      </c>
      <c r="U276">
        <f t="shared" si="162"/>
        <v>0</v>
      </c>
      <c r="V276">
        <f t="shared" si="163"/>
        <v>1</v>
      </c>
      <c r="W276">
        <f t="shared" si="150"/>
        <v>0</v>
      </c>
      <c r="X276">
        <f t="shared" si="174"/>
        <v>0</v>
      </c>
      <c r="Y276">
        <f t="shared" si="151"/>
        <v>0</v>
      </c>
      <c r="Z276">
        <f t="shared" si="152"/>
        <v>0</v>
      </c>
      <c r="AA276">
        <f t="shared" si="153"/>
        <v>0</v>
      </c>
      <c r="AB276" s="29">
        <f t="shared" si="154"/>
        <v>0.74178816089935007</v>
      </c>
      <c r="AC276" s="25">
        <f t="shared" si="164"/>
        <v>127.49804426656831</v>
      </c>
      <c r="AD276" s="29">
        <f t="shared" si="155"/>
        <v>1.0808524183153847</v>
      </c>
      <c r="AE276" s="25">
        <f t="shared" si="165"/>
        <v>13.243681724743192</v>
      </c>
      <c r="AF276" s="25">
        <f t="shared" si="156"/>
        <v>13.243681724743192</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290.78918279358999</v>
      </c>
      <c r="AH276" s="25">
        <f t="shared" si="175"/>
        <v>0</v>
      </c>
      <c r="AI276" s="25">
        <f t="shared" si="176"/>
        <v>0</v>
      </c>
      <c r="AJ276" s="25">
        <f t="shared" si="177"/>
        <v>0</v>
      </c>
    </row>
    <row r="277" spans="1:36">
      <c r="A277">
        <f t="shared" si="157"/>
        <v>274</v>
      </c>
      <c r="B277">
        <f t="shared" si="166"/>
        <v>6</v>
      </c>
      <c r="C277">
        <f t="shared" si="144"/>
        <v>300</v>
      </c>
      <c r="D277">
        <f t="shared" si="158"/>
        <v>0</v>
      </c>
      <c r="E277">
        <f t="shared" si="178"/>
        <v>5</v>
      </c>
      <c r="F277">
        <f t="shared" si="145"/>
        <v>360</v>
      </c>
      <c r="G277">
        <f t="shared" si="159"/>
        <v>5</v>
      </c>
      <c r="H277">
        <f t="shared" si="167"/>
        <v>4</v>
      </c>
      <c r="I277">
        <f t="shared" si="146"/>
        <v>360</v>
      </c>
      <c r="J277">
        <f t="shared" si="160"/>
        <v>0</v>
      </c>
      <c r="K277">
        <f t="shared" si="168"/>
        <v>3</v>
      </c>
      <c r="L277">
        <f t="shared" si="147"/>
        <v>360</v>
      </c>
      <c r="M277">
        <f t="shared" si="161"/>
        <v>0</v>
      </c>
      <c r="N277">
        <f t="shared" si="169"/>
        <v>2</v>
      </c>
      <c r="O277">
        <f t="shared" si="148"/>
        <v>300</v>
      </c>
      <c r="P277">
        <f t="shared" si="170"/>
        <v>0</v>
      </c>
      <c r="Q277">
        <f t="shared" si="171"/>
        <v>2</v>
      </c>
      <c r="R277">
        <f t="shared" si="149"/>
        <v>300</v>
      </c>
      <c r="S277">
        <f t="shared" si="172"/>
        <v>0</v>
      </c>
      <c r="T277">
        <f t="shared" si="173"/>
        <v>-1</v>
      </c>
      <c r="U277">
        <f t="shared" si="162"/>
        <v>0</v>
      </c>
      <c r="V277">
        <f t="shared" si="163"/>
        <v>1</v>
      </c>
      <c r="W277">
        <f t="shared" si="150"/>
        <v>0</v>
      </c>
      <c r="X277">
        <f t="shared" si="174"/>
        <v>0</v>
      </c>
      <c r="Y277">
        <f t="shared" si="151"/>
        <v>0</v>
      </c>
      <c r="Z277">
        <f t="shared" si="152"/>
        <v>0</v>
      </c>
      <c r="AA277">
        <f t="shared" si="153"/>
        <v>0</v>
      </c>
      <c r="AB277" s="29">
        <f t="shared" si="154"/>
        <v>0.74178816089935007</v>
      </c>
      <c r="AC277" s="25">
        <f t="shared" si="164"/>
        <v>127.49804426656831</v>
      </c>
      <c r="AD277" s="29">
        <f t="shared" si="155"/>
        <v>1.0808524183153847</v>
      </c>
      <c r="AE277" s="25">
        <f t="shared" si="165"/>
        <v>13.243681724743192</v>
      </c>
      <c r="AF277" s="25">
        <f t="shared" si="156"/>
        <v>13.243681724743192</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290.78918279358999</v>
      </c>
      <c r="AH277" s="25">
        <f t="shared" si="175"/>
        <v>0</v>
      </c>
      <c r="AI277" s="25">
        <f t="shared" si="176"/>
        <v>0</v>
      </c>
      <c r="AJ277" s="25">
        <f t="shared" si="177"/>
        <v>0</v>
      </c>
    </row>
    <row r="278" spans="1:36">
      <c r="A278">
        <f t="shared" si="157"/>
        <v>275</v>
      </c>
      <c r="B278">
        <f t="shared" si="166"/>
        <v>6</v>
      </c>
      <c r="C278">
        <f t="shared" si="144"/>
        <v>300</v>
      </c>
      <c r="D278">
        <f t="shared" si="158"/>
        <v>0</v>
      </c>
      <c r="E278">
        <f t="shared" si="178"/>
        <v>5</v>
      </c>
      <c r="F278">
        <f t="shared" si="145"/>
        <v>360</v>
      </c>
      <c r="G278">
        <f t="shared" si="159"/>
        <v>6</v>
      </c>
      <c r="H278">
        <f t="shared" si="167"/>
        <v>4</v>
      </c>
      <c r="I278">
        <f t="shared" si="146"/>
        <v>360</v>
      </c>
      <c r="J278">
        <f t="shared" si="160"/>
        <v>0</v>
      </c>
      <c r="K278">
        <f t="shared" si="168"/>
        <v>3</v>
      </c>
      <c r="L278">
        <f t="shared" si="147"/>
        <v>360</v>
      </c>
      <c r="M278">
        <f t="shared" si="161"/>
        <v>0</v>
      </c>
      <c r="N278">
        <f t="shared" si="169"/>
        <v>2</v>
      </c>
      <c r="O278">
        <f t="shared" si="148"/>
        <v>300</v>
      </c>
      <c r="P278">
        <f t="shared" si="170"/>
        <v>0</v>
      </c>
      <c r="Q278">
        <f t="shared" si="171"/>
        <v>2</v>
      </c>
      <c r="R278">
        <f t="shared" si="149"/>
        <v>300</v>
      </c>
      <c r="S278">
        <f t="shared" si="172"/>
        <v>0</v>
      </c>
      <c r="T278">
        <f t="shared" si="173"/>
        <v>-1</v>
      </c>
      <c r="U278">
        <f t="shared" si="162"/>
        <v>0</v>
      </c>
      <c r="V278">
        <f t="shared" si="163"/>
        <v>1</v>
      </c>
      <c r="W278">
        <f t="shared" si="150"/>
        <v>0</v>
      </c>
      <c r="X278">
        <f t="shared" si="174"/>
        <v>0</v>
      </c>
      <c r="Y278">
        <f t="shared" si="151"/>
        <v>0</v>
      </c>
      <c r="Z278">
        <f t="shared" si="152"/>
        <v>0</v>
      </c>
      <c r="AA278">
        <f t="shared" si="153"/>
        <v>0</v>
      </c>
      <c r="AB278" s="29">
        <f t="shared" si="154"/>
        <v>0.74178816089935007</v>
      </c>
      <c r="AC278" s="25">
        <f t="shared" si="164"/>
        <v>127.49804426656831</v>
      </c>
      <c r="AD278" s="29">
        <f t="shared" si="155"/>
        <v>1.0808524183153847</v>
      </c>
      <c r="AE278" s="25">
        <f t="shared" si="165"/>
        <v>13.243681724743192</v>
      </c>
      <c r="AF278" s="25">
        <f t="shared" si="156"/>
        <v>13.243681724743192</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290.78918279358999</v>
      </c>
      <c r="AH278" s="25">
        <f t="shared" si="175"/>
        <v>0</v>
      </c>
      <c r="AI278" s="25">
        <f t="shared" si="176"/>
        <v>0</v>
      </c>
      <c r="AJ278" s="25">
        <f t="shared" si="177"/>
        <v>0</v>
      </c>
    </row>
    <row r="279" spans="1:36">
      <c r="A279">
        <f t="shared" si="157"/>
        <v>276</v>
      </c>
      <c r="B279">
        <f t="shared" si="166"/>
        <v>6</v>
      </c>
      <c r="C279">
        <f t="shared" si="144"/>
        <v>300</v>
      </c>
      <c r="D279">
        <f t="shared" si="158"/>
        <v>0</v>
      </c>
      <c r="E279">
        <f t="shared" si="178"/>
        <v>5</v>
      </c>
      <c r="F279">
        <f t="shared" si="145"/>
        <v>360</v>
      </c>
      <c r="G279">
        <f t="shared" si="159"/>
        <v>7</v>
      </c>
      <c r="H279">
        <f t="shared" si="167"/>
        <v>4</v>
      </c>
      <c r="I279">
        <f t="shared" si="146"/>
        <v>360</v>
      </c>
      <c r="J279">
        <f t="shared" si="160"/>
        <v>0</v>
      </c>
      <c r="K279">
        <f t="shared" si="168"/>
        <v>3</v>
      </c>
      <c r="L279">
        <f t="shared" si="147"/>
        <v>360</v>
      </c>
      <c r="M279">
        <f t="shared" si="161"/>
        <v>0</v>
      </c>
      <c r="N279">
        <f t="shared" si="169"/>
        <v>2</v>
      </c>
      <c r="O279">
        <f t="shared" si="148"/>
        <v>300</v>
      </c>
      <c r="P279">
        <f t="shared" si="170"/>
        <v>0</v>
      </c>
      <c r="Q279">
        <f t="shared" si="171"/>
        <v>2</v>
      </c>
      <c r="R279">
        <f t="shared" si="149"/>
        <v>300</v>
      </c>
      <c r="S279">
        <f t="shared" si="172"/>
        <v>0</v>
      </c>
      <c r="T279">
        <f t="shared" si="173"/>
        <v>-1</v>
      </c>
      <c r="U279">
        <f t="shared" si="162"/>
        <v>0</v>
      </c>
      <c r="V279">
        <f t="shared" si="163"/>
        <v>1</v>
      </c>
      <c r="W279">
        <f t="shared" si="150"/>
        <v>0</v>
      </c>
      <c r="X279">
        <f t="shared" si="174"/>
        <v>0</v>
      </c>
      <c r="Y279">
        <f t="shared" si="151"/>
        <v>0</v>
      </c>
      <c r="Z279">
        <f t="shared" si="152"/>
        <v>0</v>
      </c>
      <c r="AA279">
        <f t="shared" si="153"/>
        <v>0</v>
      </c>
      <c r="AB279" s="29">
        <f t="shared" si="154"/>
        <v>0.74178816089935007</v>
      </c>
      <c r="AC279" s="25">
        <f t="shared" si="164"/>
        <v>127.49804426656831</v>
      </c>
      <c r="AD279" s="29">
        <f t="shared" si="155"/>
        <v>1.0808524183153847</v>
      </c>
      <c r="AE279" s="25">
        <f t="shared" si="165"/>
        <v>13.243681724743192</v>
      </c>
      <c r="AF279" s="25">
        <f t="shared" si="156"/>
        <v>13.243681724743192</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290.78918279358999</v>
      </c>
      <c r="AH279" s="25">
        <f t="shared" si="175"/>
        <v>0</v>
      </c>
      <c r="AI279" s="25">
        <f t="shared" si="176"/>
        <v>0</v>
      </c>
      <c r="AJ279" s="25">
        <f t="shared" si="177"/>
        <v>0</v>
      </c>
    </row>
    <row r="280" spans="1:36">
      <c r="A280">
        <f t="shared" si="157"/>
        <v>277</v>
      </c>
      <c r="B280">
        <f t="shared" si="166"/>
        <v>6</v>
      </c>
      <c r="C280">
        <f t="shared" si="144"/>
        <v>300</v>
      </c>
      <c r="D280">
        <f t="shared" si="158"/>
        <v>0</v>
      </c>
      <c r="E280">
        <f t="shared" si="178"/>
        <v>5</v>
      </c>
      <c r="F280">
        <f t="shared" si="145"/>
        <v>360</v>
      </c>
      <c r="G280">
        <f t="shared" si="159"/>
        <v>8</v>
      </c>
      <c r="H280">
        <f t="shared" si="167"/>
        <v>4</v>
      </c>
      <c r="I280">
        <f t="shared" si="146"/>
        <v>360</v>
      </c>
      <c r="J280">
        <f t="shared" si="160"/>
        <v>0</v>
      </c>
      <c r="K280">
        <f t="shared" si="168"/>
        <v>3</v>
      </c>
      <c r="L280">
        <f t="shared" si="147"/>
        <v>360</v>
      </c>
      <c r="M280">
        <f t="shared" si="161"/>
        <v>0</v>
      </c>
      <c r="N280">
        <f t="shared" si="169"/>
        <v>2</v>
      </c>
      <c r="O280">
        <f t="shared" si="148"/>
        <v>300</v>
      </c>
      <c r="P280">
        <f t="shared" si="170"/>
        <v>0</v>
      </c>
      <c r="Q280">
        <f t="shared" si="171"/>
        <v>2</v>
      </c>
      <c r="R280">
        <f t="shared" si="149"/>
        <v>300</v>
      </c>
      <c r="S280">
        <f t="shared" si="172"/>
        <v>0</v>
      </c>
      <c r="T280">
        <f t="shared" si="173"/>
        <v>-1</v>
      </c>
      <c r="U280">
        <f t="shared" si="162"/>
        <v>0</v>
      </c>
      <c r="V280">
        <f t="shared" si="163"/>
        <v>1</v>
      </c>
      <c r="W280">
        <f t="shared" si="150"/>
        <v>0</v>
      </c>
      <c r="X280">
        <f t="shared" si="174"/>
        <v>0</v>
      </c>
      <c r="Y280">
        <f t="shared" si="151"/>
        <v>0</v>
      </c>
      <c r="Z280">
        <f t="shared" si="152"/>
        <v>0</v>
      </c>
      <c r="AA280">
        <f t="shared" si="153"/>
        <v>0</v>
      </c>
      <c r="AB280" s="29">
        <f t="shared" si="154"/>
        <v>0.74178816089935007</v>
      </c>
      <c r="AC280" s="25">
        <f t="shared" si="164"/>
        <v>127.49804426656831</v>
      </c>
      <c r="AD280" s="29">
        <f t="shared" si="155"/>
        <v>1.0808524183153847</v>
      </c>
      <c r="AE280" s="25">
        <f t="shared" si="165"/>
        <v>13.243681724743192</v>
      </c>
      <c r="AF280" s="25">
        <f t="shared" si="156"/>
        <v>13.243681724743192</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290.78918279358999</v>
      </c>
      <c r="AH280" s="25">
        <f t="shared" si="175"/>
        <v>0</v>
      </c>
      <c r="AI280" s="25">
        <f t="shared" si="176"/>
        <v>0</v>
      </c>
      <c r="AJ280" s="25">
        <f t="shared" si="177"/>
        <v>0</v>
      </c>
    </row>
    <row r="281" spans="1:36">
      <c r="A281">
        <f t="shared" si="157"/>
        <v>278</v>
      </c>
      <c r="B281">
        <f t="shared" si="166"/>
        <v>6</v>
      </c>
      <c r="C281">
        <f t="shared" si="144"/>
        <v>300</v>
      </c>
      <c r="D281">
        <f t="shared" si="158"/>
        <v>0</v>
      </c>
      <c r="E281">
        <f t="shared" si="178"/>
        <v>5</v>
      </c>
      <c r="F281">
        <f t="shared" si="145"/>
        <v>360</v>
      </c>
      <c r="G281">
        <f t="shared" si="159"/>
        <v>9</v>
      </c>
      <c r="H281">
        <f t="shared" si="167"/>
        <v>4</v>
      </c>
      <c r="I281">
        <f t="shared" si="146"/>
        <v>360</v>
      </c>
      <c r="J281">
        <f t="shared" si="160"/>
        <v>0</v>
      </c>
      <c r="K281">
        <f t="shared" si="168"/>
        <v>3</v>
      </c>
      <c r="L281">
        <f t="shared" si="147"/>
        <v>360</v>
      </c>
      <c r="M281">
        <f t="shared" si="161"/>
        <v>0</v>
      </c>
      <c r="N281">
        <f t="shared" si="169"/>
        <v>2</v>
      </c>
      <c r="O281">
        <f t="shared" si="148"/>
        <v>300</v>
      </c>
      <c r="P281">
        <f t="shared" si="170"/>
        <v>0</v>
      </c>
      <c r="Q281">
        <f t="shared" si="171"/>
        <v>2</v>
      </c>
      <c r="R281">
        <f t="shared" si="149"/>
        <v>300</v>
      </c>
      <c r="S281">
        <f t="shared" si="172"/>
        <v>0</v>
      </c>
      <c r="T281">
        <f t="shared" si="173"/>
        <v>-1</v>
      </c>
      <c r="U281">
        <f t="shared" si="162"/>
        <v>0</v>
      </c>
      <c r="V281">
        <f t="shared" si="163"/>
        <v>1</v>
      </c>
      <c r="W281">
        <f t="shared" si="150"/>
        <v>0</v>
      </c>
      <c r="X281">
        <f t="shared" si="174"/>
        <v>0</v>
      </c>
      <c r="Y281">
        <f t="shared" si="151"/>
        <v>0</v>
      </c>
      <c r="Z281">
        <f t="shared" si="152"/>
        <v>0</v>
      </c>
      <c r="AA281">
        <f t="shared" si="153"/>
        <v>0</v>
      </c>
      <c r="AB281" s="29">
        <f t="shared" si="154"/>
        <v>0.74178816089935007</v>
      </c>
      <c r="AC281" s="25">
        <f t="shared" si="164"/>
        <v>127.49804426656831</v>
      </c>
      <c r="AD281" s="29">
        <f t="shared" si="155"/>
        <v>1.0808524183153847</v>
      </c>
      <c r="AE281" s="25">
        <f t="shared" si="165"/>
        <v>13.243681724743192</v>
      </c>
      <c r="AF281" s="25">
        <f t="shared" si="156"/>
        <v>13.243681724743192</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290.78918279358999</v>
      </c>
      <c r="AH281" s="25">
        <f t="shared" si="175"/>
        <v>0</v>
      </c>
      <c r="AI281" s="25">
        <f t="shared" si="176"/>
        <v>0</v>
      </c>
      <c r="AJ281" s="25">
        <f t="shared" si="177"/>
        <v>0</v>
      </c>
    </row>
    <row r="282" spans="1:36">
      <c r="A282">
        <f t="shared" si="157"/>
        <v>279</v>
      </c>
      <c r="B282">
        <f t="shared" si="166"/>
        <v>6</v>
      </c>
      <c r="C282">
        <f t="shared" si="144"/>
        <v>300</v>
      </c>
      <c r="D282">
        <f t="shared" si="158"/>
        <v>0</v>
      </c>
      <c r="E282">
        <f t="shared" si="178"/>
        <v>5</v>
      </c>
      <c r="F282">
        <f t="shared" si="145"/>
        <v>360</v>
      </c>
      <c r="G282">
        <f t="shared" si="159"/>
        <v>10</v>
      </c>
      <c r="H282">
        <f t="shared" si="167"/>
        <v>4</v>
      </c>
      <c r="I282">
        <f t="shared" si="146"/>
        <v>360</v>
      </c>
      <c r="J282">
        <f t="shared" si="160"/>
        <v>0</v>
      </c>
      <c r="K282">
        <f t="shared" si="168"/>
        <v>3</v>
      </c>
      <c r="L282">
        <f t="shared" si="147"/>
        <v>360</v>
      </c>
      <c r="M282">
        <f t="shared" si="161"/>
        <v>0</v>
      </c>
      <c r="N282">
        <f t="shared" si="169"/>
        <v>2</v>
      </c>
      <c r="O282">
        <f t="shared" si="148"/>
        <v>300</v>
      </c>
      <c r="P282">
        <f t="shared" si="170"/>
        <v>0</v>
      </c>
      <c r="Q282">
        <f t="shared" si="171"/>
        <v>2</v>
      </c>
      <c r="R282">
        <f t="shared" si="149"/>
        <v>300</v>
      </c>
      <c r="S282">
        <f t="shared" si="172"/>
        <v>0</v>
      </c>
      <c r="T282">
        <f t="shared" si="173"/>
        <v>-1</v>
      </c>
      <c r="U282">
        <f t="shared" si="162"/>
        <v>0</v>
      </c>
      <c r="V282">
        <f t="shared" si="163"/>
        <v>1</v>
      </c>
      <c r="W282">
        <f t="shared" si="150"/>
        <v>0</v>
      </c>
      <c r="X282">
        <f t="shared" si="174"/>
        <v>0</v>
      </c>
      <c r="Y282">
        <f t="shared" si="151"/>
        <v>0</v>
      </c>
      <c r="Z282">
        <f t="shared" si="152"/>
        <v>0</v>
      </c>
      <c r="AA282">
        <f t="shared" si="153"/>
        <v>0</v>
      </c>
      <c r="AB282" s="29">
        <f t="shared" si="154"/>
        <v>0.74178816089935007</v>
      </c>
      <c r="AC282" s="25">
        <f t="shared" si="164"/>
        <v>127.49804426656831</v>
      </c>
      <c r="AD282" s="29">
        <f t="shared" si="155"/>
        <v>1.0808524183153847</v>
      </c>
      <c r="AE282" s="25">
        <f t="shared" si="165"/>
        <v>13.243681724743192</v>
      </c>
      <c r="AF282" s="25">
        <f t="shared" si="156"/>
        <v>13.243681724743192</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290.78918279358999</v>
      </c>
      <c r="AH282" s="25">
        <f t="shared" si="175"/>
        <v>0</v>
      </c>
      <c r="AI282" s="25">
        <f t="shared" si="176"/>
        <v>0</v>
      </c>
      <c r="AJ282" s="25">
        <f t="shared" si="177"/>
        <v>0</v>
      </c>
    </row>
    <row r="283" spans="1:36">
      <c r="A283">
        <f t="shared" si="157"/>
        <v>280</v>
      </c>
      <c r="B283">
        <f t="shared" si="166"/>
        <v>6</v>
      </c>
      <c r="C283">
        <f t="shared" si="144"/>
        <v>300</v>
      </c>
      <c r="D283">
        <f t="shared" si="158"/>
        <v>0</v>
      </c>
      <c r="E283">
        <f t="shared" si="178"/>
        <v>5</v>
      </c>
      <c r="F283">
        <f t="shared" si="145"/>
        <v>360</v>
      </c>
      <c r="G283">
        <f t="shared" si="159"/>
        <v>11</v>
      </c>
      <c r="H283">
        <f t="shared" si="167"/>
        <v>4</v>
      </c>
      <c r="I283">
        <f t="shared" si="146"/>
        <v>360</v>
      </c>
      <c r="J283">
        <f t="shared" si="160"/>
        <v>0</v>
      </c>
      <c r="K283">
        <f t="shared" si="168"/>
        <v>3</v>
      </c>
      <c r="L283">
        <f t="shared" si="147"/>
        <v>360</v>
      </c>
      <c r="M283">
        <f t="shared" si="161"/>
        <v>0</v>
      </c>
      <c r="N283">
        <f t="shared" si="169"/>
        <v>2</v>
      </c>
      <c r="O283">
        <f t="shared" si="148"/>
        <v>300</v>
      </c>
      <c r="P283">
        <f t="shared" si="170"/>
        <v>0</v>
      </c>
      <c r="Q283">
        <f t="shared" si="171"/>
        <v>2</v>
      </c>
      <c r="R283">
        <f t="shared" si="149"/>
        <v>300</v>
      </c>
      <c r="S283">
        <f t="shared" si="172"/>
        <v>0</v>
      </c>
      <c r="T283">
        <f t="shared" si="173"/>
        <v>-1</v>
      </c>
      <c r="U283">
        <f t="shared" si="162"/>
        <v>0</v>
      </c>
      <c r="V283">
        <f t="shared" si="163"/>
        <v>1</v>
      </c>
      <c r="W283">
        <f t="shared" si="150"/>
        <v>0</v>
      </c>
      <c r="X283">
        <f t="shared" si="174"/>
        <v>0</v>
      </c>
      <c r="Y283">
        <f t="shared" si="151"/>
        <v>0</v>
      </c>
      <c r="Z283">
        <f t="shared" si="152"/>
        <v>0</v>
      </c>
      <c r="AA283">
        <f t="shared" si="153"/>
        <v>0</v>
      </c>
      <c r="AB283" s="29">
        <f t="shared" si="154"/>
        <v>0.74178816089935007</v>
      </c>
      <c r="AC283" s="25">
        <f t="shared" si="164"/>
        <v>127.49804426656831</v>
      </c>
      <c r="AD283" s="29">
        <f t="shared" si="155"/>
        <v>1.0808524183153847</v>
      </c>
      <c r="AE283" s="25">
        <f t="shared" si="165"/>
        <v>13.243681724743192</v>
      </c>
      <c r="AF283" s="25">
        <f t="shared" si="156"/>
        <v>13.243681724743192</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290.78918279358999</v>
      </c>
      <c r="AH283" s="25">
        <f t="shared" si="175"/>
        <v>0</v>
      </c>
      <c r="AI283" s="25">
        <f t="shared" si="176"/>
        <v>0</v>
      </c>
      <c r="AJ283" s="25">
        <f t="shared" si="177"/>
        <v>0</v>
      </c>
    </row>
    <row r="284" spans="1:36">
      <c r="A284">
        <f t="shared" si="157"/>
        <v>281</v>
      </c>
      <c r="B284">
        <f t="shared" si="166"/>
        <v>6</v>
      </c>
      <c r="C284">
        <f t="shared" si="144"/>
        <v>300</v>
      </c>
      <c r="D284">
        <f t="shared" si="158"/>
        <v>0</v>
      </c>
      <c r="E284">
        <f t="shared" si="178"/>
        <v>5</v>
      </c>
      <c r="F284">
        <f t="shared" si="145"/>
        <v>360</v>
      </c>
      <c r="G284">
        <f t="shared" si="159"/>
        <v>12</v>
      </c>
      <c r="H284">
        <f t="shared" si="167"/>
        <v>4</v>
      </c>
      <c r="I284">
        <f t="shared" si="146"/>
        <v>360</v>
      </c>
      <c r="J284">
        <f t="shared" si="160"/>
        <v>0</v>
      </c>
      <c r="K284">
        <f t="shared" si="168"/>
        <v>3</v>
      </c>
      <c r="L284">
        <f t="shared" si="147"/>
        <v>360</v>
      </c>
      <c r="M284">
        <f t="shared" si="161"/>
        <v>0</v>
      </c>
      <c r="N284">
        <f t="shared" si="169"/>
        <v>2</v>
      </c>
      <c r="O284">
        <f t="shared" si="148"/>
        <v>300</v>
      </c>
      <c r="P284">
        <f t="shared" si="170"/>
        <v>0</v>
      </c>
      <c r="Q284">
        <f t="shared" si="171"/>
        <v>2</v>
      </c>
      <c r="R284">
        <f t="shared" si="149"/>
        <v>300</v>
      </c>
      <c r="S284">
        <f t="shared" si="172"/>
        <v>0</v>
      </c>
      <c r="T284">
        <f t="shared" si="173"/>
        <v>-1</v>
      </c>
      <c r="U284">
        <f t="shared" si="162"/>
        <v>0</v>
      </c>
      <c r="V284">
        <f t="shared" si="163"/>
        <v>1</v>
      </c>
      <c r="W284">
        <f t="shared" si="150"/>
        <v>0</v>
      </c>
      <c r="X284">
        <f t="shared" si="174"/>
        <v>0</v>
      </c>
      <c r="Y284">
        <f t="shared" si="151"/>
        <v>0</v>
      </c>
      <c r="Z284">
        <f t="shared" si="152"/>
        <v>0</v>
      </c>
      <c r="AA284">
        <f t="shared" si="153"/>
        <v>0</v>
      </c>
      <c r="AB284" s="29">
        <f t="shared" si="154"/>
        <v>0.74178816089935007</v>
      </c>
      <c r="AC284" s="25">
        <f t="shared" si="164"/>
        <v>127.49804426656831</v>
      </c>
      <c r="AD284" s="29">
        <f t="shared" si="155"/>
        <v>1.0808524183153847</v>
      </c>
      <c r="AE284" s="25">
        <f t="shared" si="165"/>
        <v>13.243681724743192</v>
      </c>
      <c r="AF284" s="25">
        <f t="shared" si="156"/>
        <v>13.243681724743192</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290.78918279358999</v>
      </c>
      <c r="AH284" s="25">
        <f t="shared" si="175"/>
        <v>0</v>
      </c>
      <c r="AI284" s="25">
        <f t="shared" si="176"/>
        <v>0</v>
      </c>
      <c r="AJ284" s="25">
        <f t="shared" si="177"/>
        <v>0</v>
      </c>
    </row>
    <row r="285" spans="1:36">
      <c r="A285">
        <f t="shared" si="157"/>
        <v>282</v>
      </c>
      <c r="B285">
        <f t="shared" si="166"/>
        <v>6</v>
      </c>
      <c r="C285">
        <f t="shared" si="144"/>
        <v>300</v>
      </c>
      <c r="D285">
        <f t="shared" si="158"/>
        <v>0</v>
      </c>
      <c r="E285">
        <f t="shared" si="178"/>
        <v>5</v>
      </c>
      <c r="F285">
        <f t="shared" si="145"/>
        <v>360</v>
      </c>
      <c r="G285">
        <f t="shared" si="159"/>
        <v>13</v>
      </c>
      <c r="H285">
        <f t="shared" si="167"/>
        <v>4</v>
      </c>
      <c r="I285">
        <f t="shared" si="146"/>
        <v>360</v>
      </c>
      <c r="J285">
        <f t="shared" si="160"/>
        <v>0</v>
      </c>
      <c r="K285">
        <f t="shared" si="168"/>
        <v>3</v>
      </c>
      <c r="L285">
        <f t="shared" si="147"/>
        <v>360</v>
      </c>
      <c r="M285">
        <f t="shared" si="161"/>
        <v>0</v>
      </c>
      <c r="N285">
        <f t="shared" si="169"/>
        <v>2</v>
      </c>
      <c r="O285">
        <f t="shared" si="148"/>
        <v>300</v>
      </c>
      <c r="P285">
        <f t="shared" si="170"/>
        <v>0</v>
      </c>
      <c r="Q285">
        <f t="shared" si="171"/>
        <v>2</v>
      </c>
      <c r="R285">
        <f t="shared" si="149"/>
        <v>300</v>
      </c>
      <c r="S285">
        <f t="shared" si="172"/>
        <v>0</v>
      </c>
      <c r="T285">
        <f t="shared" si="173"/>
        <v>-1</v>
      </c>
      <c r="U285">
        <f t="shared" si="162"/>
        <v>0</v>
      </c>
      <c r="V285">
        <f t="shared" si="163"/>
        <v>1</v>
      </c>
      <c r="W285">
        <f t="shared" si="150"/>
        <v>0</v>
      </c>
      <c r="X285">
        <f t="shared" si="174"/>
        <v>0</v>
      </c>
      <c r="Y285">
        <f t="shared" si="151"/>
        <v>0</v>
      </c>
      <c r="Z285">
        <f t="shared" si="152"/>
        <v>0</v>
      </c>
      <c r="AA285">
        <f t="shared" si="153"/>
        <v>0</v>
      </c>
      <c r="AB285" s="29">
        <f t="shared" si="154"/>
        <v>0.74178816089935007</v>
      </c>
      <c r="AC285" s="25">
        <f t="shared" si="164"/>
        <v>127.49804426656831</v>
      </c>
      <c r="AD285" s="29">
        <f t="shared" si="155"/>
        <v>1.0808524183153847</v>
      </c>
      <c r="AE285" s="25">
        <f t="shared" si="165"/>
        <v>13.243681724743192</v>
      </c>
      <c r="AF285" s="25">
        <f t="shared" si="156"/>
        <v>13.243681724743192</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290.78918279358999</v>
      </c>
      <c r="AH285" s="25">
        <f t="shared" si="175"/>
        <v>0</v>
      </c>
      <c r="AI285" s="25">
        <f t="shared" si="176"/>
        <v>0</v>
      </c>
      <c r="AJ285" s="25">
        <f t="shared" si="177"/>
        <v>0</v>
      </c>
    </row>
    <row r="286" spans="1:36">
      <c r="A286">
        <f t="shared" si="157"/>
        <v>283</v>
      </c>
      <c r="B286">
        <f t="shared" si="166"/>
        <v>6</v>
      </c>
      <c r="C286">
        <f t="shared" si="144"/>
        <v>300</v>
      </c>
      <c r="D286">
        <f t="shared" si="158"/>
        <v>0</v>
      </c>
      <c r="E286">
        <f t="shared" si="178"/>
        <v>5</v>
      </c>
      <c r="F286">
        <f t="shared" si="145"/>
        <v>360</v>
      </c>
      <c r="G286">
        <f t="shared" si="159"/>
        <v>14</v>
      </c>
      <c r="H286">
        <f t="shared" si="167"/>
        <v>4</v>
      </c>
      <c r="I286">
        <f t="shared" si="146"/>
        <v>360</v>
      </c>
      <c r="J286">
        <f t="shared" si="160"/>
        <v>0</v>
      </c>
      <c r="K286">
        <f t="shared" si="168"/>
        <v>3</v>
      </c>
      <c r="L286">
        <f t="shared" si="147"/>
        <v>360</v>
      </c>
      <c r="M286">
        <f t="shared" si="161"/>
        <v>0</v>
      </c>
      <c r="N286">
        <f t="shared" si="169"/>
        <v>2</v>
      </c>
      <c r="O286">
        <f t="shared" si="148"/>
        <v>300</v>
      </c>
      <c r="P286">
        <f t="shared" si="170"/>
        <v>0</v>
      </c>
      <c r="Q286">
        <f t="shared" si="171"/>
        <v>2</v>
      </c>
      <c r="R286">
        <f t="shared" si="149"/>
        <v>300</v>
      </c>
      <c r="S286">
        <f t="shared" si="172"/>
        <v>0</v>
      </c>
      <c r="T286">
        <f t="shared" si="173"/>
        <v>-1</v>
      </c>
      <c r="U286">
        <f t="shared" si="162"/>
        <v>0</v>
      </c>
      <c r="V286">
        <f t="shared" si="163"/>
        <v>1</v>
      </c>
      <c r="W286">
        <f t="shared" si="150"/>
        <v>0</v>
      </c>
      <c r="X286">
        <f t="shared" si="174"/>
        <v>0</v>
      </c>
      <c r="Y286">
        <f t="shared" si="151"/>
        <v>0</v>
      </c>
      <c r="Z286">
        <f t="shared" si="152"/>
        <v>0</v>
      </c>
      <c r="AA286">
        <f t="shared" si="153"/>
        <v>0</v>
      </c>
      <c r="AB286" s="29">
        <f t="shared" si="154"/>
        <v>0.74178816089935007</v>
      </c>
      <c r="AC286" s="25">
        <f t="shared" si="164"/>
        <v>127.49804426656831</v>
      </c>
      <c r="AD286" s="29">
        <f t="shared" si="155"/>
        <v>1.0808524183153847</v>
      </c>
      <c r="AE286" s="25">
        <f t="shared" si="165"/>
        <v>13.243681724743192</v>
      </c>
      <c r="AF286" s="25">
        <f t="shared" si="156"/>
        <v>13.243681724743192</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290.78918279358999</v>
      </c>
      <c r="AH286" s="25">
        <f t="shared" si="175"/>
        <v>0</v>
      </c>
      <c r="AI286" s="25">
        <f t="shared" si="176"/>
        <v>0</v>
      </c>
      <c r="AJ286" s="25">
        <f t="shared" si="177"/>
        <v>0</v>
      </c>
    </row>
    <row r="287" spans="1:36">
      <c r="A287">
        <f t="shared" si="157"/>
        <v>284</v>
      </c>
      <c r="B287">
        <f t="shared" si="166"/>
        <v>6</v>
      </c>
      <c r="C287">
        <f t="shared" si="144"/>
        <v>300</v>
      </c>
      <c r="D287">
        <f t="shared" si="158"/>
        <v>0</v>
      </c>
      <c r="E287">
        <f t="shared" si="178"/>
        <v>5</v>
      </c>
      <c r="F287">
        <f t="shared" si="145"/>
        <v>360</v>
      </c>
      <c r="G287">
        <f t="shared" si="159"/>
        <v>15</v>
      </c>
      <c r="H287">
        <f t="shared" si="167"/>
        <v>4</v>
      </c>
      <c r="I287">
        <f t="shared" si="146"/>
        <v>360</v>
      </c>
      <c r="J287">
        <f t="shared" si="160"/>
        <v>0</v>
      </c>
      <c r="K287">
        <f t="shared" si="168"/>
        <v>3</v>
      </c>
      <c r="L287">
        <f t="shared" si="147"/>
        <v>360</v>
      </c>
      <c r="M287">
        <f t="shared" si="161"/>
        <v>0</v>
      </c>
      <c r="N287">
        <f t="shared" si="169"/>
        <v>2</v>
      </c>
      <c r="O287">
        <f t="shared" si="148"/>
        <v>300</v>
      </c>
      <c r="P287">
        <f t="shared" si="170"/>
        <v>0</v>
      </c>
      <c r="Q287">
        <f t="shared" si="171"/>
        <v>2</v>
      </c>
      <c r="R287">
        <f t="shared" si="149"/>
        <v>300</v>
      </c>
      <c r="S287">
        <f t="shared" si="172"/>
        <v>0</v>
      </c>
      <c r="T287">
        <f t="shared" si="173"/>
        <v>-1</v>
      </c>
      <c r="U287">
        <f t="shared" si="162"/>
        <v>0</v>
      </c>
      <c r="V287">
        <f t="shared" si="163"/>
        <v>1</v>
      </c>
      <c r="W287">
        <f t="shared" si="150"/>
        <v>0</v>
      </c>
      <c r="X287">
        <f t="shared" si="174"/>
        <v>0</v>
      </c>
      <c r="Y287">
        <f t="shared" si="151"/>
        <v>0</v>
      </c>
      <c r="Z287">
        <f t="shared" si="152"/>
        <v>0</v>
      </c>
      <c r="AA287">
        <f t="shared" si="153"/>
        <v>0</v>
      </c>
      <c r="AB287" s="29">
        <f t="shared" si="154"/>
        <v>0.74178816089935007</v>
      </c>
      <c r="AC287" s="25">
        <f t="shared" si="164"/>
        <v>127.49804426656831</v>
      </c>
      <c r="AD287" s="29">
        <f t="shared" si="155"/>
        <v>1.0808524183153847</v>
      </c>
      <c r="AE287" s="25">
        <f t="shared" si="165"/>
        <v>13.243681724743192</v>
      </c>
      <c r="AF287" s="25">
        <f t="shared" si="156"/>
        <v>13.243681724743192</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290.78918279358999</v>
      </c>
      <c r="AH287" s="25">
        <f t="shared" si="175"/>
        <v>0</v>
      </c>
      <c r="AI287" s="25">
        <f t="shared" si="176"/>
        <v>0</v>
      </c>
      <c r="AJ287" s="25">
        <f t="shared" si="177"/>
        <v>0</v>
      </c>
    </row>
    <row r="288" spans="1:36">
      <c r="A288">
        <f t="shared" si="157"/>
        <v>285</v>
      </c>
      <c r="B288">
        <f t="shared" si="166"/>
        <v>6</v>
      </c>
      <c r="C288">
        <f t="shared" si="144"/>
        <v>300</v>
      </c>
      <c r="D288">
        <f t="shared" si="158"/>
        <v>0</v>
      </c>
      <c r="E288">
        <f t="shared" si="178"/>
        <v>5</v>
      </c>
      <c r="F288">
        <f t="shared" si="145"/>
        <v>360</v>
      </c>
      <c r="G288">
        <f t="shared" si="159"/>
        <v>16</v>
      </c>
      <c r="H288">
        <f t="shared" si="167"/>
        <v>4</v>
      </c>
      <c r="I288">
        <f t="shared" si="146"/>
        <v>360</v>
      </c>
      <c r="J288">
        <f t="shared" si="160"/>
        <v>0</v>
      </c>
      <c r="K288">
        <f t="shared" si="168"/>
        <v>3</v>
      </c>
      <c r="L288">
        <f t="shared" si="147"/>
        <v>360</v>
      </c>
      <c r="M288">
        <f t="shared" si="161"/>
        <v>0</v>
      </c>
      <c r="N288">
        <f t="shared" si="169"/>
        <v>2</v>
      </c>
      <c r="O288">
        <f t="shared" si="148"/>
        <v>300</v>
      </c>
      <c r="P288">
        <f t="shared" si="170"/>
        <v>0</v>
      </c>
      <c r="Q288">
        <f t="shared" si="171"/>
        <v>2</v>
      </c>
      <c r="R288">
        <f t="shared" si="149"/>
        <v>300</v>
      </c>
      <c r="S288">
        <f t="shared" si="172"/>
        <v>0</v>
      </c>
      <c r="T288">
        <f t="shared" si="173"/>
        <v>-1</v>
      </c>
      <c r="U288">
        <f t="shared" si="162"/>
        <v>0</v>
      </c>
      <c r="V288">
        <f t="shared" si="163"/>
        <v>1</v>
      </c>
      <c r="W288">
        <f t="shared" si="150"/>
        <v>0</v>
      </c>
      <c r="X288">
        <f t="shared" si="174"/>
        <v>0</v>
      </c>
      <c r="Y288">
        <f t="shared" si="151"/>
        <v>0</v>
      </c>
      <c r="Z288">
        <f t="shared" si="152"/>
        <v>0</v>
      </c>
      <c r="AA288">
        <f t="shared" si="153"/>
        <v>0</v>
      </c>
      <c r="AB288" s="29">
        <f t="shared" si="154"/>
        <v>0.74178816089935007</v>
      </c>
      <c r="AC288" s="25">
        <f t="shared" si="164"/>
        <v>127.49804426656831</v>
      </c>
      <c r="AD288" s="29">
        <f t="shared" si="155"/>
        <v>1.0808524183153847</v>
      </c>
      <c r="AE288" s="25">
        <f t="shared" si="165"/>
        <v>13.243681724743192</v>
      </c>
      <c r="AF288" s="25">
        <f t="shared" si="156"/>
        <v>13.243681724743192</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290.78918279358999</v>
      </c>
      <c r="AH288" s="25">
        <f t="shared" si="175"/>
        <v>0</v>
      </c>
      <c r="AI288" s="25">
        <f t="shared" si="176"/>
        <v>0</v>
      </c>
      <c r="AJ288" s="25">
        <f t="shared" si="177"/>
        <v>0</v>
      </c>
    </row>
    <row r="289" spans="1:36">
      <c r="A289">
        <f t="shared" si="157"/>
        <v>286</v>
      </c>
      <c r="B289">
        <f t="shared" si="166"/>
        <v>6</v>
      </c>
      <c r="C289">
        <f t="shared" si="144"/>
        <v>300</v>
      </c>
      <c r="D289">
        <f t="shared" si="158"/>
        <v>0</v>
      </c>
      <c r="E289">
        <f t="shared" si="178"/>
        <v>5</v>
      </c>
      <c r="F289">
        <f t="shared" si="145"/>
        <v>360</v>
      </c>
      <c r="G289">
        <f t="shared" si="159"/>
        <v>17</v>
      </c>
      <c r="H289">
        <f t="shared" si="167"/>
        <v>4</v>
      </c>
      <c r="I289">
        <f t="shared" si="146"/>
        <v>360</v>
      </c>
      <c r="J289">
        <f t="shared" si="160"/>
        <v>0</v>
      </c>
      <c r="K289">
        <f t="shared" si="168"/>
        <v>3</v>
      </c>
      <c r="L289">
        <f t="shared" si="147"/>
        <v>360</v>
      </c>
      <c r="M289">
        <f t="shared" si="161"/>
        <v>0</v>
      </c>
      <c r="N289">
        <f t="shared" si="169"/>
        <v>2</v>
      </c>
      <c r="O289">
        <f t="shared" si="148"/>
        <v>300</v>
      </c>
      <c r="P289">
        <f t="shared" si="170"/>
        <v>0</v>
      </c>
      <c r="Q289">
        <f t="shared" si="171"/>
        <v>2</v>
      </c>
      <c r="R289">
        <f t="shared" si="149"/>
        <v>300</v>
      </c>
      <c r="S289">
        <f t="shared" si="172"/>
        <v>0</v>
      </c>
      <c r="T289">
        <f t="shared" si="173"/>
        <v>-1</v>
      </c>
      <c r="U289">
        <f t="shared" si="162"/>
        <v>0</v>
      </c>
      <c r="V289">
        <f t="shared" si="163"/>
        <v>1</v>
      </c>
      <c r="W289">
        <f t="shared" si="150"/>
        <v>0</v>
      </c>
      <c r="X289">
        <f t="shared" si="174"/>
        <v>0</v>
      </c>
      <c r="Y289">
        <f t="shared" si="151"/>
        <v>0</v>
      </c>
      <c r="Z289">
        <f t="shared" si="152"/>
        <v>0</v>
      </c>
      <c r="AA289">
        <f t="shared" si="153"/>
        <v>0</v>
      </c>
      <c r="AB289" s="29">
        <f t="shared" si="154"/>
        <v>0.74178816089935007</v>
      </c>
      <c r="AC289" s="25">
        <f t="shared" si="164"/>
        <v>127.49804426656831</v>
      </c>
      <c r="AD289" s="29">
        <f t="shared" si="155"/>
        <v>1.0808524183153847</v>
      </c>
      <c r="AE289" s="25">
        <f t="shared" si="165"/>
        <v>13.243681724743192</v>
      </c>
      <c r="AF289" s="25">
        <f t="shared" si="156"/>
        <v>13.243681724743192</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290.78918279358999</v>
      </c>
      <c r="AH289" s="25">
        <f t="shared" si="175"/>
        <v>0</v>
      </c>
      <c r="AI289" s="25">
        <f t="shared" si="176"/>
        <v>0</v>
      </c>
      <c r="AJ289" s="25">
        <f t="shared" si="177"/>
        <v>0</v>
      </c>
    </row>
    <row r="290" spans="1:36">
      <c r="A290">
        <f t="shared" si="157"/>
        <v>287</v>
      </c>
      <c r="B290">
        <f t="shared" si="166"/>
        <v>6</v>
      </c>
      <c r="C290">
        <f t="shared" si="144"/>
        <v>300</v>
      </c>
      <c r="D290">
        <f t="shared" si="158"/>
        <v>0</v>
      </c>
      <c r="E290">
        <f t="shared" si="178"/>
        <v>5</v>
      </c>
      <c r="F290">
        <f t="shared" si="145"/>
        <v>360</v>
      </c>
      <c r="G290">
        <f t="shared" si="159"/>
        <v>18</v>
      </c>
      <c r="H290">
        <f t="shared" si="167"/>
        <v>4</v>
      </c>
      <c r="I290">
        <f t="shared" si="146"/>
        <v>360</v>
      </c>
      <c r="J290">
        <f t="shared" si="160"/>
        <v>0</v>
      </c>
      <c r="K290">
        <f t="shared" si="168"/>
        <v>3</v>
      </c>
      <c r="L290">
        <f t="shared" si="147"/>
        <v>360</v>
      </c>
      <c r="M290">
        <f t="shared" si="161"/>
        <v>0</v>
      </c>
      <c r="N290">
        <f t="shared" si="169"/>
        <v>2</v>
      </c>
      <c r="O290">
        <f t="shared" si="148"/>
        <v>300</v>
      </c>
      <c r="P290">
        <f t="shared" si="170"/>
        <v>0</v>
      </c>
      <c r="Q290">
        <f t="shared" si="171"/>
        <v>2</v>
      </c>
      <c r="R290">
        <f t="shared" si="149"/>
        <v>300</v>
      </c>
      <c r="S290">
        <f t="shared" si="172"/>
        <v>0</v>
      </c>
      <c r="T290">
        <f t="shared" si="173"/>
        <v>-1</v>
      </c>
      <c r="U290">
        <f t="shared" si="162"/>
        <v>0</v>
      </c>
      <c r="V290">
        <f t="shared" si="163"/>
        <v>1</v>
      </c>
      <c r="W290">
        <f t="shared" si="150"/>
        <v>0</v>
      </c>
      <c r="X290">
        <f t="shared" si="174"/>
        <v>0</v>
      </c>
      <c r="Y290">
        <f t="shared" si="151"/>
        <v>0</v>
      </c>
      <c r="Z290">
        <f t="shared" si="152"/>
        <v>0</v>
      </c>
      <c r="AA290">
        <f t="shared" si="153"/>
        <v>0</v>
      </c>
      <c r="AB290" s="29">
        <f t="shared" si="154"/>
        <v>0.74178816089935007</v>
      </c>
      <c r="AC290" s="25">
        <f t="shared" si="164"/>
        <v>127.49804426656831</v>
      </c>
      <c r="AD290" s="29">
        <f t="shared" si="155"/>
        <v>1.0808524183153847</v>
      </c>
      <c r="AE290" s="25">
        <f t="shared" si="165"/>
        <v>13.243681724743192</v>
      </c>
      <c r="AF290" s="25">
        <f t="shared" si="156"/>
        <v>13.243681724743192</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290.78918279358999</v>
      </c>
      <c r="AH290" s="25">
        <f t="shared" si="175"/>
        <v>0</v>
      </c>
      <c r="AI290" s="25">
        <f t="shared" si="176"/>
        <v>0</v>
      </c>
      <c r="AJ290" s="25">
        <f t="shared" si="177"/>
        <v>0</v>
      </c>
    </row>
    <row r="291" spans="1:36">
      <c r="A291">
        <f t="shared" si="157"/>
        <v>288</v>
      </c>
      <c r="B291">
        <f t="shared" si="166"/>
        <v>6</v>
      </c>
      <c r="C291">
        <f t="shared" si="144"/>
        <v>300</v>
      </c>
      <c r="D291">
        <f t="shared" si="158"/>
        <v>0</v>
      </c>
      <c r="E291">
        <f t="shared" si="178"/>
        <v>5</v>
      </c>
      <c r="F291">
        <f t="shared" si="145"/>
        <v>360</v>
      </c>
      <c r="G291">
        <f t="shared" si="159"/>
        <v>19</v>
      </c>
      <c r="H291">
        <f t="shared" si="167"/>
        <v>4</v>
      </c>
      <c r="I291">
        <f t="shared" si="146"/>
        <v>360</v>
      </c>
      <c r="J291">
        <f t="shared" si="160"/>
        <v>0</v>
      </c>
      <c r="K291">
        <f t="shared" si="168"/>
        <v>3</v>
      </c>
      <c r="L291">
        <f t="shared" si="147"/>
        <v>360</v>
      </c>
      <c r="M291">
        <f t="shared" si="161"/>
        <v>0</v>
      </c>
      <c r="N291">
        <f t="shared" si="169"/>
        <v>2</v>
      </c>
      <c r="O291">
        <f t="shared" si="148"/>
        <v>300</v>
      </c>
      <c r="P291">
        <f t="shared" si="170"/>
        <v>0</v>
      </c>
      <c r="Q291">
        <f t="shared" si="171"/>
        <v>2</v>
      </c>
      <c r="R291">
        <f t="shared" si="149"/>
        <v>300</v>
      </c>
      <c r="S291">
        <f t="shared" si="172"/>
        <v>0</v>
      </c>
      <c r="T291">
        <f t="shared" si="173"/>
        <v>-1</v>
      </c>
      <c r="U291">
        <f t="shared" si="162"/>
        <v>0</v>
      </c>
      <c r="V291">
        <f t="shared" si="163"/>
        <v>1</v>
      </c>
      <c r="W291">
        <f t="shared" si="150"/>
        <v>0</v>
      </c>
      <c r="X291">
        <f t="shared" si="174"/>
        <v>0</v>
      </c>
      <c r="Y291">
        <f t="shared" si="151"/>
        <v>0</v>
      </c>
      <c r="Z291">
        <f t="shared" si="152"/>
        <v>0</v>
      </c>
      <c r="AA291">
        <f t="shared" si="153"/>
        <v>0</v>
      </c>
      <c r="AB291" s="29">
        <f t="shared" si="154"/>
        <v>0.74178816089935007</v>
      </c>
      <c r="AC291" s="25">
        <f t="shared" si="164"/>
        <v>127.49804426656831</v>
      </c>
      <c r="AD291" s="29">
        <f t="shared" si="155"/>
        <v>1.0808524183153847</v>
      </c>
      <c r="AE291" s="25">
        <f t="shared" si="165"/>
        <v>13.243681724743192</v>
      </c>
      <c r="AF291" s="25">
        <f t="shared" si="156"/>
        <v>13.243681724743192</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290.78918279358999</v>
      </c>
      <c r="AH291" s="25">
        <f t="shared" si="175"/>
        <v>0</v>
      </c>
      <c r="AI291" s="25">
        <f t="shared" si="176"/>
        <v>0</v>
      </c>
      <c r="AJ291" s="25">
        <f t="shared" si="177"/>
        <v>0</v>
      </c>
    </row>
    <row r="292" spans="1:36">
      <c r="A292">
        <f t="shared" si="157"/>
        <v>289</v>
      </c>
      <c r="B292">
        <f t="shared" si="166"/>
        <v>6</v>
      </c>
      <c r="C292">
        <f t="shared" si="144"/>
        <v>300</v>
      </c>
      <c r="D292">
        <f t="shared" si="158"/>
        <v>0</v>
      </c>
      <c r="E292">
        <f t="shared" si="178"/>
        <v>5</v>
      </c>
      <c r="F292">
        <f t="shared" si="145"/>
        <v>360</v>
      </c>
      <c r="G292">
        <f t="shared" si="159"/>
        <v>20</v>
      </c>
      <c r="H292">
        <f t="shared" si="167"/>
        <v>4</v>
      </c>
      <c r="I292">
        <f t="shared" si="146"/>
        <v>360</v>
      </c>
      <c r="J292">
        <f t="shared" si="160"/>
        <v>0</v>
      </c>
      <c r="K292">
        <f t="shared" si="168"/>
        <v>3</v>
      </c>
      <c r="L292">
        <f t="shared" si="147"/>
        <v>360</v>
      </c>
      <c r="M292">
        <f t="shared" si="161"/>
        <v>0</v>
      </c>
      <c r="N292">
        <f t="shared" si="169"/>
        <v>2</v>
      </c>
      <c r="O292">
        <f t="shared" si="148"/>
        <v>300</v>
      </c>
      <c r="P292">
        <f t="shared" si="170"/>
        <v>0</v>
      </c>
      <c r="Q292">
        <f t="shared" si="171"/>
        <v>2</v>
      </c>
      <c r="R292">
        <f t="shared" si="149"/>
        <v>300</v>
      </c>
      <c r="S292">
        <f t="shared" si="172"/>
        <v>0</v>
      </c>
      <c r="T292">
        <f t="shared" si="173"/>
        <v>-1</v>
      </c>
      <c r="U292">
        <f t="shared" si="162"/>
        <v>0</v>
      </c>
      <c r="V292">
        <f t="shared" si="163"/>
        <v>1</v>
      </c>
      <c r="W292">
        <f t="shared" si="150"/>
        <v>0</v>
      </c>
      <c r="X292">
        <f t="shared" si="174"/>
        <v>0</v>
      </c>
      <c r="Y292">
        <f t="shared" si="151"/>
        <v>0</v>
      </c>
      <c r="Z292">
        <f t="shared" si="152"/>
        <v>0</v>
      </c>
      <c r="AA292">
        <f t="shared" si="153"/>
        <v>0</v>
      </c>
      <c r="AB292" s="29">
        <f t="shared" si="154"/>
        <v>0.74178816089935007</v>
      </c>
      <c r="AC292" s="25">
        <f t="shared" si="164"/>
        <v>127.49804426656831</v>
      </c>
      <c r="AD292" s="29">
        <f t="shared" si="155"/>
        <v>1.0808524183153847</v>
      </c>
      <c r="AE292" s="25">
        <f t="shared" si="165"/>
        <v>13.243681724743192</v>
      </c>
      <c r="AF292" s="25">
        <f t="shared" si="156"/>
        <v>13.243681724743192</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290.78918279358999</v>
      </c>
      <c r="AH292" s="25">
        <f t="shared" si="175"/>
        <v>0</v>
      </c>
      <c r="AI292" s="25">
        <f t="shared" si="176"/>
        <v>0</v>
      </c>
      <c r="AJ292" s="25">
        <f t="shared" si="177"/>
        <v>0</v>
      </c>
    </row>
    <row r="293" spans="1:36">
      <c r="A293">
        <f t="shared" si="157"/>
        <v>290</v>
      </c>
      <c r="B293">
        <f t="shared" si="166"/>
        <v>6</v>
      </c>
      <c r="C293">
        <f t="shared" si="144"/>
        <v>300</v>
      </c>
      <c r="D293">
        <f t="shared" si="158"/>
        <v>0</v>
      </c>
      <c r="E293">
        <f t="shared" si="178"/>
        <v>5</v>
      </c>
      <c r="F293">
        <f t="shared" si="145"/>
        <v>360</v>
      </c>
      <c r="G293">
        <f t="shared" si="159"/>
        <v>21</v>
      </c>
      <c r="H293">
        <f t="shared" si="167"/>
        <v>4</v>
      </c>
      <c r="I293">
        <f t="shared" si="146"/>
        <v>360</v>
      </c>
      <c r="J293">
        <f t="shared" si="160"/>
        <v>0</v>
      </c>
      <c r="K293">
        <f t="shared" si="168"/>
        <v>3</v>
      </c>
      <c r="L293">
        <f t="shared" si="147"/>
        <v>360</v>
      </c>
      <c r="M293">
        <f t="shared" si="161"/>
        <v>0</v>
      </c>
      <c r="N293">
        <f t="shared" si="169"/>
        <v>2</v>
      </c>
      <c r="O293">
        <f t="shared" si="148"/>
        <v>300</v>
      </c>
      <c r="P293">
        <f t="shared" si="170"/>
        <v>0</v>
      </c>
      <c r="Q293">
        <f t="shared" si="171"/>
        <v>2</v>
      </c>
      <c r="R293">
        <f t="shared" si="149"/>
        <v>300</v>
      </c>
      <c r="S293">
        <f t="shared" si="172"/>
        <v>0</v>
      </c>
      <c r="T293">
        <f t="shared" si="173"/>
        <v>-1</v>
      </c>
      <c r="U293">
        <f t="shared" si="162"/>
        <v>0</v>
      </c>
      <c r="V293">
        <f t="shared" si="163"/>
        <v>1</v>
      </c>
      <c r="W293">
        <f t="shared" si="150"/>
        <v>0</v>
      </c>
      <c r="X293">
        <f t="shared" si="174"/>
        <v>0</v>
      </c>
      <c r="Y293">
        <f t="shared" si="151"/>
        <v>0</v>
      </c>
      <c r="Z293">
        <f t="shared" si="152"/>
        <v>0</v>
      </c>
      <c r="AA293">
        <f t="shared" si="153"/>
        <v>0</v>
      </c>
      <c r="AB293" s="29">
        <f t="shared" si="154"/>
        <v>0.74178816089935007</v>
      </c>
      <c r="AC293" s="25">
        <f t="shared" si="164"/>
        <v>127.49804426656831</v>
      </c>
      <c r="AD293" s="29">
        <f t="shared" si="155"/>
        <v>1.0808524183153847</v>
      </c>
      <c r="AE293" s="25">
        <f t="shared" si="165"/>
        <v>13.243681724743192</v>
      </c>
      <c r="AF293" s="25">
        <f t="shared" si="156"/>
        <v>13.243681724743192</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290.78918279358999</v>
      </c>
      <c r="AH293" s="25">
        <f t="shared" si="175"/>
        <v>0</v>
      </c>
      <c r="AI293" s="25">
        <f t="shared" si="176"/>
        <v>0</v>
      </c>
      <c r="AJ293" s="25">
        <f t="shared" si="177"/>
        <v>0</v>
      </c>
    </row>
    <row r="294" spans="1:36">
      <c r="A294">
        <f t="shared" si="157"/>
        <v>291</v>
      </c>
      <c r="B294">
        <f t="shared" si="166"/>
        <v>6</v>
      </c>
      <c r="C294">
        <f t="shared" si="144"/>
        <v>300</v>
      </c>
      <c r="D294">
        <f t="shared" si="158"/>
        <v>0</v>
      </c>
      <c r="E294">
        <f t="shared" si="178"/>
        <v>5</v>
      </c>
      <c r="F294">
        <f t="shared" si="145"/>
        <v>360</v>
      </c>
      <c r="G294">
        <f t="shared" si="159"/>
        <v>22</v>
      </c>
      <c r="H294">
        <f t="shared" si="167"/>
        <v>4</v>
      </c>
      <c r="I294">
        <f t="shared" si="146"/>
        <v>360</v>
      </c>
      <c r="J294">
        <f t="shared" si="160"/>
        <v>0</v>
      </c>
      <c r="K294">
        <f t="shared" si="168"/>
        <v>3</v>
      </c>
      <c r="L294">
        <f t="shared" si="147"/>
        <v>360</v>
      </c>
      <c r="M294">
        <f t="shared" si="161"/>
        <v>0</v>
      </c>
      <c r="N294">
        <f t="shared" si="169"/>
        <v>2</v>
      </c>
      <c r="O294">
        <f t="shared" si="148"/>
        <v>300</v>
      </c>
      <c r="P294">
        <f t="shared" si="170"/>
        <v>0</v>
      </c>
      <c r="Q294">
        <f t="shared" si="171"/>
        <v>2</v>
      </c>
      <c r="R294">
        <f t="shared" si="149"/>
        <v>300</v>
      </c>
      <c r="S294">
        <f t="shared" si="172"/>
        <v>0</v>
      </c>
      <c r="T294">
        <f t="shared" si="173"/>
        <v>-1</v>
      </c>
      <c r="U294">
        <f t="shared" si="162"/>
        <v>0</v>
      </c>
      <c r="V294">
        <f t="shared" si="163"/>
        <v>1</v>
      </c>
      <c r="W294">
        <f t="shared" si="150"/>
        <v>0</v>
      </c>
      <c r="X294">
        <f t="shared" si="174"/>
        <v>0</v>
      </c>
      <c r="Y294">
        <f t="shared" si="151"/>
        <v>0</v>
      </c>
      <c r="Z294">
        <f t="shared" si="152"/>
        <v>0</v>
      </c>
      <c r="AA294">
        <f t="shared" si="153"/>
        <v>0</v>
      </c>
      <c r="AB294" s="29">
        <f t="shared" si="154"/>
        <v>0.74178816089935007</v>
      </c>
      <c r="AC294" s="25">
        <f t="shared" si="164"/>
        <v>127.49804426656831</v>
      </c>
      <c r="AD294" s="29">
        <f t="shared" si="155"/>
        <v>1.0808524183153847</v>
      </c>
      <c r="AE294" s="25">
        <f t="shared" si="165"/>
        <v>13.243681724743192</v>
      </c>
      <c r="AF294" s="25">
        <f t="shared" si="156"/>
        <v>13.243681724743192</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290.78918279358999</v>
      </c>
      <c r="AH294" s="25">
        <f t="shared" si="175"/>
        <v>0</v>
      </c>
      <c r="AI294" s="25">
        <f t="shared" si="176"/>
        <v>0</v>
      </c>
      <c r="AJ294" s="25">
        <f t="shared" si="177"/>
        <v>0</v>
      </c>
    </row>
    <row r="295" spans="1:36">
      <c r="A295">
        <f t="shared" si="157"/>
        <v>292</v>
      </c>
      <c r="B295">
        <f t="shared" si="166"/>
        <v>6</v>
      </c>
      <c r="C295">
        <f t="shared" si="144"/>
        <v>300</v>
      </c>
      <c r="D295">
        <f t="shared" si="158"/>
        <v>0</v>
      </c>
      <c r="E295">
        <f t="shared" si="178"/>
        <v>5</v>
      </c>
      <c r="F295">
        <f t="shared" si="145"/>
        <v>360</v>
      </c>
      <c r="G295">
        <f t="shared" si="159"/>
        <v>23</v>
      </c>
      <c r="H295">
        <f t="shared" si="167"/>
        <v>4</v>
      </c>
      <c r="I295">
        <f t="shared" si="146"/>
        <v>360</v>
      </c>
      <c r="J295">
        <f t="shared" si="160"/>
        <v>0</v>
      </c>
      <c r="K295">
        <f t="shared" si="168"/>
        <v>3</v>
      </c>
      <c r="L295">
        <f t="shared" si="147"/>
        <v>360</v>
      </c>
      <c r="M295">
        <f t="shared" si="161"/>
        <v>0</v>
      </c>
      <c r="N295">
        <f t="shared" si="169"/>
        <v>2</v>
      </c>
      <c r="O295">
        <f t="shared" si="148"/>
        <v>300</v>
      </c>
      <c r="P295">
        <f t="shared" si="170"/>
        <v>0</v>
      </c>
      <c r="Q295">
        <f t="shared" si="171"/>
        <v>2</v>
      </c>
      <c r="R295">
        <f t="shared" si="149"/>
        <v>300</v>
      </c>
      <c r="S295">
        <f t="shared" si="172"/>
        <v>0</v>
      </c>
      <c r="T295">
        <f t="shared" si="173"/>
        <v>-1</v>
      </c>
      <c r="U295">
        <f t="shared" si="162"/>
        <v>0</v>
      </c>
      <c r="V295">
        <f t="shared" si="163"/>
        <v>1</v>
      </c>
      <c r="W295">
        <f t="shared" si="150"/>
        <v>0</v>
      </c>
      <c r="X295">
        <f t="shared" si="174"/>
        <v>0</v>
      </c>
      <c r="Y295">
        <f t="shared" si="151"/>
        <v>0</v>
      </c>
      <c r="Z295">
        <f t="shared" si="152"/>
        <v>0</v>
      </c>
      <c r="AA295">
        <f t="shared" si="153"/>
        <v>0</v>
      </c>
      <c r="AB295" s="29">
        <f t="shared" si="154"/>
        <v>0.74178816089935007</v>
      </c>
      <c r="AC295" s="25">
        <f t="shared" si="164"/>
        <v>127.49804426656831</v>
      </c>
      <c r="AD295" s="29">
        <f t="shared" si="155"/>
        <v>1.0808524183153847</v>
      </c>
      <c r="AE295" s="25">
        <f t="shared" si="165"/>
        <v>13.243681724743192</v>
      </c>
      <c r="AF295" s="25">
        <f t="shared" si="156"/>
        <v>13.243681724743192</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290.78918279358999</v>
      </c>
      <c r="AH295" s="25">
        <f t="shared" si="175"/>
        <v>0</v>
      </c>
      <c r="AI295" s="25">
        <f t="shared" si="176"/>
        <v>0</v>
      </c>
      <c r="AJ295" s="25">
        <f t="shared" si="177"/>
        <v>0</v>
      </c>
    </row>
    <row r="296" spans="1:36">
      <c r="A296">
        <f t="shared" si="157"/>
        <v>293</v>
      </c>
      <c r="B296">
        <f t="shared" si="166"/>
        <v>6</v>
      </c>
      <c r="C296">
        <f t="shared" si="144"/>
        <v>300</v>
      </c>
      <c r="D296">
        <f t="shared" si="158"/>
        <v>0</v>
      </c>
      <c r="E296">
        <f t="shared" si="178"/>
        <v>5</v>
      </c>
      <c r="F296">
        <f t="shared" si="145"/>
        <v>360</v>
      </c>
      <c r="G296">
        <f t="shared" si="159"/>
        <v>24</v>
      </c>
      <c r="H296">
        <f t="shared" si="167"/>
        <v>4</v>
      </c>
      <c r="I296">
        <f t="shared" si="146"/>
        <v>360</v>
      </c>
      <c r="J296">
        <f t="shared" si="160"/>
        <v>0</v>
      </c>
      <c r="K296">
        <f t="shared" si="168"/>
        <v>3</v>
      </c>
      <c r="L296">
        <f t="shared" si="147"/>
        <v>360</v>
      </c>
      <c r="M296">
        <f t="shared" si="161"/>
        <v>0</v>
      </c>
      <c r="N296">
        <f t="shared" si="169"/>
        <v>2</v>
      </c>
      <c r="O296">
        <f t="shared" si="148"/>
        <v>300</v>
      </c>
      <c r="P296">
        <f t="shared" si="170"/>
        <v>0</v>
      </c>
      <c r="Q296">
        <f t="shared" si="171"/>
        <v>2</v>
      </c>
      <c r="R296">
        <f t="shared" si="149"/>
        <v>300</v>
      </c>
      <c r="S296">
        <f t="shared" si="172"/>
        <v>0</v>
      </c>
      <c r="T296">
        <f t="shared" si="173"/>
        <v>-1</v>
      </c>
      <c r="U296">
        <f t="shared" si="162"/>
        <v>0</v>
      </c>
      <c r="V296">
        <f t="shared" si="163"/>
        <v>1</v>
      </c>
      <c r="W296">
        <f t="shared" si="150"/>
        <v>0</v>
      </c>
      <c r="X296">
        <f t="shared" si="174"/>
        <v>0</v>
      </c>
      <c r="Y296">
        <f t="shared" si="151"/>
        <v>0</v>
      </c>
      <c r="Z296">
        <f t="shared" si="152"/>
        <v>0</v>
      </c>
      <c r="AA296">
        <f t="shared" si="153"/>
        <v>0</v>
      </c>
      <c r="AB296" s="29">
        <f t="shared" si="154"/>
        <v>0.74178816089935007</v>
      </c>
      <c r="AC296" s="25">
        <f t="shared" si="164"/>
        <v>127.49804426656831</v>
      </c>
      <c r="AD296" s="29">
        <f t="shared" si="155"/>
        <v>1.0808524183153847</v>
      </c>
      <c r="AE296" s="25">
        <f t="shared" si="165"/>
        <v>13.243681724743192</v>
      </c>
      <c r="AF296" s="25">
        <f t="shared" si="156"/>
        <v>13.243681724743192</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290.78918279358999</v>
      </c>
      <c r="AH296" s="25">
        <f t="shared" si="175"/>
        <v>0</v>
      </c>
      <c r="AI296" s="25">
        <f t="shared" si="176"/>
        <v>0</v>
      </c>
      <c r="AJ296" s="25">
        <f t="shared" si="177"/>
        <v>0</v>
      </c>
    </row>
    <row r="297" spans="1:36">
      <c r="A297">
        <f t="shared" si="157"/>
        <v>294</v>
      </c>
      <c r="B297">
        <f t="shared" si="166"/>
        <v>6</v>
      </c>
      <c r="C297">
        <f t="shared" si="144"/>
        <v>300</v>
      </c>
      <c r="D297">
        <f t="shared" si="158"/>
        <v>0</v>
      </c>
      <c r="E297">
        <f t="shared" si="178"/>
        <v>5</v>
      </c>
      <c r="F297">
        <f t="shared" si="145"/>
        <v>360</v>
      </c>
      <c r="G297">
        <f t="shared" si="159"/>
        <v>25</v>
      </c>
      <c r="H297">
        <f t="shared" si="167"/>
        <v>4</v>
      </c>
      <c r="I297">
        <f t="shared" si="146"/>
        <v>360</v>
      </c>
      <c r="J297">
        <f t="shared" si="160"/>
        <v>0</v>
      </c>
      <c r="K297">
        <f t="shared" si="168"/>
        <v>3</v>
      </c>
      <c r="L297">
        <f t="shared" si="147"/>
        <v>360</v>
      </c>
      <c r="M297">
        <f t="shared" si="161"/>
        <v>0</v>
      </c>
      <c r="N297">
        <f t="shared" si="169"/>
        <v>2</v>
      </c>
      <c r="O297">
        <f t="shared" si="148"/>
        <v>300</v>
      </c>
      <c r="P297">
        <f t="shared" si="170"/>
        <v>0</v>
      </c>
      <c r="Q297">
        <f t="shared" si="171"/>
        <v>2</v>
      </c>
      <c r="R297">
        <f t="shared" si="149"/>
        <v>300</v>
      </c>
      <c r="S297">
        <f t="shared" si="172"/>
        <v>0</v>
      </c>
      <c r="T297">
        <f t="shared" si="173"/>
        <v>-1</v>
      </c>
      <c r="U297">
        <f t="shared" si="162"/>
        <v>0</v>
      </c>
      <c r="V297">
        <f t="shared" si="163"/>
        <v>1</v>
      </c>
      <c r="W297">
        <f t="shared" si="150"/>
        <v>0</v>
      </c>
      <c r="X297">
        <f t="shared" si="174"/>
        <v>0</v>
      </c>
      <c r="Y297">
        <f t="shared" si="151"/>
        <v>0</v>
      </c>
      <c r="Z297">
        <f t="shared" si="152"/>
        <v>0</v>
      </c>
      <c r="AA297">
        <f t="shared" si="153"/>
        <v>0</v>
      </c>
      <c r="AB297" s="29">
        <f t="shared" si="154"/>
        <v>0.74178816089935007</v>
      </c>
      <c r="AC297" s="25">
        <f t="shared" si="164"/>
        <v>127.49804426656831</v>
      </c>
      <c r="AD297" s="29">
        <f t="shared" si="155"/>
        <v>1.0808524183153847</v>
      </c>
      <c r="AE297" s="25">
        <f t="shared" si="165"/>
        <v>13.243681724743192</v>
      </c>
      <c r="AF297" s="25">
        <f t="shared" si="156"/>
        <v>13.243681724743192</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290.78918279358999</v>
      </c>
      <c r="AH297" s="25">
        <f t="shared" si="175"/>
        <v>0</v>
      </c>
      <c r="AI297" s="25">
        <f t="shared" si="176"/>
        <v>0</v>
      </c>
      <c r="AJ297" s="25">
        <f t="shared" si="177"/>
        <v>0</v>
      </c>
    </row>
    <row r="298" spans="1:36">
      <c r="A298">
        <f t="shared" si="157"/>
        <v>295</v>
      </c>
      <c r="B298">
        <f t="shared" si="166"/>
        <v>6</v>
      </c>
      <c r="C298">
        <f t="shared" si="144"/>
        <v>300</v>
      </c>
      <c r="D298">
        <f t="shared" si="158"/>
        <v>0</v>
      </c>
      <c r="E298">
        <f t="shared" si="178"/>
        <v>5</v>
      </c>
      <c r="F298">
        <f t="shared" si="145"/>
        <v>360</v>
      </c>
      <c r="G298">
        <f t="shared" si="159"/>
        <v>26</v>
      </c>
      <c r="H298">
        <f t="shared" si="167"/>
        <v>4</v>
      </c>
      <c r="I298">
        <f t="shared" si="146"/>
        <v>360</v>
      </c>
      <c r="J298">
        <f t="shared" si="160"/>
        <v>0</v>
      </c>
      <c r="K298">
        <f t="shared" si="168"/>
        <v>3</v>
      </c>
      <c r="L298">
        <f t="shared" si="147"/>
        <v>360</v>
      </c>
      <c r="M298">
        <f t="shared" si="161"/>
        <v>0</v>
      </c>
      <c r="N298">
        <f t="shared" si="169"/>
        <v>2</v>
      </c>
      <c r="O298">
        <f t="shared" si="148"/>
        <v>300</v>
      </c>
      <c r="P298">
        <f t="shared" si="170"/>
        <v>0</v>
      </c>
      <c r="Q298">
        <f t="shared" si="171"/>
        <v>2</v>
      </c>
      <c r="R298">
        <f t="shared" si="149"/>
        <v>300</v>
      </c>
      <c r="S298">
        <f t="shared" si="172"/>
        <v>0</v>
      </c>
      <c r="T298">
        <f t="shared" si="173"/>
        <v>-1</v>
      </c>
      <c r="U298">
        <f t="shared" si="162"/>
        <v>0</v>
      </c>
      <c r="V298">
        <f t="shared" si="163"/>
        <v>1</v>
      </c>
      <c r="W298">
        <f t="shared" si="150"/>
        <v>0</v>
      </c>
      <c r="X298">
        <f t="shared" si="174"/>
        <v>0</v>
      </c>
      <c r="Y298">
        <f t="shared" si="151"/>
        <v>0</v>
      </c>
      <c r="Z298">
        <f t="shared" si="152"/>
        <v>0</v>
      </c>
      <c r="AA298">
        <f t="shared" si="153"/>
        <v>0</v>
      </c>
      <c r="AB298" s="29">
        <f t="shared" si="154"/>
        <v>0.74178816089935007</v>
      </c>
      <c r="AC298" s="25">
        <f t="shared" si="164"/>
        <v>127.49804426656831</v>
      </c>
      <c r="AD298" s="29">
        <f t="shared" si="155"/>
        <v>1.0808524183153847</v>
      </c>
      <c r="AE298" s="25">
        <f t="shared" si="165"/>
        <v>13.243681724743192</v>
      </c>
      <c r="AF298" s="25">
        <f t="shared" si="156"/>
        <v>13.243681724743192</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290.78918279358999</v>
      </c>
      <c r="AH298" s="25">
        <f t="shared" si="175"/>
        <v>0</v>
      </c>
      <c r="AI298" s="25">
        <f t="shared" si="176"/>
        <v>0</v>
      </c>
      <c r="AJ298" s="25">
        <f t="shared" si="177"/>
        <v>0</v>
      </c>
    </row>
    <row r="299" spans="1:36">
      <c r="A299">
        <f t="shared" si="157"/>
        <v>296</v>
      </c>
      <c r="B299">
        <f t="shared" si="166"/>
        <v>6</v>
      </c>
      <c r="C299">
        <f t="shared" si="144"/>
        <v>300</v>
      </c>
      <c r="D299">
        <f t="shared" si="158"/>
        <v>0</v>
      </c>
      <c r="E299">
        <f t="shared" si="178"/>
        <v>5</v>
      </c>
      <c r="F299">
        <f t="shared" si="145"/>
        <v>360</v>
      </c>
      <c r="G299">
        <f t="shared" si="159"/>
        <v>27</v>
      </c>
      <c r="H299">
        <f t="shared" si="167"/>
        <v>4</v>
      </c>
      <c r="I299">
        <f t="shared" si="146"/>
        <v>360</v>
      </c>
      <c r="J299">
        <f t="shared" si="160"/>
        <v>0</v>
      </c>
      <c r="K299">
        <f t="shared" si="168"/>
        <v>3</v>
      </c>
      <c r="L299">
        <f t="shared" si="147"/>
        <v>360</v>
      </c>
      <c r="M299">
        <f t="shared" si="161"/>
        <v>0</v>
      </c>
      <c r="N299">
        <f t="shared" si="169"/>
        <v>2</v>
      </c>
      <c r="O299">
        <f t="shared" si="148"/>
        <v>300</v>
      </c>
      <c r="P299">
        <f t="shared" si="170"/>
        <v>0</v>
      </c>
      <c r="Q299">
        <f t="shared" si="171"/>
        <v>2</v>
      </c>
      <c r="R299">
        <f t="shared" si="149"/>
        <v>300</v>
      </c>
      <c r="S299">
        <f t="shared" si="172"/>
        <v>0</v>
      </c>
      <c r="T299">
        <f t="shared" si="173"/>
        <v>-1</v>
      </c>
      <c r="U299">
        <f t="shared" si="162"/>
        <v>0</v>
      </c>
      <c r="V299">
        <f t="shared" si="163"/>
        <v>1</v>
      </c>
      <c r="W299">
        <f t="shared" si="150"/>
        <v>0</v>
      </c>
      <c r="X299">
        <f t="shared" si="174"/>
        <v>0</v>
      </c>
      <c r="Y299">
        <f t="shared" si="151"/>
        <v>0</v>
      </c>
      <c r="Z299">
        <f t="shared" si="152"/>
        <v>0</v>
      </c>
      <c r="AA299">
        <f t="shared" si="153"/>
        <v>0</v>
      </c>
      <c r="AB299" s="29">
        <f t="shared" si="154"/>
        <v>0.74178816089935007</v>
      </c>
      <c r="AC299" s="25">
        <f t="shared" si="164"/>
        <v>127.49804426656831</v>
      </c>
      <c r="AD299" s="29">
        <f t="shared" si="155"/>
        <v>1.0808524183153847</v>
      </c>
      <c r="AE299" s="25">
        <f t="shared" si="165"/>
        <v>13.243681724743192</v>
      </c>
      <c r="AF299" s="25">
        <f t="shared" si="156"/>
        <v>13.243681724743192</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290.78918279358999</v>
      </c>
      <c r="AH299" s="25">
        <f t="shared" si="175"/>
        <v>0</v>
      </c>
      <c r="AI299" s="25">
        <f t="shared" si="176"/>
        <v>0</v>
      </c>
      <c r="AJ299" s="25">
        <f t="shared" si="177"/>
        <v>0</v>
      </c>
    </row>
    <row r="300" spans="1:36">
      <c r="A300">
        <f t="shared" si="157"/>
        <v>297</v>
      </c>
      <c r="B300">
        <f t="shared" si="166"/>
        <v>6</v>
      </c>
      <c r="C300">
        <f t="shared" si="144"/>
        <v>300</v>
      </c>
      <c r="D300">
        <f t="shared" si="158"/>
        <v>0</v>
      </c>
      <c r="E300">
        <f t="shared" si="178"/>
        <v>5</v>
      </c>
      <c r="F300">
        <f t="shared" si="145"/>
        <v>360</v>
      </c>
      <c r="G300">
        <f t="shared" si="159"/>
        <v>28</v>
      </c>
      <c r="H300">
        <f t="shared" si="167"/>
        <v>4</v>
      </c>
      <c r="I300">
        <f t="shared" si="146"/>
        <v>360</v>
      </c>
      <c r="J300">
        <f t="shared" si="160"/>
        <v>0</v>
      </c>
      <c r="K300">
        <f t="shared" si="168"/>
        <v>3</v>
      </c>
      <c r="L300">
        <f t="shared" si="147"/>
        <v>360</v>
      </c>
      <c r="M300">
        <f t="shared" si="161"/>
        <v>0</v>
      </c>
      <c r="N300">
        <f t="shared" si="169"/>
        <v>2</v>
      </c>
      <c r="O300">
        <f t="shared" si="148"/>
        <v>300</v>
      </c>
      <c r="P300">
        <f t="shared" si="170"/>
        <v>0</v>
      </c>
      <c r="Q300">
        <f t="shared" si="171"/>
        <v>2</v>
      </c>
      <c r="R300">
        <f t="shared" si="149"/>
        <v>300</v>
      </c>
      <c r="S300">
        <f t="shared" si="172"/>
        <v>0</v>
      </c>
      <c r="T300">
        <f t="shared" si="173"/>
        <v>-1</v>
      </c>
      <c r="U300">
        <f t="shared" si="162"/>
        <v>0</v>
      </c>
      <c r="V300">
        <f t="shared" si="163"/>
        <v>1</v>
      </c>
      <c r="W300">
        <f t="shared" si="150"/>
        <v>0</v>
      </c>
      <c r="X300">
        <f t="shared" si="174"/>
        <v>0</v>
      </c>
      <c r="Y300">
        <f t="shared" si="151"/>
        <v>0</v>
      </c>
      <c r="Z300">
        <f t="shared" si="152"/>
        <v>0</v>
      </c>
      <c r="AA300">
        <f t="shared" si="153"/>
        <v>0</v>
      </c>
      <c r="AB300" s="29">
        <f t="shared" si="154"/>
        <v>0.74178816089935007</v>
      </c>
      <c r="AC300" s="25">
        <f t="shared" si="164"/>
        <v>127.49804426656831</v>
      </c>
      <c r="AD300" s="29">
        <f t="shared" si="155"/>
        <v>1.0808524183153847</v>
      </c>
      <c r="AE300" s="25">
        <f t="shared" si="165"/>
        <v>13.243681724743192</v>
      </c>
      <c r="AF300" s="25">
        <f t="shared" si="156"/>
        <v>13.243681724743192</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290.78918279358999</v>
      </c>
      <c r="AH300" s="25">
        <f t="shared" si="175"/>
        <v>0</v>
      </c>
      <c r="AI300" s="25">
        <f t="shared" si="176"/>
        <v>0</v>
      </c>
      <c r="AJ300" s="25">
        <f t="shared" si="177"/>
        <v>0</v>
      </c>
    </row>
    <row r="301" spans="1:36">
      <c r="A301">
        <f t="shared" si="157"/>
        <v>298</v>
      </c>
      <c r="B301">
        <f t="shared" si="166"/>
        <v>6</v>
      </c>
      <c r="C301">
        <f t="shared" si="144"/>
        <v>300</v>
      </c>
      <c r="D301">
        <f t="shared" si="158"/>
        <v>0</v>
      </c>
      <c r="E301">
        <f t="shared" si="178"/>
        <v>5</v>
      </c>
      <c r="F301">
        <f t="shared" si="145"/>
        <v>360</v>
      </c>
      <c r="G301">
        <f t="shared" si="159"/>
        <v>29</v>
      </c>
      <c r="H301">
        <f t="shared" si="167"/>
        <v>4</v>
      </c>
      <c r="I301">
        <f t="shared" si="146"/>
        <v>360</v>
      </c>
      <c r="J301">
        <f t="shared" si="160"/>
        <v>0</v>
      </c>
      <c r="K301">
        <f t="shared" si="168"/>
        <v>3</v>
      </c>
      <c r="L301">
        <f t="shared" si="147"/>
        <v>360</v>
      </c>
      <c r="M301">
        <f t="shared" si="161"/>
        <v>0</v>
      </c>
      <c r="N301">
        <f t="shared" si="169"/>
        <v>2</v>
      </c>
      <c r="O301">
        <f t="shared" si="148"/>
        <v>300</v>
      </c>
      <c r="P301">
        <f t="shared" si="170"/>
        <v>0</v>
      </c>
      <c r="Q301">
        <f t="shared" si="171"/>
        <v>2</v>
      </c>
      <c r="R301">
        <f t="shared" si="149"/>
        <v>300</v>
      </c>
      <c r="S301">
        <f t="shared" si="172"/>
        <v>0</v>
      </c>
      <c r="T301">
        <f t="shared" si="173"/>
        <v>-1</v>
      </c>
      <c r="U301">
        <f t="shared" si="162"/>
        <v>0</v>
      </c>
      <c r="V301">
        <f t="shared" si="163"/>
        <v>1</v>
      </c>
      <c r="W301">
        <f t="shared" si="150"/>
        <v>0</v>
      </c>
      <c r="X301">
        <f t="shared" si="174"/>
        <v>0</v>
      </c>
      <c r="Y301">
        <f t="shared" si="151"/>
        <v>0</v>
      </c>
      <c r="Z301">
        <f t="shared" si="152"/>
        <v>0</v>
      </c>
      <c r="AA301">
        <f t="shared" si="153"/>
        <v>0</v>
      </c>
      <c r="AB301" s="29">
        <f t="shared" si="154"/>
        <v>0.74178816089935007</v>
      </c>
      <c r="AC301" s="25">
        <f t="shared" si="164"/>
        <v>127.49804426656831</v>
      </c>
      <c r="AD301" s="29">
        <f t="shared" si="155"/>
        <v>1.0808524183153847</v>
      </c>
      <c r="AE301" s="25">
        <f t="shared" si="165"/>
        <v>13.243681724743192</v>
      </c>
      <c r="AF301" s="25">
        <f t="shared" si="156"/>
        <v>13.243681724743192</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290.78918279358999</v>
      </c>
      <c r="AH301" s="25">
        <f t="shared" si="175"/>
        <v>0</v>
      </c>
      <c r="AI301" s="25">
        <f t="shared" si="176"/>
        <v>0</v>
      </c>
      <c r="AJ301" s="25">
        <f t="shared" si="177"/>
        <v>0</v>
      </c>
    </row>
    <row r="302" spans="1:36">
      <c r="A302">
        <f t="shared" si="157"/>
        <v>299</v>
      </c>
      <c r="B302">
        <f t="shared" si="166"/>
        <v>6</v>
      </c>
      <c r="C302">
        <f t="shared" si="144"/>
        <v>300</v>
      </c>
      <c r="D302">
        <f t="shared" si="158"/>
        <v>0</v>
      </c>
      <c r="E302">
        <f t="shared" si="178"/>
        <v>5</v>
      </c>
      <c r="F302">
        <f t="shared" si="145"/>
        <v>360</v>
      </c>
      <c r="G302">
        <f t="shared" si="159"/>
        <v>30</v>
      </c>
      <c r="H302">
        <f t="shared" si="167"/>
        <v>4</v>
      </c>
      <c r="I302">
        <f t="shared" si="146"/>
        <v>360</v>
      </c>
      <c r="J302">
        <f t="shared" si="160"/>
        <v>0</v>
      </c>
      <c r="K302">
        <f t="shared" si="168"/>
        <v>3</v>
      </c>
      <c r="L302">
        <f t="shared" si="147"/>
        <v>360</v>
      </c>
      <c r="M302">
        <f t="shared" si="161"/>
        <v>0</v>
      </c>
      <c r="N302">
        <f t="shared" si="169"/>
        <v>2</v>
      </c>
      <c r="O302">
        <f t="shared" si="148"/>
        <v>300</v>
      </c>
      <c r="P302">
        <f t="shared" si="170"/>
        <v>0</v>
      </c>
      <c r="Q302">
        <f t="shared" si="171"/>
        <v>2</v>
      </c>
      <c r="R302">
        <f t="shared" si="149"/>
        <v>300</v>
      </c>
      <c r="S302">
        <f t="shared" si="172"/>
        <v>0</v>
      </c>
      <c r="T302">
        <f t="shared" si="173"/>
        <v>-1</v>
      </c>
      <c r="U302">
        <f t="shared" si="162"/>
        <v>0</v>
      </c>
      <c r="V302">
        <f t="shared" si="163"/>
        <v>1</v>
      </c>
      <c r="W302">
        <f t="shared" si="150"/>
        <v>0</v>
      </c>
      <c r="X302">
        <f t="shared" si="174"/>
        <v>0</v>
      </c>
      <c r="Y302">
        <f t="shared" si="151"/>
        <v>0</v>
      </c>
      <c r="Z302">
        <f t="shared" si="152"/>
        <v>0</v>
      </c>
      <c r="AA302">
        <f t="shared" si="153"/>
        <v>0</v>
      </c>
      <c r="AB302" s="29">
        <f t="shared" si="154"/>
        <v>0.74178816089935007</v>
      </c>
      <c r="AC302" s="25">
        <f t="shared" si="164"/>
        <v>127.49804426656831</v>
      </c>
      <c r="AD302" s="29">
        <f t="shared" si="155"/>
        <v>1.0808524183153847</v>
      </c>
      <c r="AE302" s="25">
        <f t="shared" si="165"/>
        <v>13.243681724743192</v>
      </c>
      <c r="AF302" s="25">
        <f t="shared" si="156"/>
        <v>13.243681724743192</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290.78918279358999</v>
      </c>
      <c r="AH302" s="25">
        <f t="shared" si="175"/>
        <v>0</v>
      </c>
      <c r="AI302" s="25">
        <f t="shared" si="176"/>
        <v>0</v>
      </c>
      <c r="AJ302" s="25">
        <f t="shared" si="177"/>
        <v>0</v>
      </c>
    </row>
    <row r="303" spans="1:36">
      <c r="A303">
        <f t="shared" si="157"/>
        <v>-1</v>
      </c>
      <c r="B303">
        <f t="shared" si="166"/>
        <v>6</v>
      </c>
      <c r="C303">
        <f t="shared" si="144"/>
        <v>300</v>
      </c>
      <c r="D303">
        <f t="shared" si="158"/>
        <v>0</v>
      </c>
      <c r="E303">
        <f t="shared" si="178"/>
        <v>5</v>
      </c>
      <c r="F303">
        <f t="shared" si="145"/>
        <v>360</v>
      </c>
      <c r="G303">
        <f t="shared" si="159"/>
        <v>0</v>
      </c>
      <c r="H303">
        <f t="shared" si="167"/>
        <v>4</v>
      </c>
      <c r="I303">
        <f t="shared" si="146"/>
        <v>360</v>
      </c>
      <c r="J303">
        <f t="shared" si="160"/>
        <v>0</v>
      </c>
      <c r="K303">
        <f t="shared" si="168"/>
        <v>3</v>
      </c>
      <c r="L303">
        <f t="shared" si="147"/>
        <v>360</v>
      </c>
      <c r="M303">
        <f t="shared" si="161"/>
        <v>0</v>
      </c>
      <c r="N303">
        <f t="shared" si="169"/>
        <v>2</v>
      </c>
      <c r="O303">
        <f t="shared" si="148"/>
        <v>300</v>
      </c>
      <c r="P303">
        <f t="shared" si="170"/>
        <v>0</v>
      </c>
      <c r="Q303">
        <f t="shared" si="171"/>
        <v>2</v>
      </c>
      <c r="R303">
        <f t="shared" si="149"/>
        <v>300</v>
      </c>
      <c r="S303">
        <f t="shared" si="172"/>
        <v>0</v>
      </c>
      <c r="T303">
        <f t="shared" si="173"/>
        <v>-1</v>
      </c>
      <c r="U303">
        <f t="shared" si="162"/>
        <v>1</v>
      </c>
      <c r="V303">
        <f t="shared" si="163"/>
        <v>1</v>
      </c>
      <c r="W303">
        <f t="shared" si="150"/>
        <v>0</v>
      </c>
      <c r="X303">
        <f t="shared" si="174"/>
        <v>0</v>
      </c>
      <c r="Y303">
        <f t="shared" si="151"/>
        <v>0</v>
      </c>
      <c r="Z303">
        <f t="shared" si="152"/>
        <v>0</v>
      </c>
      <c r="AA303">
        <f t="shared" si="153"/>
        <v>0</v>
      </c>
      <c r="AB303" s="29">
        <f t="shared" si="154"/>
        <v>0</v>
      </c>
      <c r="AC303" s="25">
        <f t="shared" si="164"/>
        <v>0</v>
      </c>
      <c r="AD303" s="29">
        <f t="shared" si="155"/>
        <v>0</v>
      </c>
      <c r="AE303" s="25">
        <f t="shared" si="165"/>
        <v>0</v>
      </c>
      <c r="AF303" s="25">
        <f t="shared" si="156"/>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7"/>
        <v>-1</v>
      </c>
      <c r="B304">
        <f t="shared" si="166"/>
        <v>6</v>
      </c>
      <c r="C304">
        <f t="shared" si="144"/>
        <v>300</v>
      </c>
      <c r="D304">
        <f t="shared" si="158"/>
        <v>0</v>
      </c>
      <c r="E304">
        <f t="shared" si="178"/>
        <v>5</v>
      </c>
      <c r="F304">
        <f t="shared" si="145"/>
        <v>360</v>
      </c>
      <c r="G304">
        <f t="shared" si="159"/>
        <v>0</v>
      </c>
      <c r="H304">
        <f t="shared" si="167"/>
        <v>4</v>
      </c>
      <c r="I304">
        <f t="shared" si="146"/>
        <v>360</v>
      </c>
      <c r="J304">
        <f t="shared" si="160"/>
        <v>0</v>
      </c>
      <c r="K304">
        <f t="shared" si="168"/>
        <v>3</v>
      </c>
      <c r="L304">
        <f t="shared" si="147"/>
        <v>360</v>
      </c>
      <c r="M304">
        <f t="shared" si="161"/>
        <v>0</v>
      </c>
      <c r="N304">
        <f t="shared" si="169"/>
        <v>2</v>
      </c>
      <c r="O304">
        <f t="shared" si="148"/>
        <v>300</v>
      </c>
      <c r="P304">
        <f t="shared" si="170"/>
        <v>0</v>
      </c>
      <c r="Q304">
        <f t="shared" si="171"/>
        <v>2</v>
      </c>
      <c r="R304">
        <f t="shared" si="149"/>
        <v>300</v>
      </c>
      <c r="S304">
        <f t="shared" si="172"/>
        <v>0</v>
      </c>
      <c r="T304">
        <f t="shared" si="173"/>
        <v>-1</v>
      </c>
      <c r="U304">
        <f t="shared" si="162"/>
        <v>1</v>
      </c>
      <c r="V304">
        <f t="shared" si="163"/>
        <v>1</v>
      </c>
      <c r="W304">
        <f t="shared" si="150"/>
        <v>0</v>
      </c>
      <c r="X304">
        <f t="shared" si="174"/>
        <v>0</v>
      </c>
      <c r="Y304">
        <f t="shared" si="151"/>
        <v>0</v>
      </c>
      <c r="Z304">
        <f t="shared" si="152"/>
        <v>0</v>
      </c>
      <c r="AA304">
        <f t="shared" si="153"/>
        <v>0</v>
      </c>
      <c r="AB304" s="29">
        <f t="shared" si="154"/>
        <v>0</v>
      </c>
      <c r="AC304" s="25">
        <f t="shared" si="164"/>
        <v>0</v>
      </c>
      <c r="AD304" s="29">
        <f t="shared" si="155"/>
        <v>0</v>
      </c>
      <c r="AE304" s="25">
        <f t="shared" si="165"/>
        <v>0</v>
      </c>
      <c r="AF304" s="25">
        <f t="shared" si="156"/>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7"/>
        <v>-1</v>
      </c>
      <c r="B305">
        <f t="shared" si="166"/>
        <v>6</v>
      </c>
      <c r="C305">
        <f t="shared" si="144"/>
        <v>300</v>
      </c>
      <c r="D305">
        <f t="shared" si="158"/>
        <v>0</v>
      </c>
      <c r="E305">
        <f t="shared" si="178"/>
        <v>5</v>
      </c>
      <c r="F305">
        <f t="shared" si="145"/>
        <v>360</v>
      </c>
      <c r="G305">
        <f t="shared" si="159"/>
        <v>0</v>
      </c>
      <c r="H305">
        <f t="shared" si="167"/>
        <v>4</v>
      </c>
      <c r="I305">
        <f t="shared" si="146"/>
        <v>360</v>
      </c>
      <c r="J305">
        <f t="shared" si="160"/>
        <v>0</v>
      </c>
      <c r="K305">
        <f t="shared" si="168"/>
        <v>3</v>
      </c>
      <c r="L305">
        <f t="shared" si="147"/>
        <v>360</v>
      </c>
      <c r="M305">
        <f t="shared" si="161"/>
        <v>0</v>
      </c>
      <c r="N305">
        <f t="shared" si="169"/>
        <v>2</v>
      </c>
      <c r="O305">
        <f t="shared" si="148"/>
        <v>300</v>
      </c>
      <c r="P305">
        <f t="shared" si="170"/>
        <v>0</v>
      </c>
      <c r="Q305">
        <f t="shared" si="171"/>
        <v>2</v>
      </c>
      <c r="R305">
        <f t="shared" si="149"/>
        <v>300</v>
      </c>
      <c r="S305">
        <f t="shared" si="172"/>
        <v>0</v>
      </c>
      <c r="T305">
        <f t="shared" si="173"/>
        <v>-1</v>
      </c>
      <c r="U305">
        <f t="shared" si="162"/>
        <v>1</v>
      </c>
      <c r="V305">
        <f t="shared" si="163"/>
        <v>1</v>
      </c>
      <c r="W305">
        <f t="shared" si="150"/>
        <v>0</v>
      </c>
      <c r="X305">
        <f t="shared" si="174"/>
        <v>0</v>
      </c>
      <c r="Y305">
        <f t="shared" si="151"/>
        <v>0</v>
      </c>
      <c r="Z305">
        <f t="shared" si="152"/>
        <v>0</v>
      </c>
      <c r="AA305">
        <f t="shared" si="153"/>
        <v>0</v>
      </c>
      <c r="AB305" s="29">
        <f t="shared" si="154"/>
        <v>0</v>
      </c>
      <c r="AC305" s="25">
        <f t="shared" si="164"/>
        <v>0</v>
      </c>
      <c r="AD305" s="29">
        <f t="shared" si="155"/>
        <v>0</v>
      </c>
      <c r="AE305" s="25">
        <f t="shared" si="165"/>
        <v>0</v>
      </c>
      <c r="AF305" s="25">
        <f t="shared" si="156"/>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7"/>
        <v>-1</v>
      </c>
      <c r="B306">
        <f t="shared" si="166"/>
        <v>6</v>
      </c>
      <c r="C306">
        <f t="shared" si="144"/>
        <v>300</v>
      </c>
      <c r="D306">
        <f t="shared" si="158"/>
        <v>0</v>
      </c>
      <c r="E306">
        <f t="shared" si="178"/>
        <v>5</v>
      </c>
      <c r="F306">
        <f t="shared" si="145"/>
        <v>360</v>
      </c>
      <c r="G306">
        <f t="shared" si="159"/>
        <v>0</v>
      </c>
      <c r="H306">
        <f t="shared" si="167"/>
        <v>4</v>
      </c>
      <c r="I306">
        <f t="shared" si="146"/>
        <v>360</v>
      </c>
      <c r="J306">
        <f t="shared" si="160"/>
        <v>0</v>
      </c>
      <c r="K306">
        <f t="shared" si="168"/>
        <v>3</v>
      </c>
      <c r="L306">
        <f t="shared" si="147"/>
        <v>360</v>
      </c>
      <c r="M306">
        <f t="shared" si="161"/>
        <v>0</v>
      </c>
      <c r="N306">
        <f t="shared" si="169"/>
        <v>2</v>
      </c>
      <c r="O306">
        <f t="shared" si="148"/>
        <v>300</v>
      </c>
      <c r="P306">
        <f t="shared" si="170"/>
        <v>0</v>
      </c>
      <c r="Q306">
        <f t="shared" si="171"/>
        <v>2</v>
      </c>
      <c r="R306">
        <f t="shared" si="149"/>
        <v>300</v>
      </c>
      <c r="S306">
        <f t="shared" si="172"/>
        <v>0</v>
      </c>
      <c r="T306">
        <f t="shared" si="173"/>
        <v>-1</v>
      </c>
      <c r="U306">
        <f t="shared" si="162"/>
        <v>1</v>
      </c>
      <c r="V306">
        <f t="shared" si="163"/>
        <v>1</v>
      </c>
      <c r="W306">
        <f t="shared" si="150"/>
        <v>0</v>
      </c>
      <c r="X306">
        <f t="shared" si="174"/>
        <v>0</v>
      </c>
      <c r="Y306">
        <f t="shared" si="151"/>
        <v>0</v>
      </c>
      <c r="Z306">
        <f t="shared" si="152"/>
        <v>0</v>
      </c>
      <c r="AA306">
        <f t="shared" si="153"/>
        <v>0</v>
      </c>
      <c r="AB306" s="29">
        <f t="shared" si="154"/>
        <v>0</v>
      </c>
      <c r="AC306" s="25">
        <f t="shared" si="164"/>
        <v>0</v>
      </c>
      <c r="AD306" s="29">
        <f t="shared" si="155"/>
        <v>0</v>
      </c>
      <c r="AE306" s="25">
        <f t="shared" si="165"/>
        <v>0</v>
      </c>
      <c r="AF306" s="25">
        <f t="shared" si="156"/>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7"/>
        <v>-1</v>
      </c>
      <c r="B307">
        <f t="shared" si="166"/>
        <v>6</v>
      </c>
      <c r="C307">
        <f t="shared" si="144"/>
        <v>300</v>
      </c>
      <c r="D307">
        <f t="shared" si="158"/>
        <v>0</v>
      </c>
      <c r="E307">
        <f t="shared" si="178"/>
        <v>5</v>
      </c>
      <c r="F307">
        <f t="shared" si="145"/>
        <v>360</v>
      </c>
      <c r="G307">
        <f t="shared" si="159"/>
        <v>0</v>
      </c>
      <c r="H307">
        <f t="shared" si="167"/>
        <v>4</v>
      </c>
      <c r="I307">
        <f t="shared" si="146"/>
        <v>360</v>
      </c>
      <c r="J307">
        <f t="shared" si="160"/>
        <v>0</v>
      </c>
      <c r="K307">
        <f t="shared" si="168"/>
        <v>3</v>
      </c>
      <c r="L307">
        <f t="shared" si="147"/>
        <v>360</v>
      </c>
      <c r="M307">
        <f t="shared" si="161"/>
        <v>0</v>
      </c>
      <c r="N307">
        <f t="shared" si="169"/>
        <v>2</v>
      </c>
      <c r="O307">
        <f t="shared" si="148"/>
        <v>300</v>
      </c>
      <c r="P307">
        <f t="shared" si="170"/>
        <v>0</v>
      </c>
      <c r="Q307">
        <f t="shared" si="171"/>
        <v>2</v>
      </c>
      <c r="R307">
        <f t="shared" si="149"/>
        <v>300</v>
      </c>
      <c r="S307">
        <f t="shared" si="172"/>
        <v>0</v>
      </c>
      <c r="T307">
        <f t="shared" si="173"/>
        <v>-1</v>
      </c>
      <c r="U307">
        <f t="shared" si="162"/>
        <v>1</v>
      </c>
      <c r="V307">
        <f t="shared" si="163"/>
        <v>1</v>
      </c>
      <c r="W307">
        <f t="shared" si="150"/>
        <v>0</v>
      </c>
      <c r="X307">
        <f t="shared" si="174"/>
        <v>0</v>
      </c>
      <c r="Y307">
        <f t="shared" si="151"/>
        <v>0</v>
      </c>
      <c r="Z307">
        <f t="shared" si="152"/>
        <v>0</v>
      </c>
      <c r="AA307">
        <f t="shared" si="153"/>
        <v>0</v>
      </c>
      <c r="AB307" s="29">
        <f t="shared" si="154"/>
        <v>0</v>
      </c>
      <c r="AC307" s="25">
        <f t="shared" si="164"/>
        <v>0</v>
      </c>
      <c r="AD307" s="29">
        <f t="shared" si="155"/>
        <v>0</v>
      </c>
      <c r="AE307" s="25">
        <f t="shared" si="165"/>
        <v>0</v>
      </c>
      <c r="AF307" s="25">
        <f t="shared" si="156"/>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7"/>
        <v>-1</v>
      </c>
      <c r="B308">
        <f t="shared" si="166"/>
        <v>6</v>
      </c>
      <c r="C308">
        <f t="shared" si="144"/>
        <v>300</v>
      </c>
      <c r="D308">
        <f t="shared" si="158"/>
        <v>0</v>
      </c>
      <c r="E308">
        <f t="shared" si="178"/>
        <v>5</v>
      </c>
      <c r="F308">
        <f t="shared" si="145"/>
        <v>360</v>
      </c>
      <c r="G308">
        <f t="shared" si="159"/>
        <v>0</v>
      </c>
      <c r="H308">
        <f t="shared" si="167"/>
        <v>4</v>
      </c>
      <c r="I308">
        <f t="shared" si="146"/>
        <v>360</v>
      </c>
      <c r="J308">
        <f t="shared" si="160"/>
        <v>0</v>
      </c>
      <c r="K308">
        <f t="shared" si="168"/>
        <v>3</v>
      </c>
      <c r="L308">
        <f t="shared" si="147"/>
        <v>360</v>
      </c>
      <c r="M308">
        <f t="shared" si="161"/>
        <v>0</v>
      </c>
      <c r="N308">
        <f t="shared" si="169"/>
        <v>2</v>
      </c>
      <c r="O308">
        <f t="shared" si="148"/>
        <v>300</v>
      </c>
      <c r="P308">
        <f t="shared" si="170"/>
        <v>0</v>
      </c>
      <c r="Q308">
        <f t="shared" si="171"/>
        <v>2</v>
      </c>
      <c r="R308">
        <f t="shared" si="149"/>
        <v>300</v>
      </c>
      <c r="S308">
        <f t="shared" si="172"/>
        <v>0</v>
      </c>
      <c r="T308">
        <f t="shared" si="173"/>
        <v>-1</v>
      </c>
      <c r="U308">
        <f t="shared" si="162"/>
        <v>1</v>
      </c>
      <c r="V308">
        <f t="shared" si="163"/>
        <v>1</v>
      </c>
      <c r="W308">
        <f t="shared" si="150"/>
        <v>0</v>
      </c>
      <c r="X308">
        <f t="shared" si="174"/>
        <v>0</v>
      </c>
      <c r="Y308">
        <f t="shared" si="151"/>
        <v>0</v>
      </c>
      <c r="Z308">
        <f t="shared" si="152"/>
        <v>0</v>
      </c>
      <c r="AA308">
        <f t="shared" si="153"/>
        <v>0</v>
      </c>
      <c r="AB308" s="29">
        <f t="shared" si="154"/>
        <v>0</v>
      </c>
      <c r="AC308" s="25">
        <f t="shared" si="164"/>
        <v>0</v>
      </c>
      <c r="AD308" s="29">
        <f t="shared" si="155"/>
        <v>0</v>
      </c>
      <c r="AE308" s="25">
        <f t="shared" si="165"/>
        <v>0</v>
      </c>
      <c r="AF308" s="25">
        <f t="shared" si="156"/>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7"/>
        <v>-1</v>
      </c>
      <c r="B309">
        <f t="shared" si="166"/>
        <v>6</v>
      </c>
      <c r="C309">
        <f t="shared" si="144"/>
        <v>300</v>
      </c>
      <c r="D309">
        <f t="shared" si="158"/>
        <v>0</v>
      </c>
      <c r="E309">
        <f t="shared" si="178"/>
        <v>5</v>
      </c>
      <c r="F309">
        <f t="shared" si="145"/>
        <v>360</v>
      </c>
      <c r="G309">
        <f t="shared" si="159"/>
        <v>0</v>
      </c>
      <c r="H309">
        <f t="shared" si="167"/>
        <v>4</v>
      </c>
      <c r="I309">
        <f t="shared" si="146"/>
        <v>360</v>
      </c>
      <c r="J309">
        <f t="shared" si="160"/>
        <v>0</v>
      </c>
      <c r="K309">
        <f t="shared" si="168"/>
        <v>3</v>
      </c>
      <c r="L309">
        <f t="shared" si="147"/>
        <v>360</v>
      </c>
      <c r="M309">
        <f t="shared" si="161"/>
        <v>0</v>
      </c>
      <c r="N309">
        <f t="shared" si="169"/>
        <v>2</v>
      </c>
      <c r="O309">
        <f t="shared" si="148"/>
        <v>300</v>
      </c>
      <c r="P309">
        <f t="shared" si="170"/>
        <v>0</v>
      </c>
      <c r="Q309">
        <f t="shared" si="171"/>
        <v>2</v>
      </c>
      <c r="R309">
        <f t="shared" si="149"/>
        <v>300</v>
      </c>
      <c r="S309">
        <f t="shared" si="172"/>
        <v>0</v>
      </c>
      <c r="T309">
        <f t="shared" si="173"/>
        <v>-1</v>
      </c>
      <c r="U309">
        <f t="shared" si="162"/>
        <v>1</v>
      </c>
      <c r="V309">
        <f t="shared" si="163"/>
        <v>1</v>
      </c>
      <c r="W309">
        <f t="shared" si="150"/>
        <v>0</v>
      </c>
      <c r="X309">
        <f t="shared" si="174"/>
        <v>0</v>
      </c>
      <c r="Y309">
        <f t="shared" si="151"/>
        <v>0</v>
      </c>
      <c r="Z309">
        <f t="shared" si="152"/>
        <v>0</v>
      </c>
      <c r="AA309">
        <f t="shared" si="153"/>
        <v>0</v>
      </c>
      <c r="AB309" s="29">
        <f t="shared" si="154"/>
        <v>0</v>
      </c>
      <c r="AC309" s="25">
        <f t="shared" si="164"/>
        <v>0</v>
      </c>
      <c r="AD309" s="29">
        <f t="shared" si="155"/>
        <v>0</v>
      </c>
      <c r="AE309" s="25">
        <f t="shared" si="165"/>
        <v>0</v>
      </c>
      <c r="AF309" s="25">
        <f t="shared" si="156"/>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7"/>
        <v>-1</v>
      </c>
      <c r="B310">
        <f t="shared" si="166"/>
        <v>6</v>
      </c>
      <c r="C310">
        <f t="shared" si="144"/>
        <v>300</v>
      </c>
      <c r="D310">
        <f t="shared" si="158"/>
        <v>0</v>
      </c>
      <c r="E310">
        <f t="shared" si="178"/>
        <v>5</v>
      </c>
      <c r="F310">
        <f t="shared" si="145"/>
        <v>360</v>
      </c>
      <c r="G310">
        <f t="shared" si="159"/>
        <v>0</v>
      </c>
      <c r="H310">
        <f t="shared" si="167"/>
        <v>4</v>
      </c>
      <c r="I310">
        <f t="shared" si="146"/>
        <v>360</v>
      </c>
      <c r="J310">
        <f t="shared" si="160"/>
        <v>0</v>
      </c>
      <c r="K310">
        <f t="shared" si="168"/>
        <v>3</v>
      </c>
      <c r="L310">
        <f t="shared" si="147"/>
        <v>360</v>
      </c>
      <c r="M310">
        <f t="shared" si="161"/>
        <v>0</v>
      </c>
      <c r="N310">
        <f t="shared" si="169"/>
        <v>2</v>
      </c>
      <c r="O310">
        <f t="shared" si="148"/>
        <v>300</v>
      </c>
      <c r="P310">
        <f t="shared" si="170"/>
        <v>0</v>
      </c>
      <c r="Q310">
        <f t="shared" si="171"/>
        <v>2</v>
      </c>
      <c r="R310">
        <f t="shared" si="149"/>
        <v>300</v>
      </c>
      <c r="S310">
        <f t="shared" si="172"/>
        <v>0</v>
      </c>
      <c r="T310">
        <f t="shared" si="173"/>
        <v>-1</v>
      </c>
      <c r="U310">
        <f t="shared" si="162"/>
        <v>1</v>
      </c>
      <c r="V310">
        <f t="shared" si="163"/>
        <v>1</v>
      </c>
      <c r="W310">
        <f t="shared" si="150"/>
        <v>0</v>
      </c>
      <c r="X310">
        <f t="shared" si="174"/>
        <v>0</v>
      </c>
      <c r="Y310">
        <f t="shared" si="151"/>
        <v>0</v>
      </c>
      <c r="Z310">
        <f t="shared" si="152"/>
        <v>0</v>
      </c>
      <c r="AA310">
        <f t="shared" si="153"/>
        <v>0</v>
      </c>
      <c r="AB310" s="29">
        <f t="shared" si="154"/>
        <v>0</v>
      </c>
      <c r="AC310" s="25">
        <f t="shared" si="164"/>
        <v>0</v>
      </c>
      <c r="AD310" s="29">
        <f t="shared" si="155"/>
        <v>0</v>
      </c>
      <c r="AE310" s="25">
        <f t="shared" si="165"/>
        <v>0</v>
      </c>
      <c r="AF310" s="25">
        <f t="shared" si="156"/>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7"/>
        <v>-1</v>
      </c>
      <c r="B311">
        <f t="shared" si="166"/>
        <v>6</v>
      </c>
      <c r="C311">
        <f t="shared" si="144"/>
        <v>300</v>
      </c>
      <c r="D311">
        <f t="shared" si="158"/>
        <v>0</v>
      </c>
      <c r="E311">
        <f t="shared" si="178"/>
        <v>5</v>
      </c>
      <c r="F311">
        <f t="shared" si="145"/>
        <v>360</v>
      </c>
      <c r="G311">
        <f t="shared" si="159"/>
        <v>0</v>
      </c>
      <c r="H311">
        <f t="shared" si="167"/>
        <v>4</v>
      </c>
      <c r="I311">
        <f t="shared" si="146"/>
        <v>360</v>
      </c>
      <c r="J311">
        <f t="shared" si="160"/>
        <v>0</v>
      </c>
      <c r="K311">
        <f t="shared" si="168"/>
        <v>3</v>
      </c>
      <c r="L311">
        <f t="shared" si="147"/>
        <v>360</v>
      </c>
      <c r="M311">
        <f t="shared" si="161"/>
        <v>0</v>
      </c>
      <c r="N311">
        <f t="shared" si="169"/>
        <v>2</v>
      </c>
      <c r="O311">
        <f t="shared" si="148"/>
        <v>300</v>
      </c>
      <c r="P311">
        <f t="shared" si="170"/>
        <v>0</v>
      </c>
      <c r="Q311">
        <f t="shared" si="171"/>
        <v>2</v>
      </c>
      <c r="R311">
        <f t="shared" si="149"/>
        <v>300</v>
      </c>
      <c r="S311">
        <f t="shared" si="172"/>
        <v>0</v>
      </c>
      <c r="T311">
        <f t="shared" si="173"/>
        <v>-1</v>
      </c>
      <c r="U311">
        <f t="shared" si="162"/>
        <v>1</v>
      </c>
      <c r="V311">
        <f t="shared" si="163"/>
        <v>1</v>
      </c>
      <c r="W311">
        <f t="shared" si="150"/>
        <v>0</v>
      </c>
      <c r="X311">
        <f t="shared" si="174"/>
        <v>0</v>
      </c>
      <c r="Y311">
        <f t="shared" si="151"/>
        <v>0</v>
      </c>
      <c r="Z311">
        <f t="shared" si="152"/>
        <v>0</v>
      </c>
      <c r="AA311">
        <f t="shared" si="153"/>
        <v>0</v>
      </c>
      <c r="AB311" s="29">
        <f t="shared" si="154"/>
        <v>0</v>
      </c>
      <c r="AC311" s="25">
        <f t="shared" si="164"/>
        <v>0</v>
      </c>
      <c r="AD311" s="29">
        <f t="shared" si="155"/>
        <v>0</v>
      </c>
      <c r="AE311" s="25">
        <f t="shared" si="165"/>
        <v>0</v>
      </c>
      <c r="AF311" s="25">
        <f t="shared" si="156"/>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7"/>
        <v>-1</v>
      </c>
      <c r="B312">
        <f t="shared" si="166"/>
        <v>6</v>
      </c>
      <c r="C312">
        <f t="shared" si="144"/>
        <v>300</v>
      </c>
      <c r="D312">
        <f t="shared" si="158"/>
        <v>0</v>
      </c>
      <c r="E312">
        <f t="shared" si="178"/>
        <v>5</v>
      </c>
      <c r="F312">
        <f t="shared" si="145"/>
        <v>360</v>
      </c>
      <c r="G312">
        <f t="shared" si="159"/>
        <v>0</v>
      </c>
      <c r="H312">
        <f t="shared" si="167"/>
        <v>4</v>
      </c>
      <c r="I312">
        <f t="shared" si="146"/>
        <v>360</v>
      </c>
      <c r="J312">
        <f t="shared" si="160"/>
        <v>0</v>
      </c>
      <c r="K312">
        <f t="shared" si="168"/>
        <v>3</v>
      </c>
      <c r="L312">
        <f t="shared" si="147"/>
        <v>360</v>
      </c>
      <c r="M312">
        <f t="shared" si="161"/>
        <v>0</v>
      </c>
      <c r="N312">
        <f t="shared" si="169"/>
        <v>2</v>
      </c>
      <c r="O312">
        <f t="shared" si="148"/>
        <v>300</v>
      </c>
      <c r="P312">
        <f t="shared" si="170"/>
        <v>0</v>
      </c>
      <c r="Q312">
        <f t="shared" si="171"/>
        <v>2</v>
      </c>
      <c r="R312">
        <f t="shared" si="149"/>
        <v>300</v>
      </c>
      <c r="S312">
        <f t="shared" si="172"/>
        <v>0</v>
      </c>
      <c r="T312">
        <f t="shared" si="173"/>
        <v>-1</v>
      </c>
      <c r="U312">
        <f t="shared" si="162"/>
        <v>1</v>
      </c>
      <c r="V312">
        <f t="shared" si="163"/>
        <v>1</v>
      </c>
      <c r="W312">
        <f t="shared" si="150"/>
        <v>0</v>
      </c>
      <c r="X312">
        <f t="shared" si="174"/>
        <v>0</v>
      </c>
      <c r="Y312">
        <f t="shared" si="151"/>
        <v>0</v>
      </c>
      <c r="Z312">
        <f t="shared" si="152"/>
        <v>0</v>
      </c>
      <c r="AA312">
        <f t="shared" si="153"/>
        <v>0</v>
      </c>
      <c r="AB312" s="29">
        <f t="shared" si="154"/>
        <v>0</v>
      </c>
      <c r="AC312" s="25">
        <f t="shared" si="164"/>
        <v>0</v>
      </c>
      <c r="AD312" s="29">
        <f t="shared" si="155"/>
        <v>0</v>
      </c>
      <c r="AE312" s="25">
        <f t="shared" si="165"/>
        <v>0</v>
      </c>
      <c r="AF312" s="25">
        <f t="shared" si="156"/>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7"/>
        <v>-1</v>
      </c>
      <c r="B313">
        <f t="shared" si="166"/>
        <v>6</v>
      </c>
      <c r="C313">
        <f t="shared" si="144"/>
        <v>300</v>
      </c>
      <c r="D313">
        <f t="shared" si="158"/>
        <v>0</v>
      </c>
      <c r="E313">
        <f t="shared" si="178"/>
        <v>5</v>
      </c>
      <c r="F313">
        <f t="shared" si="145"/>
        <v>360</v>
      </c>
      <c r="G313">
        <f t="shared" si="159"/>
        <v>0</v>
      </c>
      <c r="H313">
        <f t="shared" si="167"/>
        <v>4</v>
      </c>
      <c r="I313">
        <f t="shared" si="146"/>
        <v>360</v>
      </c>
      <c r="J313">
        <f t="shared" si="160"/>
        <v>0</v>
      </c>
      <c r="K313">
        <f t="shared" si="168"/>
        <v>3</v>
      </c>
      <c r="L313">
        <f t="shared" si="147"/>
        <v>360</v>
      </c>
      <c r="M313">
        <f t="shared" si="161"/>
        <v>0</v>
      </c>
      <c r="N313">
        <f t="shared" si="169"/>
        <v>2</v>
      </c>
      <c r="O313">
        <f t="shared" si="148"/>
        <v>300</v>
      </c>
      <c r="P313">
        <f t="shared" si="170"/>
        <v>0</v>
      </c>
      <c r="Q313">
        <f t="shared" si="171"/>
        <v>2</v>
      </c>
      <c r="R313">
        <f t="shared" si="149"/>
        <v>300</v>
      </c>
      <c r="S313">
        <f t="shared" si="172"/>
        <v>0</v>
      </c>
      <c r="T313">
        <f t="shared" si="173"/>
        <v>-1</v>
      </c>
      <c r="U313">
        <f t="shared" si="162"/>
        <v>1</v>
      </c>
      <c r="V313">
        <f t="shared" si="163"/>
        <v>1</v>
      </c>
      <c r="W313">
        <f t="shared" si="150"/>
        <v>0</v>
      </c>
      <c r="X313">
        <f t="shared" si="174"/>
        <v>0</v>
      </c>
      <c r="Y313">
        <f t="shared" si="151"/>
        <v>0</v>
      </c>
      <c r="Z313">
        <f t="shared" si="152"/>
        <v>0</v>
      </c>
      <c r="AA313">
        <f t="shared" si="153"/>
        <v>0</v>
      </c>
      <c r="AB313" s="29">
        <f t="shared" si="154"/>
        <v>0</v>
      </c>
      <c r="AC313" s="25">
        <f t="shared" si="164"/>
        <v>0</v>
      </c>
      <c r="AD313" s="29">
        <f t="shared" si="155"/>
        <v>0</v>
      </c>
      <c r="AE313" s="25">
        <f t="shared" si="165"/>
        <v>0</v>
      </c>
      <c r="AF313" s="25">
        <f t="shared" si="156"/>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7"/>
        <v>-1</v>
      </c>
      <c r="B314">
        <f t="shared" si="166"/>
        <v>6</v>
      </c>
      <c r="C314">
        <f t="shared" si="144"/>
        <v>300</v>
      </c>
      <c r="D314">
        <f t="shared" si="158"/>
        <v>0</v>
      </c>
      <c r="E314">
        <f t="shared" si="178"/>
        <v>5</v>
      </c>
      <c r="F314">
        <f t="shared" si="145"/>
        <v>360</v>
      </c>
      <c r="G314">
        <f t="shared" si="159"/>
        <v>0</v>
      </c>
      <c r="H314">
        <f t="shared" si="167"/>
        <v>4</v>
      </c>
      <c r="I314">
        <f t="shared" si="146"/>
        <v>360</v>
      </c>
      <c r="J314">
        <f t="shared" si="160"/>
        <v>0</v>
      </c>
      <c r="K314">
        <f t="shared" si="168"/>
        <v>3</v>
      </c>
      <c r="L314">
        <f t="shared" si="147"/>
        <v>360</v>
      </c>
      <c r="M314">
        <f t="shared" si="161"/>
        <v>0</v>
      </c>
      <c r="N314">
        <f t="shared" si="169"/>
        <v>2</v>
      </c>
      <c r="O314">
        <f t="shared" si="148"/>
        <v>300</v>
      </c>
      <c r="P314">
        <f t="shared" si="170"/>
        <v>0</v>
      </c>
      <c r="Q314">
        <f t="shared" si="171"/>
        <v>2</v>
      </c>
      <c r="R314">
        <f t="shared" si="149"/>
        <v>300</v>
      </c>
      <c r="S314">
        <f t="shared" si="172"/>
        <v>0</v>
      </c>
      <c r="T314">
        <f t="shared" si="173"/>
        <v>-1</v>
      </c>
      <c r="U314">
        <f t="shared" si="162"/>
        <v>1</v>
      </c>
      <c r="V314">
        <f t="shared" si="163"/>
        <v>1</v>
      </c>
      <c r="W314">
        <f t="shared" si="150"/>
        <v>0</v>
      </c>
      <c r="X314">
        <f t="shared" si="174"/>
        <v>0</v>
      </c>
      <c r="Y314">
        <f t="shared" si="151"/>
        <v>0</v>
      </c>
      <c r="Z314">
        <f t="shared" si="152"/>
        <v>0</v>
      </c>
      <c r="AA314">
        <f t="shared" si="153"/>
        <v>0</v>
      </c>
      <c r="AB314" s="29">
        <f t="shared" si="154"/>
        <v>0</v>
      </c>
      <c r="AC314" s="25">
        <f t="shared" si="164"/>
        <v>0</v>
      </c>
      <c r="AD314" s="29">
        <f t="shared" si="155"/>
        <v>0</v>
      </c>
      <c r="AE314" s="25">
        <f t="shared" si="165"/>
        <v>0</v>
      </c>
      <c r="AF314" s="25">
        <f t="shared" si="156"/>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7"/>
        <v>-1</v>
      </c>
      <c r="B315">
        <f t="shared" si="166"/>
        <v>6</v>
      </c>
      <c r="C315">
        <f t="shared" si="144"/>
        <v>300</v>
      </c>
      <c r="D315">
        <f t="shared" si="158"/>
        <v>0</v>
      </c>
      <c r="E315">
        <f t="shared" si="178"/>
        <v>5</v>
      </c>
      <c r="F315">
        <f t="shared" si="145"/>
        <v>360</v>
      </c>
      <c r="G315">
        <f t="shared" si="159"/>
        <v>0</v>
      </c>
      <c r="H315">
        <f t="shared" si="167"/>
        <v>4</v>
      </c>
      <c r="I315">
        <f t="shared" si="146"/>
        <v>360</v>
      </c>
      <c r="J315">
        <f t="shared" si="160"/>
        <v>0</v>
      </c>
      <c r="K315">
        <f t="shared" si="168"/>
        <v>3</v>
      </c>
      <c r="L315">
        <f t="shared" si="147"/>
        <v>360</v>
      </c>
      <c r="M315">
        <f t="shared" si="161"/>
        <v>0</v>
      </c>
      <c r="N315">
        <f t="shared" si="169"/>
        <v>2</v>
      </c>
      <c r="O315">
        <f t="shared" si="148"/>
        <v>300</v>
      </c>
      <c r="P315">
        <f t="shared" si="170"/>
        <v>0</v>
      </c>
      <c r="Q315">
        <f t="shared" si="171"/>
        <v>2</v>
      </c>
      <c r="R315">
        <f t="shared" si="149"/>
        <v>300</v>
      </c>
      <c r="S315">
        <f t="shared" si="172"/>
        <v>0</v>
      </c>
      <c r="T315">
        <f t="shared" si="173"/>
        <v>-1</v>
      </c>
      <c r="U315">
        <f t="shared" si="162"/>
        <v>1</v>
      </c>
      <c r="V315">
        <f t="shared" si="163"/>
        <v>1</v>
      </c>
      <c r="W315">
        <f t="shared" si="150"/>
        <v>0</v>
      </c>
      <c r="X315">
        <f t="shared" si="174"/>
        <v>0</v>
      </c>
      <c r="Y315">
        <f t="shared" si="151"/>
        <v>0</v>
      </c>
      <c r="Z315">
        <f t="shared" si="152"/>
        <v>0</v>
      </c>
      <c r="AA315">
        <f t="shared" si="153"/>
        <v>0</v>
      </c>
      <c r="AB315" s="29">
        <f t="shared" si="154"/>
        <v>0</v>
      </c>
      <c r="AC315" s="25">
        <f t="shared" si="164"/>
        <v>0</v>
      </c>
      <c r="AD315" s="29">
        <f t="shared" si="155"/>
        <v>0</v>
      </c>
      <c r="AE315" s="25">
        <f t="shared" si="165"/>
        <v>0</v>
      </c>
      <c r="AF315" s="25">
        <f t="shared" si="156"/>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7"/>
        <v>-1</v>
      </c>
      <c r="B316">
        <f t="shared" si="166"/>
        <v>6</v>
      </c>
      <c r="C316">
        <f t="shared" si="144"/>
        <v>300</v>
      </c>
      <c r="D316">
        <f t="shared" si="158"/>
        <v>0</v>
      </c>
      <c r="E316">
        <f t="shared" si="178"/>
        <v>5</v>
      </c>
      <c r="F316">
        <f t="shared" si="145"/>
        <v>360</v>
      </c>
      <c r="G316">
        <f t="shared" si="159"/>
        <v>0</v>
      </c>
      <c r="H316">
        <f t="shared" si="167"/>
        <v>4</v>
      </c>
      <c r="I316">
        <f t="shared" si="146"/>
        <v>360</v>
      </c>
      <c r="J316">
        <f t="shared" si="160"/>
        <v>0</v>
      </c>
      <c r="K316">
        <f t="shared" si="168"/>
        <v>3</v>
      </c>
      <c r="L316">
        <f t="shared" si="147"/>
        <v>360</v>
      </c>
      <c r="M316">
        <f t="shared" si="161"/>
        <v>0</v>
      </c>
      <c r="N316">
        <f t="shared" si="169"/>
        <v>2</v>
      </c>
      <c r="O316">
        <f t="shared" si="148"/>
        <v>300</v>
      </c>
      <c r="P316">
        <f t="shared" si="170"/>
        <v>0</v>
      </c>
      <c r="Q316">
        <f t="shared" si="171"/>
        <v>2</v>
      </c>
      <c r="R316">
        <f t="shared" si="149"/>
        <v>300</v>
      </c>
      <c r="S316">
        <f t="shared" si="172"/>
        <v>0</v>
      </c>
      <c r="T316">
        <f t="shared" si="173"/>
        <v>-1</v>
      </c>
      <c r="U316">
        <f t="shared" si="162"/>
        <v>1</v>
      </c>
      <c r="V316">
        <f t="shared" si="163"/>
        <v>1</v>
      </c>
      <c r="W316">
        <f t="shared" si="150"/>
        <v>0</v>
      </c>
      <c r="X316">
        <f t="shared" si="174"/>
        <v>0</v>
      </c>
      <c r="Y316">
        <f t="shared" si="151"/>
        <v>0</v>
      </c>
      <c r="Z316">
        <f t="shared" si="152"/>
        <v>0</v>
      </c>
      <c r="AA316">
        <f t="shared" si="153"/>
        <v>0</v>
      </c>
      <c r="AB316" s="29">
        <f t="shared" si="154"/>
        <v>0</v>
      </c>
      <c r="AC316" s="25">
        <f t="shared" si="164"/>
        <v>0</v>
      </c>
      <c r="AD316" s="29">
        <f t="shared" si="155"/>
        <v>0</v>
      </c>
      <c r="AE316" s="25">
        <f t="shared" si="165"/>
        <v>0</v>
      </c>
      <c r="AF316" s="25">
        <f t="shared" si="156"/>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7"/>
        <v>-1</v>
      </c>
      <c r="B317">
        <f t="shared" si="166"/>
        <v>6</v>
      </c>
      <c r="C317">
        <f t="shared" si="144"/>
        <v>300</v>
      </c>
      <c r="D317">
        <f t="shared" si="158"/>
        <v>0</v>
      </c>
      <c r="E317">
        <f t="shared" si="178"/>
        <v>5</v>
      </c>
      <c r="F317">
        <f t="shared" si="145"/>
        <v>360</v>
      </c>
      <c r="G317">
        <f t="shared" si="159"/>
        <v>0</v>
      </c>
      <c r="H317">
        <f t="shared" si="167"/>
        <v>4</v>
      </c>
      <c r="I317">
        <f t="shared" si="146"/>
        <v>360</v>
      </c>
      <c r="J317">
        <f t="shared" si="160"/>
        <v>0</v>
      </c>
      <c r="K317">
        <f t="shared" si="168"/>
        <v>3</v>
      </c>
      <c r="L317">
        <f t="shared" si="147"/>
        <v>360</v>
      </c>
      <c r="M317">
        <f t="shared" si="161"/>
        <v>0</v>
      </c>
      <c r="N317">
        <f t="shared" si="169"/>
        <v>2</v>
      </c>
      <c r="O317">
        <f t="shared" si="148"/>
        <v>300</v>
      </c>
      <c r="P317">
        <f t="shared" si="170"/>
        <v>0</v>
      </c>
      <c r="Q317">
        <f t="shared" si="171"/>
        <v>2</v>
      </c>
      <c r="R317">
        <f t="shared" si="149"/>
        <v>300</v>
      </c>
      <c r="S317">
        <f t="shared" si="172"/>
        <v>0</v>
      </c>
      <c r="T317">
        <f t="shared" si="173"/>
        <v>-1</v>
      </c>
      <c r="U317">
        <f t="shared" si="162"/>
        <v>1</v>
      </c>
      <c r="V317">
        <f t="shared" si="163"/>
        <v>1</v>
      </c>
      <c r="W317">
        <f t="shared" si="150"/>
        <v>0</v>
      </c>
      <c r="X317">
        <f t="shared" si="174"/>
        <v>0</v>
      </c>
      <c r="Y317">
        <f t="shared" si="151"/>
        <v>0</v>
      </c>
      <c r="Z317">
        <f t="shared" si="152"/>
        <v>0</v>
      </c>
      <c r="AA317">
        <f t="shared" si="153"/>
        <v>0</v>
      </c>
      <c r="AB317" s="29">
        <f t="shared" si="154"/>
        <v>0</v>
      </c>
      <c r="AC317" s="25">
        <f t="shared" si="164"/>
        <v>0</v>
      </c>
      <c r="AD317" s="29">
        <f t="shared" si="155"/>
        <v>0</v>
      </c>
      <c r="AE317" s="25">
        <f t="shared" si="165"/>
        <v>0</v>
      </c>
      <c r="AF317" s="25">
        <f t="shared" si="156"/>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7"/>
        <v>-1</v>
      </c>
      <c r="B318">
        <f t="shared" si="166"/>
        <v>6</v>
      </c>
      <c r="C318">
        <f t="shared" si="144"/>
        <v>300</v>
      </c>
      <c r="D318">
        <f t="shared" si="158"/>
        <v>0</v>
      </c>
      <c r="E318">
        <f t="shared" si="178"/>
        <v>5</v>
      </c>
      <c r="F318">
        <f t="shared" si="145"/>
        <v>360</v>
      </c>
      <c r="G318">
        <f t="shared" si="159"/>
        <v>0</v>
      </c>
      <c r="H318">
        <f t="shared" si="167"/>
        <v>4</v>
      </c>
      <c r="I318">
        <f t="shared" si="146"/>
        <v>360</v>
      </c>
      <c r="J318">
        <f t="shared" si="160"/>
        <v>0</v>
      </c>
      <c r="K318">
        <f t="shared" si="168"/>
        <v>3</v>
      </c>
      <c r="L318">
        <f t="shared" si="147"/>
        <v>360</v>
      </c>
      <c r="M318">
        <f t="shared" si="161"/>
        <v>0</v>
      </c>
      <c r="N318">
        <f t="shared" si="169"/>
        <v>2</v>
      </c>
      <c r="O318">
        <f t="shared" si="148"/>
        <v>300</v>
      </c>
      <c r="P318">
        <f t="shared" si="170"/>
        <v>0</v>
      </c>
      <c r="Q318">
        <f t="shared" si="171"/>
        <v>2</v>
      </c>
      <c r="R318">
        <f t="shared" si="149"/>
        <v>300</v>
      </c>
      <c r="S318">
        <f t="shared" si="172"/>
        <v>0</v>
      </c>
      <c r="T318">
        <f t="shared" si="173"/>
        <v>-1</v>
      </c>
      <c r="U318">
        <f t="shared" si="162"/>
        <v>1</v>
      </c>
      <c r="V318">
        <f t="shared" si="163"/>
        <v>1</v>
      </c>
      <c r="W318">
        <f t="shared" si="150"/>
        <v>0</v>
      </c>
      <c r="X318">
        <f t="shared" si="174"/>
        <v>0</v>
      </c>
      <c r="Y318">
        <f t="shared" si="151"/>
        <v>0</v>
      </c>
      <c r="Z318">
        <f t="shared" si="152"/>
        <v>0</v>
      </c>
      <c r="AA318">
        <f t="shared" si="153"/>
        <v>0</v>
      </c>
      <c r="AB318" s="29">
        <f t="shared" si="154"/>
        <v>0</v>
      </c>
      <c r="AC318" s="25">
        <f t="shared" si="164"/>
        <v>0</v>
      </c>
      <c r="AD318" s="29">
        <f t="shared" si="155"/>
        <v>0</v>
      </c>
      <c r="AE318" s="25">
        <f t="shared" si="165"/>
        <v>0</v>
      </c>
      <c r="AF318" s="25">
        <f t="shared" si="156"/>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7"/>
        <v>-1</v>
      </c>
      <c r="B319">
        <f t="shared" si="166"/>
        <v>6</v>
      </c>
      <c r="C319">
        <f t="shared" si="144"/>
        <v>300</v>
      </c>
      <c r="D319">
        <f t="shared" si="158"/>
        <v>0</v>
      </c>
      <c r="E319">
        <f t="shared" si="178"/>
        <v>5</v>
      </c>
      <c r="F319">
        <f t="shared" si="145"/>
        <v>360</v>
      </c>
      <c r="G319">
        <f t="shared" si="159"/>
        <v>0</v>
      </c>
      <c r="H319">
        <f t="shared" si="167"/>
        <v>4</v>
      </c>
      <c r="I319">
        <f t="shared" si="146"/>
        <v>360</v>
      </c>
      <c r="J319">
        <f t="shared" si="160"/>
        <v>0</v>
      </c>
      <c r="K319">
        <f t="shared" si="168"/>
        <v>3</v>
      </c>
      <c r="L319">
        <f t="shared" si="147"/>
        <v>360</v>
      </c>
      <c r="M319">
        <f t="shared" si="161"/>
        <v>0</v>
      </c>
      <c r="N319">
        <f t="shared" si="169"/>
        <v>2</v>
      </c>
      <c r="O319">
        <f t="shared" si="148"/>
        <v>300</v>
      </c>
      <c r="P319">
        <f t="shared" si="170"/>
        <v>0</v>
      </c>
      <c r="Q319">
        <f t="shared" si="171"/>
        <v>2</v>
      </c>
      <c r="R319">
        <f t="shared" si="149"/>
        <v>300</v>
      </c>
      <c r="S319">
        <f t="shared" si="172"/>
        <v>0</v>
      </c>
      <c r="T319">
        <f t="shared" si="173"/>
        <v>-1</v>
      </c>
      <c r="U319">
        <f t="shared" si="162"/>
        <v>1</v>
      </c>
      <c r="V319">
        <f t="shared" si="163"/>
        <v>1</v>
      </c>
      <c r="W319">
        <f t="shared" si="150"/>
        <v>0</v>
      </c>
      <c r="X319">
        <f t="shared" si="174"/>
        <v>0</v>
      </c>
      <c r="Y319">
        <f t="shared" si="151"/>
        <v>0</v>
      </c>
      <c r="Z319">
        <f t="shared" si="152"/>
        <v>0</v>
      </c>
      <c r="AA319">
        <f t="shared" si="153"/>
        <v>0</v>
      </c>
      <c r="AB319" s="29">
        <f t="shared" si="154"/>
        <v>0</v>
      </c>
      <c r="AC319" s="25">
        <f t="shared" si="164"/>
        <v>0</v>
      </c>
      <c r="AD319" s="29">
        <f t="shared" si="155"/>
        <v>0</v>
      </c>
      <c r="AE319" s="25">
        <f t="shared" si="165"/>
        <v>0</v>
      </c>
      <c r="AF319" s="25">
        <f t="shared" si="156"/>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7"/>
        <v>-1</v>
      </c>
      <c r="B320">
        <f t="shared" si="166"/>
        <v>6</v>
      </c>
      <c r="C320">
        <f t="shared" si="144"/>
        <v>300</v>
      </c>
      <c r="D320">
        <f t="shared" si="158"/>
        <v>0</v>
      </c>
      <c r="E320">
        <f t="shared" si="178"/>
        <v>5</v>
      </c>
      <c r="F320">
        <f t="shared" si="145"/>
        <v>360</v>
      </c>
      <c r="G320">
        <f t="shared" si="159"/>
        <v>0</v>
      </c>
      <c r="H320">
        <f t="shared" si="167"/>
        <v>4</v>
      </c>
      <c r="I320">
        <f t="shared" si="146"/>
        <v>360</v>
      </c>
      <c r="J320">
        <f t="shared" si="160"/>
        <v>0</v>
      </c>
      <c r="K320">
        <f t="shared" si="168"/>
        <v>3</v>
      </c>
      <c r="L320">
        <f t="shared" si="147"/>
        <v>360</v>
      </c>
      <c r="M320">
        <f t="shared" si="161"/>
        <v>0</v>
      </c>
      <c r="N320">
        <f t="shared" si="169"/>
        <v>2</v>
      </c>
      <c r="O320">
        <f t="shared" si="148"/>
        <v>300</v>
      </c>
      <c r="P320">
        <f t="shared" si="170"/>
        <v>0</v>
      </c>
      <c r="Q320">
        <f t="shared" si="171"/>
        <v>2</v>
      </c>
      <c r="R320">
        <f t="shared" si="149"/>
        <v>300</v>
      </c>
      <c r="S320">
        <f t="shared" si="172"/>
        <v>0</v>
      </c>
      <c r="T320">
        <f t="shared" si="173"/>
        <v>-1</v>
      </c>
      <c r="U320">
        <f t="shared" si="162"/>
        <v>1</v>
      </c>
      <c r="V320">
        <f t="shared" si="163"/>
        <v>1</v>
      </c>
      <c r="W320">
        <f t="shared" si="150"/>
        <v>0</v>
      </c>
      <c r="X320">
        <f t="shared" si="174"/>
        <v>0</v>
      </c>
      <c r="Y320">
        <f t="shared" si="151"/>
        <v>0</v>
      </c>
      <c r="Z320">
        <f t="shared" si="152"/>
        <v>0</v>
      </c>
      <c r="AA320">
        <f t="shared" si="153"/>
        <v>0</v>
      </c>
      <c r="AB320" s="29">
        <f t="shared" si="154"/>
        <v>0</v>
      </c>
      <c r="AC320" s="25">
        <f t="shared" si="164"/>
        <v>0</v>
      </c>
      <c r="AD320" s="29">
        <f t="shared" si="155"/>
        <v>0</v>
      </c>
      <c r="AE320" s="25">
        <f t="shared" si="165"/>
        <v>0</v>
      </c>
      <c r="AF320" s="25">
        <f t="shared" si="156"/>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7"/>
        <v>-1</v>
      </c>
      <c r="B321">
        <f t="shared" si="166"/>
        <v>6</v>
      </c>
      <c r="C321">
        <f t="shared" si="144"/>
        <v>300</v>
      </c>
      <c r="D321">
        <f t="shared" si="158"/>
        <v>0</v>
      </c>
      <c r="E321">
        <f t="shared" si="178"/>
        <v>5</v>
      </c>
      <c r="F321">
        <f t="shared" si="145"/>
        <v>360</v>
      </c>
      <c r="G321">
        <f t="shared" si="159"/>
        <v>0</v>
      </c>
      <c r="H321">
        <f t="shared" si="167"/>
        <v>4</v>
      </c>
      <c r="I321">
        <f t="shared" si="146"/>
        <v>360</v>
      </c>
      <c r="J321">
        <f t="shared" si="160"/>
        <v>0</v>
      </c>
      <c r="K321">
        <f t="shared" si="168"/>
        <v>3</v>
      </c>
      <c r="L321">
        <f t="shared" si="147"/>
        <v>360</v>
      </c>
      <c r="M321">
        <f t="shared" si="161"/>
        <v>0</v>
      </c>
      <c r="N321">
        <f t="shared" si="169"/>
        <v>2</v>
      </c>
      <c r="O321">
        <f t="shared" si="148"/>
        <v>300</v>
      </c>
      <c r="P321">
        <f t="shared" si="170"/>
        <v>0</v>
      </c>
      <c r="Q321">
        <f t="shared" si="171"/>
        <v>2</v>
      </c>
      <c r="R321">
        <f t="shared" si="149"/>
        <v>300</v>
      </c>
      <c r="S321">
        <f t="shared" si="172"/>
        <v>0</v>
      </c>
      <c r="T321">
        <f t="shared" si="173"/>
        <v>-1</v>
      </c>
      <c r="U321">
        <f t="shared" si="162"/>
        <v>1</v>
      </c>
      <c r="V321">
        <f t="shared" si="163"/>
        <v>1</v>
      </c>
      <c r="W321">
        <f t="shared" si="150"/>
        <v>0</v>
      </c>
      <c r="X321">
        <f t="shared" si="174"/>
        <v>0</v>
      </c>
      <c r="Y321">
        <f t="shared" si="151"/>
        <v>0</v>
      </c>
      <c r="Z321">
        <f t="shared" si="152"/>
        <v>0</v>
      </c>
      <c r="AA321">
        <f t="shared" si="153"/>
        <v>0</v>
      </c>
      <c r="AB321" s="29">
        <f t="shared" si="154"/>
        <v>0</v>
      </c>
      <c r="AC321" s="25">
        <f t="shared" si="164"/>
        <v>0</v>
      </c>
      <c r="AD321" s="29">
        <f t="shared" si="155"/>
        <v>0</v>
      </c>
      <c r="AE321" s="25">
        <f t="shared" si="165"/>
        <v>0</v>
      </c>
      <c r="AF321" s="25">
        <f t="shared" si="156"/>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7"/>
        <v>-1</v>
      </c>
      <c r="B322">
        <f t="shared" si="166"/>
        <v>6</v>
      </c>
      <c r="C322">
        <f t="shared" si="144"/>
        <v>300</v>
      </c>
      <c r="D322">
        <f t="shared" si="158"/>
        <v>0</v>
      </c>
      <c r="E322">
        <f t="shared" si="178"/>
        <v>5</v>
      </c>
      <c r="F322">
        <f t="shared" si="145"/>
        <v>360</v>
      </c>
      <c r="G322">
        <f t="shared" si="159"/>
        <v>0</v>
      </c>
      <c r="H322">
        <f t="shared" si="167"/>
        <v>4</v>
      </c>
      <c r="I322">
        <f t="shared" si="146"/>
        <v>360</v>
      </c>
      <c r="J322">
        <f t="shared" si="160"/>
        <v>0</v>
      </c>
      <c r="K322">
        <f t="shared" si="168"/>
        <v>3</v>
      </c>
      <c r="L322">
        <f t="shared" si="147"/>
        <v>360</v>
      </c>
      <c r="M322">
        <f t="shared" si="161"/>
        <v>0</v>
      </c>
      <c r="N322">
        <f t="shared" si="169"/>
        <v>2</v>
      </c>
      <c r="O322">
        <f t="shared" si="148"/>
        <v>300</v>
      </c>
      <c r="P322">
        <f t="shared" si="170"/>
        <v>0</v>
      </c>
      <c r="Q322">
        <f t="shared" si="171"/>
        <v>2</v>
      </c>
      <c r="R322">
        <f t="shared" si="149"/>
        <v>300</v>
      </c>
      <c r="S322">
        <f t="shared" si="172"/>
        <v>0</v>
      </c>
      <c r="T322">
        <f t="shared" si="173"/>
        <v>-1</v>
      </c>
      <c r="U322">
        <f t="shared" si="162"/>
        <v>1</v>
      </c>
      <c r="V322">
        <f t="shared" si="163"/>
        <v>1</v>
      </c>
      <c r="W322">
        <f t="shared" si="150"/>
        <v>0</v>
      </c>
      <c r="X322">
        <f t="shared" si="174"/>
        <v>0</v>
      </c>
      <c r="Y322">
        <f t="shared" si="151"/>
        <v>0</v>
      </c>
      <c r="Z322">
        <f t="shared" si="152"/>
        <v>0</v>
      </c>
      <c r="AA322">
        <f t="shared" si="153"/>
        <v>0</v>
      </c>
      <c r="AB322" s="29">
        <f t="shared" si="154"/>
        <v>0</v>
      </c>
      <c r="AC322" s="25">
        <f t="shared" si="164"/>
        <v>0</v>
      </c>
      <c r="AD322" s="29">
        <f t="shared" si="155"/>
        <v>0</v>
      </c>
      <c r="AE322" s="25">
        <f t="shared" si="165"/>
        <v>0</v>
      </c>
      <c r="AF322" s="25">
        <f t="shared" si="156"/>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7"/>
        <v>-1</v>
      </c>
      <c r="B323">
        <f t="shared" si="166"/>
        <v>6</v>
      </c>
      <c r="C323">
        <f t="shared" ref="C323:C386" si="179">IF(AND(cdspec60,cdspec60plus),CHOOSE($B323,cdspec601,cdspec602,cdspec603,cdspec604,cdspec605,cdspec606,cdspec607,cdspec608,cdspec609,cdspec6010),($B323-1)*60+IF(cdspec60,cdspec601,0))</f>
        <v>300</v>
      </c>
      <c r="D323">
        <f t="shared" si="158"/>
        <v>0</v>
      </c>
      <c r="E323">
        <f t="shared" si="178"/>
        <v>5</v>
      </c>
      <c r="F323">
        <f t="shared" ref="F323:F386" si="180">IF(AND(cdspec90,cdspec90plus),CHOOSE(E323,cdspec901,cdspec902,cdspec903,cdspec904,cdspec905,cdspec906),(E323-1)*IF(cdtreat90as120,120,90)+IF(cdspec90,cdspec901,0))</f>
        <v>360</v>
      </c>
      <c r="G323">
        <f t="shared" si="159"/>
        <v>0</v>
      </c>
      <c r="H323">
        <f t="shared" si="167"/>
        <v>4</v>
      </c>
      <c r="I323">
        <f t="shared" ref="I323:I386" si="181">IF(AND(cdspec120,cdspec120plus),CHOOSE(H323,cdspec1201,cdspec1202,cdspec1203,cdspec1204,cdspec1205),(H323-1)*120+IF(cdspec120,cdspec1201,0))</f>
        <v>360</v>
      </c>
      <c r="J323">
        <f t="shared" si="160"/>
        <v>0</v>
      </c>
      <c r="K323">
        <f t="shared" si="168"/>
        <v>3</v>
      </c>
      <c r="L323">
        <f t="shared" ref="L323:L386" si="182">IF(AND(cdspec180,cdspec180plus),CHOOSE(K323,cdspec1801,cdspec1802,cdspec1803,cdspec1804),(K323-1)*IF(cdtreat180as240,240,180)+IF(cdspec180,cdspec1801,0))</f>
        <v>360</v>
      </c>
      <c r="M323">
        <f t="shared" si="161"/>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2"/>
        <v>1</v>
      </c>
      <c r="V323">
        <f t="shared" si="163"/>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si="164"/>
        <v>0</v>
      </c>
      <c r="AD323" s="29">
        <f t="shared" ref="AD323:AD386" si="190">IF($A323&lt;0,0,(1+$AC323/(hasterate*100))*(1+$AS$26/100*AND($J323&gt;0,$J323&lt;=$AT$26))*(1+$AS$35/100*AND($M323&gt;0,$M323&lt;=$AT$35))*(1+0.3*($X323&gt;0)))</f>
        <v>0</v>
      </c>
      <c r="AE323" s="25">
        <f t="shared" si="165"/>
        <v>0</v>
      </c>
      <c r="AF323" s="25">
        <f t="shared" ref="AF323:AF386" si="191">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2">IF(A323&lt;0,-1,IF(A323+1&gt;=time,-1,A323+1))</f>
        <v>-1</v>
      </c>
      <c r="B324">
        <f t="shared" si="166"/>
        <v>6</v>
      </c>
      <c r="C324">
        <f t="shared" si="179"/>
        <v>300</v>
      </c>
      <c r="D324">
        <f t="shared" ref="D324:D387" si="193">IF($A324=$C324,1,IF(AND($D323&gt;0,$D323&lt;30),$D323+1,0))</f>
        <v>0</v>
      </c>
      <c r="E324">
        <f t="shared" si="178"/>
        <v>5</v>
      </c>
      <c r="F324">
        <f t="shared" si="180"/>
        <v>360</v>
      </c>
      <c r="G324">
        <f t="shared" ref="G324:G387" si="194">IF($A324=F324,1,IF(AND(G323&gt;0,G323&lt;30),G323+1,0))</f>
        <v>0</v>
      </c>
      <c r="H324">
        <f t="shared" si="167"/>
        <v>4</v>
      </c>
      <c r="I324">
        <f t="shared" si="181"/>
        <v>360</v>
      </c>
      <c r="J324">
        <f t="shared" ref="J324:J387" si="195">IF($A324=I324,1,IF(AND(J323&gt;0,J323&lt;30),J323+1,0))</f>
        <v>0</v>
      </c>
      <c r="K324">
        <f t="shared" si="168"/>
        <v>3</v>
      </c>
      <c r="L324">
        <f t="shared" si="182"/>
        <v>360</v>
      </c>
      <c r="M324">
        <f t="shared" ref="M324:M387" si="196">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7">IF($A324=T324,1,IF(AND(U323&gt;0,U323&lt;$AT$3),U323+1,0))</f>
        <v>1</v>
      </c>
      <c r="V324">
        <f t="shared" ref="V324:V387" si="198">MIN(IF(X323=1,V323+1,V323),blustcount)</f>
        <v>1</v>
      </c>
      <c r="W324">
        <f t="shared" si="185"/>
        <v>0</v>
      </c>
      <c r="X324">
        <f t="shared" si="174"/>
        <v>0</v>
      </c>
      <c r="Y324">
        <f t="shared" si="186"/>
        <v>0</v>
      </c>
      <c r="Z324">
        <f t="shared" si="187"/>
        <v>0</v>
      </c>
      <c r="AA324">
        <f t="shared" si="188"/>
        <v>0</v>
      </c>
      <c r="AB324" s="29">
        <f t="shared" si="189"/>
        <v>0</v>
      </c>
      <c r="AC324" s="25">
        <f t="shared" ref="AC324:AC387" si="199">IF($A324&lt;0,0,$AN$43+IF($J324=0, 0, $AR$15*($J324&lt;=$AT$15)+$AR$22*($J324&lt;=$AT$22)+$AR$28*($J324&lt;=$AT$28)+$AR$29*($J324&lt;=$AT$29)-IF($AW$14, $AR$3*($J324&lt;=$AT$3)))+IF($U324=0,0,$AR$3))</f>
        <v>0</v>
      </c>
      <c r="AD324" s="29">
        <f t="shared" si="190"/>
        <v>0</v>
      </c>
      <c r="AE324" s="25">
        <f t="shared" ref="AE324:AE387" si="200">IF($A324&lt;0,0,$AN$45+IF($P324&gt;0,$AN$37*$AL$37,0)+$S324*(60-IF(CharLevel&gt;60,(CharLevel-60)*2,0))*$AL$38+IF($J324=1,$AL$26*-25+IF($AL$39, 30, 0),0)+IF($M324=1,$AL$35*-10,0)+IF(AE323&gt;instcost,AE323-instcost,0))</f>
        <v>0</v>
      </c>
      <c r="AF324" s="25">
        <f t="shared" si="191"/>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2"/>
        <v>-1</v>
      </c>
      <c r="B325">
        <f t="shared" ref="B325:B388" si="201">MIN(IF(D324=1,B324+1,B324),10)</f>
        <v>6</v>
      </c>
      <c r="C325">
        <f t="shared" si="179"/>
        <v>300</v>
      </c>
      <c r="D325">
        <f t="shared" si="193"/>
        <v>0</v>
      </c>
      <c r="E325">
        <f t="shared" si="178"/>
        <v>5</v>
      </c>
      <c r="F325">
        <f t="shared" si="180"/>
        <v>360</v>
      </c>
      <c r="G325">
        <f t="shared" si="194"/>
        <v>0</v>
      </c>
      <c r="H325">
        <f t="shared" ref="H325:H388" si="202">MIN(IF(J324=1,H324+1,H324),5)</f>
        <v>4</v>
      </c>
      <c r="I325">
        <f t="shared" si="181"/>
        <v>360</v>
      </c>
      <c r="J325">
        <f t="shared" si="195"/>
        <v>0</v>
      </c>
      <c r="K325">
        <f t="shared" ref="K325:K388" si="203">MIN(IF(M324=1,K324+1,K324),4)</f>
        <v>3</v>
      </c>
      <c r="L325">
        <f t="shared" si="182"/>
        <v>360</v>
      </c>
      <c r="M325">
        <f t="shared" si="196"/>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7"/>
        <v>1</v>
      </c>
      <c r="V325">
        <f t="shared" si="198"/>
        <v>1</v>
      </c>
      <c r="W325">
        <f t="shared" si="185"/>
        <v>0</v>
      </c>
      <c r="X325">
        <f t="shared" ref="X325:X388" si="209">IF($A325=W325,1,IF(AND(X324&gt;0,X324&lt;40),X324+1,0))</f>
        <v>0</v>
      </c>
      <c r="Y325">
        <f t="shared" si="186"/>
        <v>0</v>
      </c>
      <c r="Z325">
        <f t="shared" si="187"/>
        <v>0</v>
      </c>
      <c r="AA325">
        <f t="shared" si="188"/>
        <v>0</v>
      </c>
      <c r="AB325" s="29">
        <f t="shared" si="189"/>
        <v>0</v>
      </c>
      <c r="AC325" s="25">
        <f t="shared" si="199"/>
        <v>0</v>
      </c>
      <c r="AD325" s="29">
        <f t="shared" si="190"/>
        <v>0</v>
      </c>
      <c r="AE325" s="25">
        <f t="shared" si="200"/>
        <v>0</v>
      </c>
      <c r="AF325" s="25">
        <f t="shared" si="191"/>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2"/>
        <v>-1</v>
      </c>
      <c r="B326">
        <f t="shared" si="201"/>
        <v>6</v>
      </c>
      <c r="C326">
        <f t="shared" si="179"/>
        <v>300</v>
      </c>
      <c r="D326">
        <f t="shared" si="193"/>
        <v>0</v>
      </c>
      <c r="E326">
        <f t="shared" ref="E326:E389" si="213">MIN(IF(G325=1,E325+1,E325),6)</f>
        <v>5</v>
      </c>
      <c r="F326">
        <f t="shared" si="180"/>
        <v>360</v>
      </c>
      <c r="G326">
        <f t="shared" si="194"/>
        <v>0</v>
      </c>
      <c r="H326">
        <f t="shared" si="202"/>
        <v>4</v>
      </c>
      <c r="I326">
        <f t="shared" si="181"/>
        <v>360</v>
      </c>
      <c r="J326">
        <f t="shared" si="195"/>
        <v>0</v>
      </c>
      <c r="K326">
        <f t="shared" si="203"/>
        <v>3</v>
      </c>
      <c r="L326">
        <f t="shared" si="182"/>
        <v>360</v>
      </c>
      <c r="M326">
        <f t="shared" si="196"/>
        <v>0</v>
      </c>
      <c r="N326">
        <f t="shared" si="204"/>
        <v>2</v>
      </c>
      <c r="O326">
        <f t="shared" si="183"/>
        <v>300</v>
      </c>
      <c r="P326">
        <f t="shared" si="205"/>
        <v>0</v>
      </c>
      <c r="Q326">
        <f t="shared" si="206"/>
        <v>2</v>
      </c>
      <c r="R326">
        <f t="shared" si="184"/>
        <v>300</v>
      </c>
      <c r="S326">
        <f t="shared" si="207"/>
        <v>0</v>
      </c>
      <c r="T326">
        <f t="shared" si="208"/>
        <v>-1</v>
      </c>
      <c r="U326">
        <f t="shared" si="197"/>
        <v>1</v>
      </c>
      <c r="V326">
        <f t="shared" si="198"/>
        <v>1</v>
      </c>
      <c r="W326">
        <f t="shared" si="185"/>
        <v>0</v>
      </c>
      <c r="X326">
        <f t="shared" si="209"/>
        <v>0</v>
      </c>
      <c r="Y326">
        <f t="shared" si="186"/>
        <v>0</v>
      </c>
      <c r="Z326">
        <f t="shared" si="187"/>
        <v>0</v>
      </c>
      <c r="AA326">
        <f t="shared" si="188"/>
        <v>0</v>
      </c>
      <c r="AB326" s="29">
        <f t="shared" si="189"/>
        <v>0</v>
      </c>
      <c r="AC326" s="25">
        <f t="shared" si="199"/>
        <v>0</v>
      </c>
      <c r="AD326" s="29">
        <f t="shared" si="190"/>
        <v>0</v>
      </c>
      <c r="AE326" s="25">
        <f t="shared" si="200"/>
        <v>0</v>
      </c>
      <c r="AF326" s="25">
        <f t="shared" si="191"/>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2"/>
        <v>-1</v>
      </c>
      <c r="B327">
        <f t="shared" si="201"/>
        <v>6</v>
      </c>
      <c r="C327">
        <f t="shared" si="179"/>
        <v>300</v>
      </c>
      <c r="D327">
        <f t="shared" si="193"/>
        <v>0</v>
      </c>
      <c r="E327">
        <f t="shared" si="213"/>
        <v>5</v>
      </c>
      <c r="F327">
        <f t="shared" si="180"/>
        <v>360</v>
      </c>
      <c r="G327">
        <f t="shared" si="194"/>
        <v>0</v>
      </c>
      <c r="H327">
        <f t="shared" si="202"/>
        <v>4</v>
      </c>
      <c r="I327">
        <f t="shared" si="181"/>
        <v>360</v>
      </c>
      <c r="J327">
        <f t="shared" si="195"/>
        <v>0</v>
      </c>
      <c r="K327">
        <f t="shared" si="203"/>
        <v>3</v>
      </c>
      <c r="L327">
        <f t="shared" si="182"/>
        <v>360</v>
      </c>
      <c r="M327">
        <f t="shared" si="196"/>
        <v>0</v>
      </c>
      <c r="N327">
        <f t="shared" si="204"/>
        <v>2</v>
      </c>
      <c r="O327">
        <f t="shared" si="183"/>
        <v>300</v>
      </c>
      <c r="P327">
        <f t="shared" si="205"/>
        <v>0</v>
      </c>
      <c r="Q327">
        <f t="shared" si="206"/>
        <v>2</v>
      </c>
      <c r="R327">
        <f t="shared" si="184"/>
        <v>300</v>
      </c>
      <c r="S327">
        <f t="shared" si="207"/>
        <v>0</v>
      </c>
      <c r="T327">
        <f t="shared" si="208"/>
        <v>-1</v>
      </c>
      <c r="U327">
        <f t="shared" si="197"/>
        <v>1</v>
      </c>
      <c r="V327">
        <f t="shared" si="198"/>
        <v>1</v>
      </c>
      <c r="W327">
        <f t="shared" si="185"/>
        <v>0</v>
      </c>
      <c r="X327">
        <f t="shared" si="209"/>
        <v>0</v>
      </c>
      <c r="Y327">
        <f t="shared" si="186"/>
        <v>0</v>
      </c>
      <c r="Z327">
        <f t="shared" si="187"/>
        <v>0</v>
      </c>
      <c r="AA327">
        <f t="shared" si="188"/>
        <v>0</v>
      </c>
      <c r="AB327" s="29">
        <f t="shared" si="189"/>
        <v>0</v>
      </c>
      <c r="AC327" s="25">
        <f t="shared" si="199"/>
        <v>0</v>
      </c>
      <c r="AD327" s="29">
        <f t="shared" si="190"/>
        <v>0</v>
      </c>
      <c r="AE327" s="25">
        <f t="shared" si="200"/>
        <v>0</v>
      </c>
      <c r="AF327" s="25">
        <f t="shared" si="191"/>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2"/>
        <v>-1</v>
      </c>
      <c r="B328">
        <f t="shared" si="201"/>
        <v>6</v>
      </c>
      <c r="C328">
        <f t="shared" si="179"/>
        <v>300</v>
      </c>
      <c r="D328">
        <f t="shared" si="193"/>
        <v>0</v>
      </c>
      <c r="E328">
        <f t="shared" si="213"/>
        <v>5</v>
      </c>
      <c r="F328">
        <f t="shared" si="180"/>
        <v>360</v>
      </c>
      <c r="G328">
        <f t="shared" si="194"/>
        <v>0</v>
      </c>
      <c r="H328">
        <f t="shared" si="202"/>
        <v>4</v>
      </c>
      <c r="I328">
        <f t="shared" si="181"/>
        <v>360</v>
      </c>
      <c r="J328">
        <f t="shared" si="195"/>
        <v>0</v>
      </c>
      <c r="K328">
        <f t="shared" si="203"/>
        <v>3</v>
      </c>
      <c r="L328">
        <f t="shared" si="182"/>
        <v>360</v>
      </c>
      <c r="M328">
        <f t="shared" si="196"/>
        <v>0</v>
      </c>
      <c r="N328">
        <f t="shared" si="204"/>
        <v>2</v>
      </c>
      <c r="O328">
        <f t="shared" si="183"/>
        <v>300</v>
      </c>
      <c r="P328">
        <f t="shared" si="205"/>
        <v>0</v>
      </c>
      <c r="Q328">
        <f t="shared" si="206"/>
        <v>2</v>
      </c>
      <c r="R328">
        <f t="shared" si="184"/>
        <v>300</v>
      </c>
      <c r="S328">
        <f t="shared" si="207"/>
        <v>0</v>
      </c>
      <c r="T328">
        <f t="shared" si="208"/>
        <v>-1</v>
      </c>
      <c r="U328">
        <f t="shared" si="197"/>
        <v>1</v>
      </c>
      <c r="V328">
        <f t="shared" si="198"/>
        <v>1</v>
      </c>
      <c r="W328">
        <f t="shared" si="185"/>
        <v>0</v>
      </c>
      <c r="X328">
        <f t="shared" si="209"/>
        <v>0</v>
      </c>
      <c r="Y328">
        <f t="shared" si="186"/>
        <v>0</v>
      </c>
      <c r="Z328">
        <f t="shared" si="187"/>
        <v>0</v>
      </c>
      <c r="AA328">
        <f t="shared" si="188"/>
        <v>0</v>
      </c>
      <c r="AB328" s="29">
        <f t="shared" si="189"/>
        <v>0</v>
      </c>
      <c r="AC328" s="25">
        <f t="shared" si="199"/>
        <v>0</v>
      </c>
      <c r="AD328" s="29">
        <f t="shared" si="190"/>
        <v>0</v>
      </c>
      <c r="AE328" s="25">
        <f t="shared" si="200"/>
        <v>0</v>
      </c>
      <c r="AF328" s="25">
        <f t="shared" si="191"/>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2"/>
        <v>-1</v>
      </c>
      <c r="B329">
        <f t="shared" si="201"/>
        <v>6</v>
      </c>
      <c r="C329">
        <f t="shared" si="179"/>
        <v>300</v>
      </c>
      <c r="D329">
        <f t="shared" si="193"/>
        <v>0</v>
      </c>
      <c r="E329">
        <f t="shared" si="213"/>
        <v>5</v>
      </c>
      <c r="F329">
        <f t="shared" si="180"/>
        <v>360</v>
      </c>
      <c r="G329">
        <f t="shared" si="194"/>
        <v>0</v>
      </c>
      <c r="H329">
        <f t="shared" si="202"/>
        <v>4</v>
      </c>
      <c r="I329">
        <f t="shared" si="181"/>
        <v>360</v>
      </c>
      <c r="J329">
        <f t="shared" si="195"/>
        <v>0</v>
      </c>
      <c r="K329">
        <f t="shared" si="203"/>
        <v>3</v>
      </c>
      <c r="L329">
        <f t="shared" si="182"/>
        <v>360</v>
      </c>
      <c r="M329">
        <f t="shared" si="196"/>
        <v>0</v>
      </c>
      <c r="N329">
        <f t="shared" si="204"/>
        <v>2</v>
      </c>
      <c r="O329">
        <f t="shared" si="183"/>
        <v>300</v>
      </c>
      <c r="P329">
        <f t="shared" si="205"/>
        <v>0</v>
      </c>
      <c r="Q329">
        <f t="shared" si="206"/>
        <v>2</v>
      </c>
      <c r="R329">
        <f t="shared" si="184"/>
        <v>300</v>
      </c>
      <c r="S329">
        <f t="shared" si="207"/>
        <v>0</v>
      </c>
      <c r="T329">
        <f t="shared" si="208"/>
        <v>-1</v>
      </c>
      <c r="U329">
        <f t="shared" si="197"/>
        <v>1</v>
      </c>
      <c r="V329">
        <f t="shared" si="198"/>
        <v>1</v>
      </c>
      <c r="W329">
        <f t="shared" si="185"/>
        <v>0</v>
      </c>
      <c r="X329">
        <f t="shared" si="209"/>
        <v>0</v>
      </c>
      <c r="Y329">
        <f t="shared" si="186"/>
        <v>0</v>
      </c>
      <c r="Z329">
        <f t="shared" si="187"/>
        <v>0</v>
      </c>
      <c r="AA329">
        <f t="shared" si="188"/>
        <v>0</v>
      </c>
      <c r="AB329" s="29">
        <f t="shared" si="189"/>
        <v>0</v>
      </c>
      <c r="AC329" s="25">
        <f t="shared" si="199"/>
        <v>0</v>
      </c>
      <c r="AD329" s="29">
        <f t="shared" si="190"/>
        <v>0</v>
      </c>
      <c r="AE329" s="25">
        <f t="shared" si="200"/>
        <v>0</v>
      </c>
      <c r="AF329" s="25">
        <f t="shared" si="191"/>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2"/>
        <v>-1</v>
      </c>
      <c r="B330">
        <f t="shared" si="201"/>
        <v>6</v>
      </c>
      <c r="C330">
        <f t="shared" si="179"/>
        <v>300</v>
      </c>
      <c r="D330">
        <f t="shared" si="193"/>
        <v>0</v>
      </c>
      <c r="E330">
        <f t="shared" si="213"/>
        <v>5</v>
      </c>
      <c r="F330">
        <f t="shared" si="180"/>
        <v>360</v>
      </c>
      <c r="G330">
        <f t="shared" si="194"/>
        <v>0</v>
      </c>
      <c r="H330">
        <f t="shared" si="202"/>
        <v>4</v>
      </c>
      <c r="I330">
        <f t="shared" si="181"/>
        <v>360</v>
      </c>
      <c r="J330">
        <f t="shared" si="195"/>
        <v>0</v>
      </c>
      <c r="K330">
        <f t="shared" si="203"/>
        <v>3</v>
      </c>
      <c r="L330">
        <f t="shared" si="182"/>
        <v>360</v>
      </c>
      <c r="M330">
        <f t="shared" si="196"/>
        <v>0</v>
      </c>
      <c r="N330">
        <f t="shared" si="204"/>
        <v>2</v>
      </c>
      <c r="O330">
        <f t="shared" si="183"/>
        <v>300</v>
      </c>
      <c r="P330">
        <f t="shared" si="205"/>
        <v>0</v>
      </c>
      <c r="Q330">
        <f t="shared" si="206"/>
        <v>2</v>
      </c>
      <c r="R330">
        <f t="shared" si="184"/>
        <v>300</v>
      </c>
      <c r="S330">
        <f t="shared" si="207"/>
        <v>0</v>
      </c>
      <c r="T330">
        <f t="shared" si="208"/>
        <v>-1</v>
      </c>
      <c r="U330">
        <f t="shared" si="197"/>
        <v>1</v>
      </c>
      <c r="V330">
        <f t="shared" si="198"/>
        <v>1</v>
      </c>
      <c r="W330">
        <f t="shared" si="185"/>
        <v>0</v>
      </c>
      <c r="X330">
        <f t="shared" si="209"/>
        <v>0</v>
      </c>
      <c r="Y330">
        <f t="shared" si="186"/>
        <v>0</v>
      </c>
      <c r="Z330">
        <f t="shared" si="187"/>
        <v>0</v>
      </c>
      <c r="AA330">
        <f t="shared" si="188"/>
        <v>0</v>
      </c>
      <c r="AB330" s="29">
        <f t="shared" si="189"/>
        <v>0</v>
      </c>
      <c r="AC330" s="25">
        <f t="shared" si="199"/>
        <v>0</v>
      </c>
      <c r="AD330" s="29">
        <f t="shared" si="190"/>
        <v>0</v>
      </c>
      <c r="AE330" s="25">
        <f t="shared" si="200"/>
        <v>0</v>
      </c>
      <c r="AF330" s="25">
        <f t="shared" si="191"/>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2"/>
        <v>-1</v>
      </c>
      <c r="B331">
        <f t="shared" si="201"/>
        <v>6</v>
      </c>
      <c r="C331">
        <f t="shared" si="179"/>
        <v>300</v>
      </c>
      <c r="D331">
        <f t="shared" si="193"/>
        <v>0</v>
      </c>
      <c r="E331">
        <f t="shared" si="213"/>
        <v>5</v>
      </c>
      <c r="F331">
        <f t="shared" si="180"/>
        <v>360</v>
      </c>
      <c r="G331">
        <f t="shared" si="194"/>
        <v>0</v>
      </c>
      <c r="H331">
        <f t="shared" si="202"/>
        <v>4</v>
      </c>
      <c r="I331">
        <f t="shared" si="181"/>
        <v>360</v>
      </c>
      <c r="J331">
        <f t="shared" si="195"/>
        <v>0</v>
      </c>
      <c r="K331">
        <f t="shared" si="203"/>
        <v>3</v>
      </c>
      <c r="L331">
        <f t="shared" si="182"/>
        <v>360</v>
      </c>
      <c r="M331">
        <f t="shared" si="196"/>
        <v>0</v>
      </c>
      <c r="N331">
        <f t="shared" si="204"/>
        <v>2</v>
      </c>
      <c r="O331">
        <f t="shared" si="183"/>
        <v>300</v>
      </c>
      <c r="P331">
        <f t="shared" si="205"/>
        <v>0</v>
      </c>
      <c r="Q331">
        <f t="shared" si="206"/>
        <v>2</v>
      </c>
      <c r="R331">
        <f t="shared" si="184"/>
        <v>300</v>
      </c>
      <c r="S331">
        <f t="shared" si="207"/>
        <v>0</v>
      </c>
      <c r="T331">
        <f t="shared" si="208"/>
        <v>-1</v>
      </c>
      <c r="U331">
        <f t="shared" si="197"/>
        <v>1</v>
      </c>
      <c r="V331">
        <f t="shared" si="198"/>
        <v>1</v>
      </c>
      <c r="W331">
        <f t="shared" si="185"/>
        <v>0</v>
      </c>
      <c r="X331">
        <f t="shared" si="209"/>
        <v>0</v>
      </c>
      <c r="Y331">
        <f t="shared" si="186"/>
        <v>0</v>
      </c>
      <c r="Z331">
        <f t="shared" si="187"/>
        <v>0</v>
      </c>
      <c r="AA331">
        <f t="shared" si="188"/>
        <v>0</v>
      </c>
      <c r="AB331" s="29">
        <f t="shared" si="189"/>
        <v>0</v>
      </c>
      <c r="AC331" s="25">
        <f t="shared" si="199"/>
        <v>0</v>
      </c>
      <c r="AD331" s="29">
        <f t="shared" si="190"/>
        <v>0</v>
      </c>
      <c r="AE331" s="25">
        <f t="shared" si="200"/>
        <v>0</v>
      </c>
      <c r="AF331" s="25">
        <f t="shared" si="191"/>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2"/>
        <v>-1</v>
      </c>
      <c r="B332">
        <f t="shared" si="201"/>
        <v>6</v>
      </c>
      <c r="C332">
        <f t="shared" si="179"/>
        <v>300</v>
      </c>
      <c r="D332">
        <f t="shared" si="193"/>
        <v>0</v>
      </c>
      <c r="E332">
        <f t="shared" si="213"/>
        <v>5</v>
      </c>
      <c r="F332">
        <f t="shared" si="180"/>
        <v>360</v>
      </c>
      <c r="G332">
        <f t="shared" si="194"/>
        <v>0</v>
      </c>
      <c r="H332">
        <f t="shared" si="202"/>
        <v>4</v>
      </c>
      <c r="I332">
        <f t="shared" si="181"/>
        <v>360</v>
      </c>
      <c r="J332">
        <f t="shared" si="195"/>
        <v>0</v>
      </c>
      <c r="K332">
        <f t="shared" si="203"/>
        <v>3</v>
      </c>
      <c r="L332">
        <f t="shared" si="182"/>
        <v>360</v>
      </c>
      <c r="M332">
        <f t="shared" si="196"/>
        <v>0</v>
      </c>
      <c r="N332">
        <f t="shared" si="204"/>
        <v>2</v>
      </c>
      <c r="O332">
        <f t="shared" si="183"/>
        <v>300</v>
      </c>
      <c r="P332">
        <f t="shared" si="205"/>
        <v>0</v>
      </c>
      <c r="Q332">
        <f t="shared" si="206"/>
        <v>2</v>
      </c>
      <c r="R332">
        <f t="shared" si="184"/>
        <v>300</v>
      </c>
      <c r="S332">
        <f t="shared" si="207"/>
        <v>0</v>
      </c>
      <c r="T332">
        <f t="shared" si="208"/>
        <v>-1</v>
      </c>
      <c r="U332">
        <f t="shared" si="197"/>
        <v>1</v>
      </c>
      <c r="V332">
        <f t="shared" si="198"/>
        <v>1</v>
      </c>
      <c r="W332">
        <f t="shared" si="185"/>
        <v>0</v>
      </c>
      <c r="X332">
        <f t="shared" si="209"/>
        <v>0</v>
      </c>
      <c r="Y332">
        <f t="shared" si="186"/>
        <v>0</v>
      </c>
      <c r="Z332">
        <f t="shared" si="187"/>
        <v>0</v>
      </c>
      <c r="AA332">
        <f t="shared" si="188"/>
        <v>0</v>
      </c>
      <c r="AB332" s="29">
        <f t="shared" si="189"/>
        <v>0</v>
      </c>
      <c r="AC332" s="25">
        <f t="shared" si="199"/>
        <v>0</v>
      </c>
      <c r="AD332" s="29">
        <f t="shared" si="190"/>
        <v>0</v>
      </c>
      <c r="AE332" s="25">
        <f t="shared" si="200"/>
        <v>0</v>
      </c>
      <c r="AF332" s="25">
        <f t="shared" si="191"/>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2"/>
        <v>-1</v>
      </c>
      <c r="B333">
        <f t="shared" si="201"/>
        <v>6</v>
      </c>
      <c r="C333">
        <f t="shared" si="179"/>
        <v>300</v>
      </c>
      <c r="D333">
        <f t="shared" si="193"/>
        <v>0</v>
      </c>
      <c r="E333">
        <f t="shared" si="213"/>
        <v>5</v>
      </c>
      <c r="F333">
        <f t="shared" si="180"/>
        <v>360</v>
      </c>
      <c r="G333">
        <f t="shared" si="194"/>
        <v>0</v>
      </c>
      <c r="H333">
        <f t="shared" si="202"/>
        <v>4</v>
      </c>
      <c r="I333">
        <f t="shared" si="181"/>
        <v>360</v>
      </c>
      <c r="J333">
        <f t="shared" si="195"/>
        <v>0</v>
      </c>
      <c r="K333">
        <f t="shared" si="203"/>
        <v>3</v>
      </c>
      <c r="L333">
        <f t="shared" si="182"/>
        <v>360</v>
      </c>
      <c r="M333">
        <f t="shared" si="196"/>
        <v>0</v>
      </c>
      <c r="N333">
        <f t="shared" si="204"/>
        <v>2</v>
      </c>
      <c r="O333">
        <f t="shared" si="183"/>
        <v>300</v>
      </c>
      <c r="P333">
        <f t="shared" si="205"/>
        <v>0</v>
      </c>
      <c r="Q333">
        <f t="shared" si="206"/>
        <v>2</v>
      </c>
      <c r="R333">
        <f t="shared" si="184"/>
        <v>300</v>
      </c>
      <c r="S333">
        <f t="shared" si="207"/>
        <v>0</v>
      </c>
      <c r="T333">
        <f t="shared" si="208"/>
        <v>-1</v>
      </c>
      <c r="U333">
        <f t="shared" si="197"/>
        <v>1</v>
      </c>
      <c r="V333">
        <f t="shared" si="198"/>
        <v>1</v>
      </c>
      <c r="W333">
        <f t="shared" si="185"/>
        <v>0</v>
      </c>
      <c r="X333">
        <f t="shared" si="209"/>
        <v>0</v>
      </c>
      <c r="Y333">
        <f t="shared" si="186"/>
        <v>0</v>
      </c>
      <c r="Z333">
        <f t="shared" si="187"/>
        <v>0</v>
      </c>
      <c r="AA333">
        <f t="shared" si="188"/>
        <v>0</v>
      </c>
      <c r="AB333" s="29">
        <f t="shared" si="189"/>
        <v>0</v>
      </c>
      <c r="AC333" s="25">
        <f t="shared" si="199"/>
        <v>0</v>
      </c>
      <c r="AD333" s="29">
        <f t="shared" si="190"/>
        <v>0</v>
      </c>
      <c r="AE333" s="25">
        <f t="shared" si="200"/>
        <v>0</v>
      </c>
      <c r="AF333" s="25">
        <f t="shared" si="191"/>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2"/>
        <v>-1</v>
      </c>
      <c r="B334">
        <f t="shared" si="201"/>
        <v>6</v>
      </c>
      <c r="C334">
        <f t="shared" si="179"/>
        <v>300</v>
      </c>
      <c r="D334">
        <f t="shared" si="193"/>
        <v>0</v>
      </c>
      <c r="E334">
        <f t="shared" si="213"/>
        <v>5</v>
      </c>
      <c r="F334">
        <f t="shared" si="180"/>
        <v>360</v>
      </c>
      <c r="G334">
        <f t="shared" si="194"/>
        <v>0</v>
      </c>
      <c r="H334">
        <f t="shared" si="202"/>
        <v>4</v>
      </c>
      <c r="I334">
        <f t="shared" si="181"/>
        <v>360</v>
      </c>
      <c r="J334">
        <f t="shared" si="195"/>
        <v>0</v>
      </c>
      <c r="K334">
        <f t="shared" si="203"/>
        <v>3</v>
      </c>
      <c r="L334">
        <f t="shared" si="182"/>
        <v>360</v>
      </c>
      <c r="M334">
        <f t="shared" si="196"/>
        <v>0</v>
      </c>
      <c r="N334">
        <f t="shared" si="204"/>
        <v>2</v>
      </c>
      <c r="O334">
        <f t="shared" si="183"/>
        <v>300</v>
      </c>
      <c r="P334">
        <f t="shared" si="205"/>
        <v>0</v>
      </c>
      <c r="Q334">
        <f t="shared" si="206"/>
        <v>2</v>
      </c>
      <c r="R334">
        <f t="shared" si="184"/>
        <v>300</v>
      </c>
      <c r="S334">
        <f t="shared" si="207"/>
        <v>0</v>
      </c>
      <c r="T334">
        <f t="shared" si="208"/>
        <v>-1</v>
      </c>
      <c r="U334">
        <f t="shared" si="197"/>
        <v>1</v>
      </c>
      <c r="V334">
        <f t="shared" si="198"/>
        <v>1</v>
      </c>
      <c r="W334">
        <f t="shared" si="185"/>
        <v>0</v>
      </c>
      <c r="X334">
        <f t="shared" si="209"/>
        <v>0</v>
      </c>
      <c r="Y334">
        <f t="shared" si="186"/>
        <v>0</v>
      </c>
      <c r="Z334">
        <f t="shared" si="187"/>
        <v>0</v>
      </c>
      <c r="AA334">
        <f t="shared" si="188"/>
        <v>0</v>
      </c>
      <c r="AB334" s="29">
        <f t="shared" si="189"/>
        <v>0</v>
      </c>
      <c r="AC334" s="25">
        <f t="shared" si="199"/>
        <v>0</v>
      </c>
      <c r="AD334" s="29">
        <f t="shared" si="190"/>
        <v>0</v>
      </c>
      <c r="AE334" s="25">
        <f t="shared" si="200"/>
        <v>0</v>
      </c>
      <c r="AF334" s="25">
        <f t="shared" si="191"/>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2"/>
        <v>-1</v>
      </c>
      <c r="B335">
        <f t="shared" si="201"/>
        <v>6</v>
      </c>
      <c r="C335">
        <f t="shared" si="179"/>
        <v>300</v>
      </c>
      <c r="D335">
        <f t="shared" si="193"/>
        <v>0</v>
      </c>
      <c r="E335">
        <f t="shared" si="213"/>
        <v>5</v>
      </c>
      <c r="F335">
        <f t="shared" si="180"/>
        <v>360</v>
      </c>
      <c r="G335">
        <f t="shared" si="194"/>
        <v>0</v>
      </c>
      <c r="H335">
        <f t="shared" si="202"/>
        <v>4</v>
      </c>
      <c r="I335">
        <f t="shared" si="181"/>
        <v>360</v>
      </c>
      <c r="J335">
        <f t="shared" si="195"/>
        <v>0</v>
      </c>
      <c r="K335">
        <f t="shared" si="203"/>
        <v>3</v>
      </c>
      <c r="L335">
        <f t="shared" si="182"/>
        <v>360</v>
      </c>
      <c r="M335">
        <f t="shared" si="196"/>
        <v>0</v>
      </c>
      <c r="N335">
        <f t="shared" si="204"/>
        <v>2</v>
      </c>
      <c r="O335">
        <f t="shared" si="183"/>
        <v>300</v>
      </c>
      <c r="P335">
        <f t="shared" si="205"/>
        <v>0</v>
      </c>
      <c r="Q335">
        <f t="shared" si="206"/>
        <v>2</v>
      </c>
      <c r="R335">
        <f t="shared" si="184"/>
        <v>300</v>
      </c>
      <c r="S335">
        <f t="shared" si="207"/>
        <v>0</v>
      </c>
      <c r="T335">
        <f t="shared" si="208"/>
        <v>-1</v>
      </c>
      <c r="U335">
        <f t="shared" si="197"/>
        <v>1</v>
      </c>
      <c r="V335">
        <f t="shared" si="198"/>
        <v>1</v>
      </c>
      <c r="W335">
        <f t="shared" si="185"/>
        <v>0</v>
      </c>
      <c r="X335">
        <f t="shared" si="209"/>
        <v>0</v>
      </c>
      <c r="Y335">
        <f t="shared" si="186"/>
        <v>0</v>
      </c>
      <c r="Z335">
        <f t="shared" si="187"/>
        <v>0</v>
      </c>
      <c r="AA335">
        <f t="shared" si="188"/>
        <v>0</v>
      </c>
      <c r="AB335" s="29">
        <f t="shared" si="189"/>
        <v>0</v>
      </c>
      <c r="AC335" s="25">
        <f t="shared" si="199"/>
        <v>0</v>
      </c>
      <c r="AD335" s="29">
        <f t="shared" si="190"/>
        <v>0</v>
      </c>
      <c r="AE335" s="25">
        <f t="shared" si="200"/>
        <v>0</v>
      </c>
      <c r="AF335" s="25">
        <f t="shared" si="191"/>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2"/>
        <v>-1</v>
      </c>
      <c r="B336">
        <f t="shared" si="201"/>
        <v>6</v>
      </c>
      <c r="C336">
        <f t="shared" si="179"/>
        <v>300</v>
      </c>
      <c r="D336">
        <f t="shared" si="193"/>
        <v>0</v>
      </c>
      <c r="E336">
        <f t="shared" si="213"/>
        <v>5</v>
      </c>
      <c r="F336">
        <f t="shared" si="180"/>
        <v>360</v>
      </c>
      <c r="G336">
        <f t="shared" si="194"/>
        <v>0</v>
      </c>
      <c r="H336">
        <f t="shared" si="202"/>
        <v>4</v>
      </c>
      <c r="I336">
        <f t="shared" si="181"/>
        <v>360</v>
      </c>
      <c r="J336">
        <f t="shared" si="195"/>
        <v>0</v>
      </c>
      <c r="K336">
        <f t="shared" si="203"/>
        <v>3</v>
      </c>
      <c r="L336">
        <f t="shared" si="182"/>
        <v>360</v>
      </c>
      <c r="M336">
        <f t="shared" si="196"/>
        <v>0</v>
      </c>
      <c r="N336">
        <f t="shared" si="204"/>
        <v>2</v>
      </c>
      <c r="O336">
        <f t="shared" si="183"/>
        <v>300</v>
      </c>
      <c r="P336">
        <f t="shared" si="205"/>
        <v>0</v>
      </c>
      <c r="Q336">
        <f t="shared" si="206"/>
        <v>2</v>
      </c>
      <c r="R336">
        <f t="shared" si="184"/>
        <v>300</v>
      </c>
      <c r="S336">
        <f t="shared" si="207"/>
        <v>0</v>
      </c>
      <c r="T336">
        <f t="shared" si="208"/>
        <v>-1</v>
      </c>
      <c r="U336">
        <f t="shared" si="197"/>
        <v>1</v>
      </c>
      <c r="V336">
        <f t="shared" si="198"/>
        <v>1</v>
      </c>
      <c r="W336">
        <f t="shared" si="185"/>
        <v>0</v>
      </c>
      <c r="X336">
        <f t="shared" si="209"/>
        <v>0</v>
      </c>
      <c r="Y336">
        <f t="shared" si="186"/>
        <v>0</v>
      </c>
      <c r="Z336">
        <f t="shared" si="187"/>
        <v>0</v>
      </c>
      <c r="AA336">
        <f t="shared" si="188"/>
        <v>0</v>
      </c>
      <c r="AB336" s="29">
        <f t="shared" si="189"/>
        <v>0</v>
      </c>
      <c r="AC336" s="25">
        <f t="shared" si="199"/>
        <v>0</v>
      </c>
      <c r="AD336" s="29">
        <f t="shared" si="190"/>
        <v>0</v>
      </c>
      <c r="AE336" s="25">
        <f t="shared" si="200"/>
        <v>0</v>
      </c>
      <c r="AF336" s="25">
        <f t="shared" si="191"/>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2"/>
        <v>-1</v>
      </c>
      <c r="B337">
        <f t="shared" si="201"/>
        <v>6</v>
      </c>
      <c r="C337">
        <f t="shared" si="179"/>
        <v>300</v>
      </c>
      <c r="D337">
        <f t="shared" si="193"/>
        <v>0</v>
      </c>
      <c r="E337">
        <f t="shared" si="213"/>
        <v>5</v>
      </c>
      <c r="F337">
        <f t="shared" si="180"/>
        <v>360</v>
      </c>
      <c r="G337">
        <f t="shared" si="194"/>
        <v>0</v>
      </c>
      <c r="H337">
        <f t="shared" si="202"/>
        <v>4</v>
      </c>
      <c r="I337">
        <f t="shared" si="181"/>
        <v>360</v>
      </c>
      <c r="J337">
        <f t="shared" si="195"/>
        <v>0</v>
      </c>
      <c r="K337">
        <f t="shared" si="203"/>
        <v>3</v>
      </c>
      <c r="L337">
        <f t="shared" si="182"/>
        <v>360</v>
      </c>
      <c r="M337">
        <f t="shared" si="196"/>
        <v>0</v>
      </c>
      <c r="N337">
        <f t="shared" si="204"/>
        <v>2</v>
      </c>
      <c r="O337">
        <f t="shared" si="183"/>
        <v>300</v>
      </c>
      <c r="P337">
        <f t="shared" si="205"/>
        <v>0</v>
      </c>
      <c r="Q337">
        <f t="shared" si="206"/>
        <v>2</v>
      </c>
      <c r="R337">
        <f t="shared" si="184"/>
        <v>300</v>
      </c>
      <c r="S337">
        <f t="shared" si="207"/>
        <v>0</v>
      </c>
      <c r="T337">
        <f t="shared" si="208"/>
        <v>-1</v>
      </c>
      <c r="U337">
        <f t="shared" si="197"/>
        <v>1</v>
      </c>
      <c r="V337">
        <f t="shared" si="198"/>
        <v>1</v>
      </c>
      <c r="W337">
        <f t="shared" si="185"/>
        <v>0</v>
      </c>
      <c r="X337">
        <f t="shared" si="209"/>
        <v>0</v>
      </c>
      <c r="Y337">
        <f t="shared" si="186"/>
        <v>0</v>
      </c>
      <c r="Z337">
        <f t="shared" si="187"/>
        <v>0</v>
      </c>
      <c r="AA337">
        <f t="shared" si="188"/>
        <v>0</v>
      </c>
      <c r="AB337" s="29">
        <f t="shared" si="189"/>
        <v>0</v>
      </c>
      <c r="AC337" s="25">
        <f t="shared" si="199"/>
        <v>0</v>
      </c>
      <c r="AD337" s="29">
        <f t="shared" si="190"/>
        <v>0</v>
      </c>
      <c r="AE337" s="25">
        <f t="shared" si="200"/>
        <v>0</v>
      </c>
      <c r="AF337" s="25">
        <f t="shared" si="191"/>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2"/>
        <v>-1</v>
      </c>
      <c r="B338">
        <f t="shared" si="201"/>
        <v>6</v>
      </c>
      <c r="C338">
        <f t="shared" si="179"/>
        <v>300</v>
      </c>
      <c r="D338">
        <f t="shared" si="193"/>
        <v>0</v>
      </c>
      <c r="E338">
        <f t="shared" si="213"/>
        <v>5</v>
      </c>
      <c r="F338">
        <f t="shared" si="180"/>
        <v>360</v>
      </c>
      <c r="G338">
        <f t="shared" si="194"/>
        <v>0</v>
      </c>
      <c r="H338">
        <f t="shared" si="202"/>
        <v>4</v>
      </c>
      <c r="I338">
        <f t="shared" si="181"/>
        <v>360</v>
      </c>
      <c r="J338">
        <f t="shared" si="195"/>
        <v>0</v>
      </c>
      <c r="K338">
        <f t="shared" si="203"/>
        <v>3</v>
      </c>
      <c r="L338">
        <f t="shared" si="182"/>
        <v>360</v>
      </c>
      <c r="M338">
        <f t="shared" si="196"/>
        <v>0</v>
      </c>
      <c r="N338">
        <f t="shared" si="204"/>
        <v>2</v>
      </c>
      <c r="O338">
        <f t="shared" si="183"/>
        <v>300</v>
      </c>
      <c r="P338">
        <f t="shared" si="205"/>
        <v>0</v>
      </c>
      <c r="Q338">
        <f t="shared" si="206"/>
        <v>2</v>
      </c>
      <c r="R338">
        <f t="shared" si="184"/>
        <v>300</v>
      </c>
      <c r="S338">
        <f t="shared" si="207"/>
        <v>0</v>
      </c>
      <c r="T338">
        <f t="shared" si="208"/>
        <v>-1</v>
      </c>
      <c r="U338">
        <f t="shared" si="197"/>
        <v>1</v>
      </c>
      <c r="V338">
        <f t="shared" si="198"/>
        <v>1</v>
      </c>
      <c r="W338">
        <f t="shared" si="185"/>
        <v>0</v>
      </c>
      <c r="X338">
        <f t="shared" si="209"/>
        <v>0</v>
      </c>
      <c r="Y338">
        <f t="shared" si="186"/>
        <v>0</v>
      </c>
      <c r="Z338">
        <f t="shared" si="187"/>
        <v>0</v>
      </c>
      <c r="AA338">
        <f t="shared" si="188"/>
        <v>0</v>
      </c>
      <c r="AB338" s="29">
        <f t="shared" si="189"/>
        <v>0</v>
      </c>
      <c r="AC338" s="25">
        <f t="shared" si="199"/>
        <v>0</v>
      </c>
      <c r="AD338" s="29">
        <f t="shared" si="190"/>
        <v>0</v>
      </c>
      <c r="AE338" s="25">
        <f t="shared" si="200"/>
        <v>0</v>
      </c>
      <c r="AF338" s="25">
        <f t="shared" si="191"/>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2"/>
        <v>-1</v>
      </c>
      <c r="B339">
        <f t="shared" si="201"/>
        <v>6</v>
      </c>
      <c r="C339">
        <f t="shared" si="179"/>
        <v>300</v>
      </c>
      <c r="D339">
        <f t="shared" si="193"/>
        <v>0</v>
      </c>
      <c r="E339">
        <f t="shared" si="213"/>
        <v>5</v>
      </c>
      <c r="F339">
        <f t="shared" si="180"/>
        <v>360</v>
      </c>
      <c r="G339">
        <f t="shared" si="194"/>
        <v>0</v>
      </c>
      <c r="H339">
        <f t="shared" si="202"/>
        <v>4</v>
      </c>
      <c r="I339">
        <f t="shared" si="181"/>
        <v>360</v>
      </c>
      <c r="J339">
        <f t="shared" si="195"/>
        <v>0</v>
      </c>
      <c r="K339">
        <f t="shared" si="203"/>
        <v>3</v>
      </c>
      <c r="L339">
        <f t="shared" si="182"/>
        <v>360</v>
      </c>
      <c r="M339">
        <f t="shared" si="196"/>
        <v>0</v>
      </c>
      <c r="N339">
        <f t="shared" si="204"/>
        <v>2</v>
      </c>
      <c r="O339">
        <f t="shared" si="183"/>
        <v>300</v>
      </c>
      <c r="P339">
        <f t="shared" si="205"/>
        <v>0</v>
      </c>
      <c r="Q339">
        <f t="shared" si="206"/>
        <v>2</v>
      </c>
      <c r="R339">
        <f t="shared" si="184"/>
        <v>300</v>
      </c>
      <c r="S339">
        <f t="shared" si="207"/>
        <v>0</v>
      </c>
      <c r="T339">
        <f t="shared" si="208"/>
        <v>-1</v>
      </c>
      <c r="U339">
        <f t="shared" si="197"/>
        <v>1</v>
      </c>
      <c r="V339">
        <f t="shared" si="198"/>
        <v>1</v>
      </c>
      <c r="W339">
        <f t="shared" si="185"/>
        <v>0</v>
      </c>
      <c r="X339">
        <f t="shared" si="209"/>
        <v>0</v>
      </c>
      <c r="Y339">
        <f t="shared" si="186"/>
        <v>0</v>
      </c>
      <c r="Z339">
        <f t="shared" si="187"/>
        <v>0</v>
      </c>
      <c r="AA339">
        <f t="shared" si="188"/>
        <v>0</v>
      </c>
      <c r="AB339" s="29">
        <f t="shared" si="189"/>
        <v>0</v>
      </c>
      <c r="AC339" s="25">
        <f t="shared" si="199"/>
        <v>0</v>
      </c>
      <c r="AD339" s="29">
        <f t="shared" si="190"/>
        <v>0</v>
      </c>
      <c r="AE339" s="25">
        <f t="shared" si="200"/>
        <v>0</v>
      </c>
      <c r="AF339" s="25">
        <f t="shared" si="191"/>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2"/>
        <v>-1</v>
      </c>
      <c r="B340">
        <f t="shared" si="201"/>
        <v>6</v>
      </c>
      <c r="C340">
        <f t="shared" si="179"/>
        <v>300</v>
      </c>
      <c r="D340">
        <f t="shared" si="193"/>
        <v>0</v>
      </c>
      <c r="E340">
        <f t="shared" si="213"/>
        <v>5</v>
      </c>
      <c r="F340">
        <f t="shared" si="180"/>
        <v>360</v>
      </c>
      <c r="G340">
        <f t="shared" si="194"/>
        <v>0</v>
      </c>
      <c r="H340">
        <f t="shared" si="202"/>
        <v>4</v>
      </c>
      <c r="I340">
        <f t="shared" si="181"/>
        <v>360</v>
      </c>
      <c r="J340">
        <f t="shared" si="195"/>
        <v>0</v>
      </c>
      <c r="K340">
        <f t="shared" si="203"/>
        <v>3</v>
      </c>
      <c r="L340">
        <f t="shared" si="182"/>
        <v>360</v>
      </c>
      <c r="M340">
        <f t="shared" si="196"/>
        <v>0</v>
      </c>
      <c r="N340">
        <f t="shared" si="204"/>
        <v>2</v>
      </c>
      <c r="O340">
        <f t="shared" si="183"/>
        <v>300</v>
      </c>
      <c r="P340">
        <f t="shared" si="205"/>
        <v>0</v>
      </c>
      <c r="Q340">
        <f t="shared" si="206"/>
        <v>2</v>
      </c>
      <c r="R340">
        <f t="shared" si="184"/>
        <v>300</v>
      </c>
      <c r="S340">
        <f t="shared" si="207"/>
        <v>0</v>
      </c>
      <c r="T340">
        <f t="shared" si="208"/>
        <v>-1</v>
      </c>
      <c r="U340">
        <f t="shared" si="197"/>
        <v>1</v>
      </c>
      <c r="V340">
        <f t="shared" si="198"/>
        <v>1</v>
      </c>
      <c r="W340">
        <f t="shared" si="185"/>
        <v>0</v>
      </c>
      <c r="X340">
        <f t="shared" si="209"/>
        <v>0</v>
      </c>
      <c r="Y340">
        <f t="shared" si="186"/>
        <v>0</v>
      </c>
      <c r="Z340">
        <f t="shared" si="187"/>
        <v>0</v>
      </c>
      <c r="AA340">
        <f t="shared" si="188"/>
        <v>0</v>
      </c>
      <c r="AB340" s="29">
        <f t="shared" si="189"/>
        <v>0</v>
      </c>
      <c r="AC340" s="25">
        <f t="shared" si="199"/>
        <v>0</v>
      </c>
      <c r="AD340" s="29">
        <f t="shared" si="190"/>
        <v>0</v>
      </c>
      <c r="AE340" s="25">
        <f t="shared" si="200"/>
        <v>0</v>
      </c>
      <c r="AF340" s="25">
        <f t="shared" si="191"/>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2"/>
        <v>-1</v>
      </c>
      <c r="B341">
        <f t="shared" si="201"/>
        <v>6</v>
      </c>
      <c r="C341">
        <f t="shared" si="179"/>
        <v>300</v>
      </c>
      <c r="D341">
        <f t="shared" si="193"/>
        <v>0</v>
      </c>
      <c r="E341">
        <f t="shared" si="213"/>
        <v>5</v>
      </c>
      <c r="F341">
        <f t="shared" si="180"/>
        <v>360</v>
      </c>
      <c r="G341">
        <f t="shared" si="194"/>
        <v>0</v>
      </c>
      <c r="H341">
        <f t="shared" si="202"/>
        <v>4</v>
      </c>
      <c r="I341">
        <f t="shared" si="181"/>
        <v>360</v>
      </c>
      <c r="J341">
        <f t="shared" si="195"/>
        <v>0</v>
      </c>
      <c r="K341">
        <f t="shared" si="203"/>
        <v>3</v>
      </c>
      <c r="L341">
        <f t="shared" si="182"/>
        <v>360</v>
      </c>
      <c r="M341">
        <f t="shared" si="196"/>
        <v>0</v>
      </c>
      <c r="N341">
        <f t="shared" si="204"/>
        <v>2</v>
      </c>
      <c r="O341">
        <f t="shared" si="183"/>
        <v>300</v>
      </c>
      <c r="P341">
        <f t="shared" si="205"/>
        <v>0</v>
      </c>
      <c r="Q341">
        <f t="shared" si="206"/>
        <v>2</v>
      </c>
      <c r="R341">
        <f t="shared" si="184"/>
        <v>300</v>
      </c>
      <c r="S341">
        <f t="shared" si="207"/>
        <v>0</v>
      </c>
      <c r="T341">
        <f t="shared" si="208"/>
        <v>-1</v>
      </c>
      <c r="U341">
        <f t="shared" si="197"/>
        <v>1</v>
      </c>
      <c r="V341">
        <f t="shared" si="198"/>
        <v>1</v>
      </c>
      <c r="W341">
        <f t="shared" si="185"/>
        <v>0</v>
      </c>
      <c r="X341">
        <f t="shared" si="209"/>
        <v>0</v>
      </c>
      <c r="Y341">
        <f t="shared" si="186"/>
        <v>0</v>
      </c>
      <c r="Z341">
        <f t="shared" si="187"/>
        <v>0</v>
      </c>
      <c r="AA341">
        <f t="shared" si="188"/>
        <v>0</v>
      </c>
      <c r="AB341" s="29">
        <f t="shared" si="189"/>
        <v>0</v>
      </c>
      <c r="AC341" s="25">
        <f t="shared" si="199"/>
        <v>0</v>
      </c>
      <c r="AD341" s="29">
        <f t="shared" si="190"/>
        <v>0</v>
      </c>
      <c r="AE341" s="25">
        <f t="shared" si="200"/>
        <v>0</v>
      </c>
      <c r="AF341" s="25">
        <f t="shared" si="191"/>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2"/>
        <v>-1</v>
      </c>
      <c r="B342">
        <f t="shared" si="201"/>
        <v>6</v>
      </c>
      <c r="C342">
        <f t="shared" si="179"/>
        <v>300</v>
      </c>
      <c r="D342">
        <f t="shared" si="193"/>
        <v>0</v>
      </c>
      <c r="E342">
        <f t="shared" si="213"/>
        <v>5</v>
      </c>
      <c r="F342">
        <f t="shared" si="180"/>
        <v>360</v>
      </c>
      <c r="G342">
        <f t="shared" si="194"/>
        <v>0</v>
      </c>
      <c r="H342">
        <f t="shared" si="202"/>
        <v>4</v>
      </c>
      <c r="I342">
        <f t="shared" si="181"/>
        <v>360</v>
      </c>
      <c r="J342">
        <f t="shared" si="195"/>
        <v>0</v>
      </c>
      <c r="K342">
        <f t="shared" si="203"/>
        <v>3</v>
      </c>
      <c r="L342">
        <f t="shared" si="182"/>
        <v>360</v>
      </c>
      <c r="M342">
        <f t="shared" si="196"/>
        <v>0</v>
      </c>
      <c r="N342">
        <f t="shared" si="204"/>
        <v>2</v>
      </c>
      <c r="O342">
        <f t="shared" si="183"/>
        <v>300</v>
      </c>
      <c r="P342">
        <f t="shared" si="205"/>
        <v>0</v>
      </c>
      <c r="Q342">
        <f t="shared" si="206"/>
        <v>2</v>
      </c>
      <c r="R342">
        <f t="shared" si="184"/>
        <v>300</v>
      </c>
      <c r="S342">
        <f t="shared" si="207"/>
        <v>0</v>
      </c>
      <c r="T342">
        <f t="shared" si="208"/>
        <v>-1</v>
      </c>
      <c r="U342">
        <f t="shared" si="197"/>
        <v>1</v>
      </c>
      <c r="V342">
        <f t="shared" si="198"/>
        <v>1</v>
      </c>
      <c r="W342">
        <f t="shared" si="185"/>
        <v>0</v>
      </c>
      <c r="X342">
        <f t="shared" si="209"/>
        <v>0</v>
      </c>
      <c r="Y342">
        <f t="shared" si="186"/>
        <v>0</v>
      </c>
      <c r="Z342">
        <f t="shared" si="187"/>
        <v>0</v>
      </c>
      <c r="AA342">
        <f t="shared" si="188"/>
        <v>0</v>
      </c>
      <c r="AB342" s="29">
        <f t="shared" si="189"/>
        <v>0</v>
      </c>
      <c r="AC342" s="25">
        <f t="shared" si="199"/>
        <v>0</v>
      </c>
      <c r="AD342" s="29">
        <f t="shared" si="190"/>
        <v>0</v>
      </c>
      <c r="AE342" s="25">
        <f t="shared" si="200"/>
        <v>0</v>
      </c>
      <c r="AF342" s="25">
        <f t="shared" si="191"/>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2"/>
        <v>-1</v>
      </c>
      <c r="B343">
        <f t="shared" si="201"/>
        <v>6</v>
      </c>
      <c r="C343">
        <f t="shared" si="179"/>
        <v>300</v>
      </c>
      <c r="D343">
        <f t="shared" si="193"/>
        <v>0</v>
      </c>
      <c r="E343">
        <f t="shared" si="213"/>
        <v>5</v>
      </c>
      <c r="F343">
        <f t="shared" si="180"/>
        <v>360</v>
      </c>
      <c r="G343">
        <f t="shared" si="194"/>
        <v>0</v>
      </c>
      <c r="H343">
        <f t="shared" si="202"/>
        <v>4</v>
      </c>
      <c r="I343">
        <f t="shared" si="181"/>
        <v>360</v>
      </c>
      <c r="J343">
        <f t="shared" si="195"/>
        <v>0</v>
      </c>
      <c r="K343">
        <f t="shared" si="203"/>
        <v>3</v>
      </c>
      <c r="L343">
        <f t="shared" si="182"/>
        <v>360</v>
      </c>
      <c r="M343">
        <f t="shared" si="196"/>
        <v>0</v>
      </c>
      <c r="N343">
        <f t="shared" si="204"/>
        <v>2</v>
      </c>
      <c r="O343">
        <f t="shared" si="183"/>
        <v>300</v>
      </c>
      <c r="P343">
        <f t="shared" si="205"/>
        <v>0</v>
      </c>
      <c r="Q343">
        <f t="shared" si="206"/>
        <v>2</v>
      </c>
      <c r="R343">
        <f t="shared" si="184"/>
        <v>300</v>
      </c>
      <c r="S343">
        <f t="shared" si="207"/>
        <v>0</v>
      </c>
      <c r="T343">
        <f t="shared" si="208"/>
        <v>-1</v>
      </c>
      <c r="U343">
        <f t="shared" si="197"/>
        <v>1</v>
      </c>
      <c r="V343">
        <f t="shared" si="198"/>
        <v>1</v>
      </c>
      <c r="W343">
        <f t="shared" si="185"/>
        <v>0</v>
      </c>
      <c r="X343">
        <f t="shared" si="209"/>
        <v>0</v>
      </c>
      <c r="Y343">
        <f t="shared" si="186"/>
        <v>0</v>
      </c>
      <c r="Z343">
        <f t="shared" si="187"/>
        <v>0</v>
      </c>
      <c r="AA343">
        <f t="shared" si="188"/>
        <v>0</v>
      </c>
      <c r="AB343" s="29">
        <f t="shared" si="189"/>
        <v>0</v>
      </c>
      <c r="AC343" s="25">
        <f t="shared" si="199"/>
        <v>0</v>
      </c>
      <c r="AD343" s="29">
        <f t="shared" si="190"/>
        <v>0</v>
      </c>
      <c r="AE343" s="25">
        <f t="shared" si="200"/>
        <v>0</v>
      </c>
      <c r="AF343" s="25">
        <f t="shared" si="191"/>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2"/>
        <v>-1</v>
      </c>
      <c r="B344">
        <f t="shared" si="201"/>
        <v>6</v>
      </c>
      <c r="C344">
        <f t="shared" si="179"/>
        <v>300</v>
      </c>
      <c r="D344">
        <f t="shared" si="193"/>
        <v>0</v>
      </c>
      <c r="E344">
        <f t="shared" si="213"/>
        <v>5</v>
      </c>
      <c r="F344">
        <f t="shared" si="180"/>
        <v>360</v>
      </c>
      <c r="G344">
        <f t="shared" si="194"/>
        <v>0</v>
      </c>
      <c r="H344">
        <f t="shared" si="202"/>
        <v>4</v>
      </c>
      <c r="I344">
        <f t="shared" si="181"/>
        <v>360</v>
      </c>
      <c r="J344">
        <f t="shared" si="195"/>
        <v>0</v>
      </c>
      <c r="K344">
        <f t="shared" si="203"/>
        <v>3</v>
      </c>
      <c r="L344">
        <f t="shared" si="182"/>
        <v>360</v>
      </c>
      <c r="M344">
        <f t="shared" si="196"/>
        <v>0</v>
      </c>
      <c r="N344">
        <f t="shared" si="204"/>
        <v>2</v>
      </c>
      <c r="O344">
        <f t="shared" si="183"/>
        <v>300</v>
      </c>
      <c r="P344">
        <f t="shared" si="205"/>
        <v>0</v>
      </c>
      <c r="Q344">
        <f t="shared" si="206"/>
        <v>2</v>
      </c>
      <c r="R344">
        <f t="shared" si="184"/>
        <v>300</v>
      </c>
      <c r="S344">
        <f t="shared" si="207"/>
        <v>0</v>
      </c>
      <c r="T344">
        <f t="shared" si="208"/>
        <v>-1</v>
      </c>
      <c r="U344">
        <f t="shared" si="197"/>
        <v>1</v>
      </c>
      <c r="V344">
        <f t="shared" si="198"/>
        <v>1</v>
      </c>
      <c r="W344">
        <f t="shared" si="185"/>
        <v>0</v>
      </c>
      <c r="X344">
        <f t="shared" si="209"/>
        <v>0</v>
      </c>
      <c r="Y344">
        <f t="shared" si="186"/>
        <v>0</v>
      </c>
      <c r="Z344">
        <f t="shared" si="187"/>
        <v>0</v>
      </c>
      <c r="AA344">
        <f t="shared" si="188"/>
        <v>0</v>
      </c>
      <c r="AB344" s="29">
        <f t="shared" si="189"/>
        <v>0</v>
      </c>
      <c r="AC344" s="25">
        <f t="shared" si="199"/>
        <v>0</v>
      </c>
      <c r="AD344" s="29">
        <f t="shared" si="190"/>
        <v>0</v>
      </c>
      <c r="AE344" s="25">
        <f t="shared" si="200"/>
        <v>0</v>
      </c>
      <c r="AF344" s="25">
        <f t="shared" si="191"/>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2"/>
        <v>-1</v>
      </c>
      <c r="B345">
        <f t="shared" si="201"/>
        <v>6</v>
      </c>
      <c r="C345">
        <f t="shared" si="179"/>
        <v>300</v>
      </c>
      <c r="D345">
        <f t="shared" si="193"/>
        <v>0</v>
      </c>
      <c r="E345">
        <f t="shared" si="213"/>
        <v>5</v>
      </c>
      <c r="F345">
        <f t="shared" si="180"/>
        <v>360</v>
      </c>
      <c r="G345">
        <f t="shared" si="194"/>
        <v>0</v>
      </c>
      <c r="H345">
        <f t="shared" si="202"/>
        <v>4</v>
      </c>
      <c r="I345">
        <f t="shared" si="181"/>
        <v>360</v>
      </c>
      <c r="J345">
        <f t="shared" si="195"/>
        <v>0</v>
      </c>
      <c r="K345">
        <f t="shared" si="203"/>
        <v>3</v>
      </c>
      <c r="L345">
        <f t="shared" si="182"/>
        <v>360</v>
      </c>
      <c r="M345">
        <f t="shared" si="196"/>
        <v>0</v>
      </c>
      <c r="N345">
        <f t="shared" si="204"/>
        <v>2</v>
      </c>
      <c r="O345">
        <f t="shared" si="183"/>
        <v>300</v>
      </c>
      <c r="P345">
        <f t="shared" si="205"/>
        <v>0</v>
      </c>
      <c r="Q345">
        <f t="shared" si="206"/>
        <v>2</v>
      </c>
      <c r="R345">
        <f t="shared" si="184"/>
        <v>300</v>
      </c>
      <c r="S345">
        <f t="shared" si="207"/>
        <v>0</v>
      </c>
      <c r="T345">
        <f t="shared" si="208"/>
        <v>-1</v>
      </c>
      <c r="U345">
        <f t="shared" si="197"/>
        <v>1</v>
      </c>
      <c r="V345">
        <f t="shared" si="198"/>
        <v>1</v>
      </c>
      <c r="W345">
        <f t="shared" si="185"/>
        <v>0</v>
      </c>
      <c r="X345">
        <f t="shared" si="209"/>
        <v>0</v>
      </c>
      <c r="Y345">
        <f t="shared" si="186"/>
        <v>0</v>
      </c>
      <c r="Z345">
        <f t="shared" si="187"/>
        <v>0</v>
      </c>
      <c r="AA345">
        <f t="shared" si="188"/>
        <v>0</v>
      </c>
      <c r="AB345" s="29">
        <f t="shared" si="189"/>
        <v>0</v>
      </c>
      <c r="AC345" s="25">
        <f t="shared" si="199"/>
        <v>0</v>
      </c>
      <c r="AD345" s="29">
        <f t="shared" si="190"/>
        <v>0</v>
      </c>
      <c r="AE345" s="25">
        <f t="shared" si="200"/>
        <v>0</v>
      </c>
      <c r="AF345" s="25">
        <f t="shared" si="191"/>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2"/>
        <v>-1</v>
      </c>
      <c r="B346">
        <f t="shared" si="201"/>
        <v>6</v>
      </c>
      <c r="C346">
        <f t="shared" si="179"/>
        <v>300</v>
      </c>
      <c r="D346">
        <f t="shared" si="193"/>
        <v>0</v>
      </c>
      <c r="E346">
        <f t="shared" si="213"/>
        <v>5</v>
      </c>
      <c r="F346">
        <f t="shared" si="180"/>
        <v>360</v>
      </c>
      <c r="G346">
        <f t="shared" si="194"/>
        <v>0</v>
      </c>
      <c r="H346">
        <f t="shared" si="202"/>
        <v>4</v>
      </c>
      <c r="I346">
        <f t="shared" si="181"/>
        <v>360</v>
      </c>
      <c r="J346">
        <f t="shared" si="195"/>
        <v>0</v>
      </c>
      <c r="K346">
        <f t="shared" si="203"/>
        <v>3</v>
      </c>
      <c r="L346">
        <f t="shared" si="182"/>
        <v>360</v>
      </c>
      <c r="M346">
        <f t="shared" si="196"/>
        <v>0</v>
      </c>
      <c r="N346">
        <f t="shared" si="204"/>
        <v>2</v>
      </c>
      <c r="O346">
        <f t="shared" si="183"/>
        <v>300</v>
      </c>
      <c r="P346">
        <f t="shared" si="205"/>
        <v>0</v>
      </c>
      <c r="Q346">
        <f t="shared" si="206"/>
        <v>2</v>
      </c>
      <c r="R346">
        <f t="shared" si="184"/>
        <v>300</v>
      </c>
      <c r="S346">
        <f t="shared" si="207"/>
        <v>0</v>
      </c>
      <c r="T346">
        <f t="shared" si="208"/>
        <v>-1</v>
      </c>
      <c r="U346">
        <f t="shared" si="197"/>
        <v>1</v>
      </c>
      <c r="V346">
        <f t="shared" si="198"/>
        <v>1</v>
      </c>
      <c r="W346">
        <f t="shared" si="185"/>
        <v>0</v>
      </c>
      <c r="X346">
        <f t="shared" si="209"/>
        <v>0</v>
      </c>
      <c r="Y346">
        <f t="shared" si="186"/>
        <v>0</v>
      </c>
      <c r="Z346">
        <f t="shared" si="187"/>
        <v>0</v>
      </c>
      <c r="AA346">
        <f t="shared" si="188"/>
        <v>0</v>
      </c>
      <c r="AB346" s="29">
        <f t="shared" si="189"/>
        <v>0</v>
      </c>
      <c r="AC346" s="25">
        <f t="shared" si="199"/>
        <v>0</v>
      </c>
      <c r="AD346" s="29">
        <f t="shared" si="190"/>
        <v>0</v>
      </c>
      <c r="AE346" s="25">
        <f t="shared" si="200"/>
        <v>0</v>
      </c>
      <c r="AF346" s="25">
        <f t="shared" si="191"/>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2"/>
        <v>-1</v>
      </c>
      <c r="B347">
        <f t="shared" si="201"/>
        <v>6</v>
      </c>
      <c r="C347">
        <f t="shared" si="179"/>
        <v>300</v>
      </c>
      <c r="D347">
        <f t="shared" si="193"/>
        <v>0</v>
      </c>
      <c r="E347">
        <f t="shared" si="213"/>
        <v>5</v>
      </c>
      <c r="F347">
        <f t="shared" si="180"/>
        <v>360</v>
      </c>
      <c r="G347">
        <f t="shared" si="194"/>
        <v>0</v>
      </c>
      <c r="H347">
        <f t="shared" si="202"/>
        <v>4</v>
      </c>
      <c r="I347">
        <f t="shared" si="181"/>
        <v>360</v>
      </c>
      <c r="J347">
        <f t="shared" si="195"/>
        <v>0</v>
      </c>
      <c r="K347">
        <f t="shared" si="203"/>
        <v>3</v>
      </c>
      <c r="L347">
        <f t="shared" si="182"/>
        <v>360</v>
      </c>
      <c r="M347">
        <f t="shared" si="196"/>
        <v>0</v>
      </c>
      <c r="N347">
        <f t="shared" si="204"/>
        <v>2</v>
      </c>
      <c r="O347">
        <f t="shared" si="183"/>
        <v>300</v>
      </c>
      <c r="P347">
        <f t="shared" si="205"/>
        <v>0</v>
      </c>
      <c r="Q347">
        <f t="shared" si="206"/>
        <v>2</v>
      </c>
      <c r="R347">
        <f t="shared" si="184"/>
        <v>300</v>
      </c>
      <c r="S347">
        <f t="shared" si="207"/>
        <v>0</v>
      </c>
      <c r="T347">
        <f t="shared" si="208"/>
        <v>-1</v>
      </c>
      <c r="U347">
        <f t="shared" si="197"/>
        <v>1</v>
      </c>
      <c r="V347">
        <f t="shared" si="198"/>
        <v>1</v>
      </c>
      <c r="W347">
        <f t="shared" si="185"/>
        <v>0</v>
      </c>
      <c r="X347">
        <f t="shared" si="209"/>
        <v>0</v>
      </c>
      <c r="Y347">
        <f t="shared" si="186"/>
        <v>0</v>
      </c>
      <c r="Z347">
        <f t="shared" si="187"/>
        <v>0</v>
      </c>
      <c r="AA347">
        <f t="shared" si="188"/>
        <v>0</v>
      </c>
      <c r="AB347" s="29">
        <f t="shared" si="189"/>
        <v>0</v>
      </c>
      <c r="AC347" s="25">
        <f t="shared" si="199"/>
        <v>0</v>
      </c>
      <c r="AD347" s="29">
        <f t="shared" si="190"/>
        <v>0</v>
      </c>
      <c r="AE347" s="25">
        <f t="shared" si="200"/>
        <v>0</v>
      </c>
      <c r="AF347" s="25">
        <f t="shared" si="191"/>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2"/>
        <v>-1</v>
      </c>
      <c r="B348">
        <f t="shared" si="201"/>
        <v>6</v>
      </c>
      <c r="C348">
        <f t="shared" si="179"/>
        <v>300</v>
      </c>
      <c r="D348">
        <f t="shared" si="193"/>
        <v>0</v>
      </c>
      <c r="E348">
        <f t="shared" si="213"/>
        <v>5</v>
      </c>
      <c r="F348">
        <f t="shared" si="180"/>
        <v>360</v>
      </c>
      <c r="G348">
        <f t="shared" si="194"/>
        <v>0</v>
      </c>
      <c r="H348">
        <f t="shared" si="202"/>
        <v>4</v>
      </c>
      <c r="I348">
        <f t="shared" si="181"/>
        <v>360</v>
      </c>
      <c r="J348">
        <f t="shared" si="195"/>
        <v>0</v>
      </c>
      <c r="K348">
        <f t="shared" si="203"/>
        <v>3</v>
      </c>
      <c r="L348">
        <f t="shared" si="182"/>
        <v>360</v>
      </c>
      <c r="M348">
        <f t="shared" si="196"/>
        <v>0</v>
      </c>
      <c r="N348">
        <f t="shared" si="204"/>
        <v>2</v>
      </c>
      <c r="O348">
        <f t="shared" si="183"/>
        <v>300</v>
      </c>
      <c r="P348">
        <f t="shared" si="205"/>
        <v>0</v>
      </c>
      <c r="Q348">
        <f t="shared" si="206"/>
        <v>2</v>
      </c>
      <c r="R348">
        <f t="shared" si="184"/>
        <v>300</v>
      </c>
      <c r="S348">
        <f t="shared" si="207"/>
        <v>0</v>
      </c>
      <c r="T348">
        <f t="shared" si="208"/>
        <v>-1</v>
      </c>
      <c r="U348">
        <f t="shared" si="197"/>
        <v>1</v>
      </c>
      <c r="V348">
        <f t="shared" si="198"/>
        <v>1</v>
      </c>
      <c r="W348">
        <f t="shared" si="185"/>
        <v>0</v>
      </c>
      <c r="X348">
        <f t="shared" si="209"/>
        <v>0</v>
      </c>
      <c r="Y348">
        <f t="shared" si="186"/>
        <v>0</v>
      </c>
      <c r="Z348">
        <f t="shared" si="187"/>
        <v>0</v>
      </c>
      <c r="AA348">
        <f t="shared" si="188"/>
        <v>0</v>
      </c>
      <c r="AB348" s="29">
        <f t="shared" si="189"/>
        <v>0</v>
      </c>
      <c r="AC348" s="25">
        <f t="shared" si="199"/>
        <v>0</v>
      </c>
      <c r="AD348" s="29">
        <f t="shared" si="190"/>
        <v>0</v>
      </c>
      <c r="AE348" s="25">
        <f t="shared" si="200"/>
        <v>0</v>
      </c>
      <c r="AF348" s="25">
        <f t="shared" si="191"/>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2"/>
        <v>-1</v>
      </c>
      <c r="B349">
        <f t="shared" si="201"/>
        <v>6</v>
      </c>
      <c r="C349">
        <f t="shared" si="179"/>
        <v>300</v>
      </c>
      <c r="D349">
        <f t="shared" si="193"/>
        <v>0</v>
      </c>
      <c r="E349">
        <f t="shared" si="213"/>
        <v>5</v>
      </c>
      <c r="F349">
        <f t="shared" si="180"/>
        <v>360</v>
      </c>
      <c r="G349">
        <f t="shared" si="194"/>
        <v>0</v>
      </c>
      <c r="H349">
        <f t="shared" si="202"/>
        <v>4</v>
      </c>
      <c r="I349">
        <f t="shared" si="181"/>
        <v>360</v>
      </c>
      <c r="J349">
        <f t="shared" si="195"/>
        <v>0</v>
      </c>
      <c r="K349">
        <f t="shared" si="203"/>
        <v>3</v>
      </c>
      <c r="L349">
        <f t="shared" si="182"/>
        <v>360</v>
      </c>
      <c r="M349">
        <f t="shared" si="196"/>
        <v>0</v>
      </c>
      <c r="N349">
        <f t="shared" si="204"/>
        <v>2</v>
      </c>
      <c r="O349">
        <f t="shared" si="183"/>
        <v>300</v>
      </c>
      <c r="P349">
        <f t="shared" si="205"/>
        <v>0</v>
      </c>
      <c r="Q349">
        <f t="shared" si="206"/>
        <v>2</v>
      </c>
      <c r="R349">
        <f t="shared" si="184"/>
        <v>300</v>
      </c>
      <c r="S349">
        <f t="shared" si="207"/>
        <v>0</v>
      </c>
      <c r="T349">
        <f t="shared" si="208"/>
        <v>-1</v>
      </c>
      <c r="U349">
        <f t="shared" si="197"/>
        <v>1</v>
      </c>
      <c r="V349">
        <f t="shared" si="198"/>
        <v>1</v>
      </c>
      <c r="W349">
        <f t="shared" si="185"/>
        <v>0</v>
      </c>
      <c r="X349">
        <f t="shared" si="209"/>
        <v>0</v>
      </c>
      <c r="Y349">
        <f t="shared" si="186"/>
        <v>0</v>
      </c>
      <c r="Z349">
        <f t="shared" si="187"/>
        <v>0</v>
      </c>
      <c r="AA349">
        <f t="shared" si="188"/>
        <v>0</v>
      </c>
      <c r="AB349" s="29">
        <f t="shared" si="189"/>
        <v>0</v>
      </c>
      <c r="AC349" s="25">
        <f t="shared" si="199"/>
        <v>0</v>
      </c>
      <c r="AD349" s="29">
        <f t="shared" si="190"/>
        <v>0</v>
      </c>
      <c r="AE349" s="25">
        <f t="shared" si="200"/>
        <v>0</v>
      </c>
      <c r="AF349" s="25">
        <f t="shared" si="191"/>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2"/>
        <v>-1</v>
      </c>
      <c r="B350">
        <f t="shared" si="201"/>
        <v>6</v>
      </c>
      <c r="C350">
        <f t="shared" si="179"/>
        <v>300</v>
      </c>
      <c r="D350">
        <f t="shared" si="193"/>
        <v>0</v>
      </c>
      <c r="E350">
        <f t="shared" si="213"/>
        <v>5</v>
      </c>
      <c r="F350">
        <f t="shared" si="180"/>
        <v>360</v>
      </c>
      <c r="G350">
        <f t="shared" si="194"/>
        <v>0</v>
      </c>
      <c r="H350">
        <f t="shared" si="202"/>
        <v>4</v>
      </c>
      <c r="I350">
        <f t="shared" si="181"/>
        <v>360</v>
      </c>
      <c r="J350">
        <f t="shared" si="195"/>
        <v>0</v>
      </c>
      <c r="K350">
        <f t="shared" si="203"/>
        <v>3</v>
      </c>
      <c r="L350">
        <f t="shared" si="182"/>
        <v>360</v>
      </c>
      <c r="M350">
        <f t="shared" si="196"/>
        <v>0</v>
      </c>
      <c r="N350">
        <f t="shared" si="204"/>
        <v>2</v>
      </c>
      <c r="O350">
        <f t="shared" si="183"/>
        <v>300</v>
      </c>
      <c r="P350">
        <f t="shared" si="205"/>
        <v>0</v>
      </c>
      <c r="Q350">
        <f t="shared" si="206"/>
        <v>2</v>
      </c>
      <c r="R350">
        <f t="shared" si="184"/>
        <v>300</v>
      </c>
      <c r="S350">
        <f t="shared" si="207"/>
        <v>0</v>
      </c>
      <c r="T350">
        <f t="shared" si="208"/>
        <v>-1</v>
      </c>
      <c r="U350">
        <f t="shared" si="197"/>
        <v>1</v>
      </c>
      <c r="V350">
        <f t="shared" si="198"/>
        <v>1</v>
      </c>
      <c r="W350">
        <f t="shared" si="185"/>
        <v>0</v>
      </c>
      <c r="X350">
        <f t="shared" si="209"/>
        <v>0</v>
      </c>
      <c r="Y350">
        <f t="shared" si="186"/>
        <v>0</v>
      </c>
      <c r="Z350">
        <f t="shared" si="187"/>
        <v>0</v>
      </c>
      <c r="AA350">
        <f t="shared" si="188"/>
        <v>0</v>
      </c>
      <c r="AB350" s="29">
        <f t="shared" si="189"/>
        <v>0</v>
      </c>
      <c r="AC350" s="25">
        <f t="shared" si="199"/>
        <v>0</v>
      </c>
      <c r="AD350" s="29">
        <f t="shared" si="190"/>
        <v>0</v>
      </c>
      <c r="AE350" s="25">
        <f t="shared" si="200"/>
        <v>0</v>
      </c>
      <c r="AF350" s="25">
        <f t="shared" si="191"/>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2"/>
        <v>-1</v>
      </c>
      <c r="B351">
        <f t="shared" si="201"/>
        <v>6</v>
      </c>
      <c r="C351">
        <f t="shared" si="179"/>
        <v>300</v>
      </c>
      <c r="D351">
        <f t="shared" si="193"/>
        <v>0</v>
      </c>
      <c r="E351">
        <f t="shared" si="213"/>
        <v>5</v>
      </c>
      <c r="F351">
        <f t="shared" si="180"/>
        <v>360</v>
      </c>
      <c r="G351">
        <f t="shared" si="194"/>
        <v>0</v>
      </c>
      <c r="H351">
        <f t="shared" si="202"/>
        <v>4</v>
      </c>
      <c r="I351">
        <f t="shared" si="181"/>
        <v>360</v>
      </c>
      <c r="J351">
        <f t="shared" si="195"/>
        <v>0</v>
      </c>
      <c r="K351">
        <f t="shared" si="203"/>
        <v>3</v>
      </c>
      <c r="L351">
        <f t="shared" si="182"/>
        <v>360</v>
      </c>
      <c r="M351">
        <f t="shared" si="196"/>
        <v>0</v>
      </c>
      <c r="N351">
        <f t="shared" si="204"/>
        <v>2</v>
      </c>
      <c r="O351">
        <f t="shared" si="183"/>
        <v>300</v>
      </c>
      <c r="P351">
        <f t="shared" si="205"/>
        <v>0</v>
      </c>
      <c r="Q351">
        <f t="shared" si="206"/>
        <v>2</v>
      </c>
      <c r="R351">
        <f t="shared" si="184"/>
        <v>300</v>
      </c>
      <c r="S351">
        <f t="shared" si="207"/>
        <v>0</v>
      </c>
      <c r="T351">
        <f t="shared" si="208"/>
        <v>-1</v>
      </c>
      <c r="U351">
        <f t="shared" si="197"/>
        <v>1</v>
      </c>
      <c r="V351">
        <f t="shared" si="198"/>
        <v>1</v>
      </c>
      <c r="W351">
        <f t="shared" si="185"/>
        <v>0</v>
      </c>
      <c r="X351">
        <f t="shared" si="209"/>
        <v>0</v>
      </c>
      <c r="Y351">
        <f t="shared" si="186"/>
        <v>0</v>
      </c>
      <c r="Z351">
        <f t="shared" si="187"/>
        <v>0</v>
      </c>
      <c r="AA351">
        <f t="shared" si="188"/>
        <v>0</v>
      </c>
      <c r="AB351" s="29">
        <f t="shared" si="189"/>
        <v>0</v>
      </c>
      <c r="AC351" s="25">
        <f t="shared" si="199"/>
        <v>0</v>
      </c>
      <c r="AD351" s="29">
        <f t="shared" si="190"/>
        <v>0</v>
      </c>
      <c r="AE351" s="25">
        <f t="shared" si="200"/>
        <v>0</v>
      </c>
      <c r="AF351" s="25">
        <f t="shared" si="191"/>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2"/>
        <v>-1</v>
      </c>
      <c r="B352">
        <f t="shared" si="201"/>
        <v>6</v>
      </c>
      <c r="C352">
        <f t="shared" si="179"/>
        <v>300</v>
      </c>
      <c r="D352">
        <f t="shared" si="193"/>
        <v>0</v>
      </c>
      <c r="E352">
        <f t="shared" si="213"/>
        <v>5</v>
      </c>
      <c r="F352">
        <f t="shared" si="180"/>
        <v>360</v>
      </c>
      <c r="G352">
        <f t="shared" si="194"/>
        <v>0</v>
      </c>
      <c r="H352">
        <f t="shared" si="202"/>
        <v>4</v>
      </c>
      <c r="I352">
        <f t="shared" si="181"/>
        <v>360</v>
      </c>
      <c r="J352">
        <f t="shared" si="195"/>
        <v>0</v>
      </c>
      <c r="K352">
        <f t="shared" si="203"/>
        <v>3</v>
      </c>
      <c r="L352">
        <f t="shared" si="182"/>
        <v>360</v>
      </c>
      <c r="M352">
        <f t="shared" si="196"/>
        <v>0</v>
      </c>
      <c r="N352">
        <f t="shared" si="204"/>
        <v>2</v>
      </c>
      <c r="O352">
        <f t="shared" si="183"/>
        <v>300</v>
      </c>
      <c r="P352">
        <f t="shared" si="205"/>
        <v>0</v>
      </c>
      <c r="Q352">
        <f t="shared" si="206"/>
        <v>2</v>
      </c>
      <c r="R352">
        <f t="shared" si="184"/>
        <v>300</v>
      </c>
      <c r="S352">
        <f t="shared" si="207"/>
        <v>0</v>
      </c>
      <c r="T352">
        <f t="shared" si="208"/>
        <v>-1</v>
      </c>
      <c r="U352">
        <f t="shared" si="197"/>
        <v>1</v>
      </c>
      <c r="V352">
        <f t="shared" si="198"/>
        <v>1</v>
      </c>
      <c r="W352">
        <f t="shared" si="185"/>
        <v>0</v>
      </c>
      <c r="X352">
        <f t="shared" si="209"/>
        <v>0</v>
      </c>
      <c r="Y352">
        <f t="shared" si="186"/>
        <v>0</v>
      </c>
      <c r="Z352">
        <f t="shared" si="187"/>
        <v>0</v>
      </c>
      <c r="AA352">
        <f t="shared" si="188"/>
        <v>0</v>
      </c>
      <c r="AB352" s="29">
        <f t="shared" si="189"/>
        <v>0</v>
      </c>
      <c r="AC352" s="25">
        <f t="shared" si="199"/>
        <v>0</v>
      </c>
      <c r="AD352" s="29">
        <f t="shared" si="190"/>
        <v>0</v>
      </c>
      <c r="AE352" s="25">
        <f t="shared" si="200"/>
        <v>0</v>
      </c>
      <c r="AF352" s="25">
        <f t="shared" si="191"/>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2"/>
        <v>-1</v>
      </c>
      <c r="B353">
        <f t="shared" si="201"/>
        <v>6</v>
      </c>
      <c r="C353">
        <f t="shared" si="179"/>
        <v>300</v>
      </c>
      <c r="D353">
        <f t="shared" si="193"/>
        <v>0</v>
      </c>
      <c r="E353">
        <f t="shared" si="213"/>
        <v>5</v>
      </c>
      <c r="F353">
        <f t="shared" si="180"/>
        <v>360</v>
      </c>
      <c r="G353">
        <f t="shared" si="194"/>
        <v>0</v>
      </c>
      <c r="H353">
        <f t="shared" si="202"/>
        <v>4</v>
      </c>
      <c r="I353">
        <f t="shared" si="181"/>
        <v>360</v>
      </c>
      <c r="J353">
        <f t="shared" si="195"/>
        <v>0</v>
      </c>
      <c r="K353">
        <f t="shared" si="203"/>
        <v>3</v>
      </c>
      <c r="L353">
        <f t="shared" si="182"/>
        <v>360</v>
      </c>
      <c r="M353">
        <f t="shared" si="196"/>
        <v>0</v>
      </c>
      <c r="N353">
        <f t="shared" si="204"/>
        <v>2</v>
      </c>
      <c r="O353">
        <f t="shared" si="183"/>
        <v>300</v>
      </c>
      <c r="P353">
        <f t="shared" si="205"/>
        <v>0</v>
      </c>
      <c r="Q353">
        <f t="shared" si="206"/>
        <v>2</v>
      </c>
      <c r="R353">
        <f t="shared" si="184"/>
        <v>300</v>
      </c>
      <c r="S353">
        <f t="shared" si="207"/>
        <v>0</v>
      </c>
      <c r="T353">
        <f t="shared" si="208"/>
        <v>-1</v>
      </c>
      <c r="U353">
        <f t="shared" si="197"/>
        <v>1</v>
      </c>
      <c r="V353">
        <f t="shared" si="198"/>
        <v>1</v>
      </c>
      <c r="W353">
        <f t="shared" si="185"/>
        <v>0</v>
      </c>
      <c r="X353">
        <f t="shared" si="209"/>
        <v>0</v>
      </c>
      <c r="Y353">
        <f t="shared" si="186"/>
        <v>0</v>
      </c>
      <c r="Z353">
        <f t="shared" si="187"/>
        <v>0</v>
      </c>
      <c r="AA353">
        <f t="shared" si="188"/>
        <v>0</v>
      </c>
      <c r="AB353" s="29">
        <f t="shared" si="189"/>
        <v>0</v>
      </c>
      <c r="AC353" s="25">
        <f t="shared" si="199"/>
        <v>0</v>
      </c>
      <c r="AD353" s="29">
        <f t="shared" si="190"/>
        <v>0</v>
      </c>
      <c r="AE353" s="25">
        <f t="shared" si="200"/>
        <v>0</v>
      </c>
      <c r="AF353" s="25">
        <f t="shared" si="191"/>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2"/>
        <v>-1</v>
      </c>
      <c r="B354">
        <f t="shared" si="201"/>
        <v>6</v>
      </c>
      <c r="C354">
        <f t="shared" si="179"/>
        <v>300</v>
      </c>
      <c r="D354">
        <f t="shared" si="193"/>
        <v>0</v>
      </c>
      <c r="E354">
        <f t="shared" si="213"/>
        <v>5</v>
      </c>
      <c r="F354">
        <f t="shared" si="180"/>
        <v>360</v>
      </c>
      <c r="G354">
        <f t="shared" si="194"/>
        <v>0</v>
      </c>
      <c r="H354">
        <f t="shared" si="202"/>
        <v>4</v>
      </c>
      <c r="I354">
        <f t="shared" si="181"/>
        <v>360</v>
      </c>
      <c r="J354">
        <f t="shared" si="195"/>
        <v>0</v>
      </c>
      <c r="K354">
        <f t="shared" si="203"/>
        <v>3</v>
      </c>
      <c r="L354">
        <f t="shared" si="182"/>
        <v>360</v>
      </c>
      <c r="M354">
        <f t="shared" si="196"/>
        <v>0</v>
      </c>
      <c r="N354">
        <f t="shared" si="204"/>
        <v>2</v>
      </c>
      <c r="O354">
        <f t="shared" si="183"/>
        <v>300</v>
      </c>
      <c r="P354">
        <f t="shared" si="205"/>
        <v>0</v>
      </c>
      <c r="Q354">
        <f t="shared" si="206"/>
        <v>2</v>
      </c>
      <c r="R354">
        <f t="shared" si="184"/>
        <v>300</v>
      </c>
      <c r="S354">
        <f t="shared" si="207"/>
        <v>0</v>
      </c>
      <c r="T354">
        <f t="shared" si="208"/>
        <v>-1</v>
      </c>
      <c r="U354">
        <f t="shared" si="197"/>
        <v>1</v>
      </c>
      <c r="V354">
        <f t="shared" si="198"/>
        <v>1</v>
      </c>
      <c r="W354">
        <f t="shared" si="185"/>
        <v>0</v>
      </c>
      <c r="X354">
        <f t="shared" si="209"/>
        <v>0</v>
      </c>
      <c r="Y354">
        <f t="shared" si="186"/>
        <v>0</v>
      </c>
      <c r="Z354">
        <f t="shared" si="187"/>
        <v>0</v>
      </c>
      <c r="AA354">
        <f t="shared" si="188"/>
        <v>0</v>
      </c>
      <c r="AB354" s="29">
        <f t="shared" si="189"/>
        <v>0</v>
      </c>
      <c r="AC354" s="25">
        <f t="shared" si="199"/>
        <v>0</v>
      </c>
      <c r="AD354" s="29">
        <f t="shared" si="190"/>
        <v>0</v>
      </c>
      <c r="AE354" s="25">
        <f t="shared" si="200"/>
        <v>0</v>
      </c>
      <c r="AF354" s="25">
        <f t="shared" si="191"/>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2"/>
        <v>-1</v>
      </c>
      <c r="B355">
        <f t="shared" si="201"/>
        <v>6</v>
      </c>
      <c r="C355">
        <f t="shared" si="179"/>
        <v>300</v>
      </c>
      <c r="D355">
        <f t="shared" si="193"/>
        <v>0</v>
      </c>
      <c r="E355">
        <f t="shared" si="213"/>
        <v>5</v>
      </c>
      <c r="F355">
        <f t="shared" si="180"/>
        <v>360</v>
      </c>
      <c r="G355">
        <f t="shared" si="194"/>
        <v>0</v>
      </c>
      <c r="H355">
        <f t="shared" si="202"/>
        <v>4</v>
      </c>
      <c r="I355">
        <f t="shared" si="181"/>
        <v>360</v>
      </c>
      <c r="J355">
        <f t="shared" si="195"/>
        <v>0</v>
      </c>
      <c r="K355">
        <f t="shared" si="203"/>
        <v>3</v>
      </c>
      <c r="L355">
        <f t="shared" si="182"/>
        <v>360</v>
      </c>
      <c r="M355">
        <f t="shared" si="196"/>
        <v>0</v>
      </c>
      <c r="N355">
        <f t="shared" si="204"/>
        <v>2</v>
      </c>
      <c r="O355">
        <f t="shared" si="183"/>
        <v>300</v>
      </c>
      <c r="P355">
        <f t="shared" si="205"/>
        <v>0</v>
      </c>
      <c r="Q355">
        <f t="shared" si="206"/>
        <v>2</v>
      </c>
      <c r="R355">
        <f t="shared" si="184"/>
        <v>300</v>
      </c>
      <c r="S355">
        <f t="shared" si="207"/>
        <v>0</v>
      </c>
      <c r="T355">
        <f t="shared" si="208"/>
        <v>-1</v>
      </c>
      <c r="U355">
        <f t="shared" si="197"/>
        <v>1</v>
      </c>
      <c r="V355">
        <f t="shared" si="198"/>
        <v>1</v>
      </c>
      <c r="W355">
        <f t="shared" si="185"/>
        <v>0</v>
      </c>
      <c r="X355">
        <f t="shared" si="209"/>
        <v>0</v>
      </c>
      <c r="Y355">
        <f t="shared" si="186"/>
        <v>0</v>
      </c>
      <c r="Z355">
        <f t="shared" si="187"/>
        <v>0</v>
      </c>
      <c r="AA355">
        <f t="shared" si="188"/>
        <v>0</v>
      </c>
      <c r="AB355" s="29">
        <f t="shared" si="189"/>
        <v>0</v>
      </c>
      <c r="AC355" s="25">
        <f t="shared" si="199"/>
        <v>0</v>
      </c>
      <c r="AD355" s="29">
        <f t="shared" si="190"/>
        <v>0</v>
      </c>
      <c r="AE355" s="25">
        <f t="shared" si="200"/>
        <v>0</v>
      </c>
      <c r="AF355" s="25">
        <f t="shared" si="191"/>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2"/>
        <v>-1</v>
      </c>
      <c r="B356">
        <f t="shared" si="201"/>
        <v>6</v>
      </c>
      <c r="C356">
        <f t="shared" si="179"/>
        <v>300</v>
      </c>
      <c r="D356">
        <f t="shared" si="193"/>
        <v>0</v>
      </c>
      <c r="E356">
        <f t="shared" si="213"/>
        <v>5</v>
      </c>
      <c r="F356">
        <f t="shared" si="180"/>
        <v>360</v>
      </c>
      <c r="G356">
        <f t="shared" si="194"/>
        <v>0</v>
      </c>
      <c r="H356">
        <f t="shared" si="202"/>
        <v>4</v>
      </c>
      <c r="I356">
        <f t="shared" si="181"/>
        <v>360</v>
      </c>
      <c r="J356">
        <f t="shared" si="195"/>
        <v>0</v>
      </c>
      <c r="K356">
        <f t="shared" si="203"/>
        <v>3</v>
      </c>
      <c r="L356">
        <f t="shared" si="182"/>
        <v>360</v>
      </c>
      <c r="M356">
        <f t="shared" si="196"/>
        <v>0</v>
      </c>
      <c r="N356">
        <f t="shared" si="204"/>
        <v>2</v>
      </c>
      <c r="O356">
        <f t="shared" si="183"/>
        <v>300</v>
      </c>
      <c r="P356">
        <f t="shared" si="205"/>
        <v>0</v>
      </c>
      <c r="Q356">
        <f t="shared" si="206"/>
        <v>2</v>
      </c>
      <c r="R356">
        <f t="shared" si="184"/>
        <v>300</v>
      </c>
      <c r="S356">
        <f t="shared" si="207"/>
        <v>0</v>
      </c>
      <c r="T356">
        <f t="shared" si="208"/>
        <v>-1</v>
      </c>
      <c r="U356">
        <f t="shared" si="197"/>
        <v>1</v>
      </c>
      <c r="V356">
        <f t="shared" si="198"/>
        <v>1</v>
      </c>
      <c r="W356">
        <f t="shared" si="185"/>
        <v>0</v>
      </c>
      <c r="X356">
        <f t="shared" si="209"/>
        <v>0</v>
      </c>
      <c r="Y356">
        <f t="shared" si="186"/>
        <v>0</v>
      </c>
      <c r="Z356">
        <f t="shared" si="187"/>
        <v>0</v>
      </c>
      <c r="AA356">
        <f t="shared" si="188"/>
        <v>0</v>
      </c>
      <c r="AB356" s="29">
        <f t="shared" si="189"/>
        <v>0</v>
      </c>
      <c r="AC356" s="25">
        <f t="shared" si="199"/>
        <v>0</v>
      </c>
      <c r="AD356" s="29">
        <f t="shared" si="190"/>
        <v>0</v>
      </c>
      <c r="AE356" s="25">
        <f t="shared" si="200"/>
        <v>0</v>
      </c>
      <c r="AF356" s="25">
        <f t="shared" si="191"/>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2"/>
        <v>-1</v>
      </c>
      <c r="B357">
        <f t="shared" si="201"/>
        <v>6</v>
      </c>
      <c r="C357">
        <f t="shared" si="179"/>
        <v>300</v>
      </c>
      <c r="D357">
        <f t="shared" si="193"/>
        <v>0</v>
      </c>
      <c r="E357">
        <f t="shared" si="213"/>
        <v>5</v>
      </c>
      <c r="F357">
        <f t="shared" si="180"/>
        <v>360</v>
      </c>
      <c r="G357">
        <f t="shared" si="194"/>
        <v>0</v>
      </c>
      <c r="H357">
        <f t="shared" si="202"/>
        <v>4</v>
      </c>
      <c r="I357">
        <f t="shared" si="181"/>
        <v>360</v>
      </c>
      <c r="J357">
        <f t="shared" si="195"/>
        <v>0</v>
      </c>
      <c r="K357">
        <f t="shared" si="203"/>
        <v>3</v>
      </c>
      <c r="L357">
        <f t="shared" si="182"/>
        <v>360</v>
      </c>
      <c r="M357">
        <f t="shared" si="196"/>
        <v>0</v>
      </c>
      <c r="N357">
        <f t="shared" si="204"/>
        <v>2</v>
      </c>
      <c r="O357">
        <f t="shared" si="183"/>
        <v>300</v>
      </c>
      <c r="P357">
        <f t="shared" si="205"/>
        <v>0</v>
      </c>
      <c r="Q357">
        <f t="shared" si="206"/>
        <v>2</v>
      </c>
      <c r="R357">
        <f t="shared" si="184"/>
        <v>300</v>
      </c>
      <c r="S357">
        <f t="shared" si="207"/>
        <v>0</v>
      </c>
      <c r="T357">
        <f t="shared" si="208"/>
        <v>-1</v>
      </c>
      <c r="U357">
        <f t="shared" si="197"/>
        <v>1</v>
      </c>
      <c r="V357">
        <f t="shared" si="198"/>
        <v>1</v>
      </c>
      <c r="W357">
        <f t="shared" si="185"/>
        <v>0</v>
      </c>
      <c r="X357">
        <f t="shared" si="209"/>
        <v>0</v>
      </c>
      <c r="Y357">
        <f t="shared" si="186"/>
        <v>0</v>
      </c>
      <c r="Z357">
        <f t="shared" si="187"/>
        <v>0</v>
      </c>
      <c r="AA357">
        <f t="shared" si="188"/>
        <v>0</v>
      </c>
      <c r="AB357" s="29">
        <f t="shared" si="189"/>
        <v>0</v>
      </c>
      <c r="AC357" s="25">
        <f t="shared" si="199"/>
        <v>0</v>
      </c>
      <c r="AD357" s="29">
        <f t="shared" si="190"/>
        <v>0</v>
      </c>
      <c r="AE357" s="25">
        <f t="shared" si="200"/>
        <v>0</v>
      </c>
      <c r="AF357" s="25">
        <f t="shared" si="191"/>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2"/>
        <v>-1</v>
      </c>
      <c r="B358">
        <f t="shared" si="201"/>
        <v>6</v>
      </c>
      <c r="C358">
        <f t="shared" si="179"/>
        <v>300</v>
      </c>
      <c r="D358">
        <f t="shared" si="193"/>
        <v>0</v>
      </c>
      <c r="E358">
        <f t="shared" si="213"/>
        <v>5</v>
      </c>
      <c r="F358">
        <f t="shared" si="180"/>
        <v>360</v>
      </c>
      <c r="G358">
        <f t="shared" si="194"/>
        <v>0</v>
      </c>
      <c r="H358">
        <f t="shared" si="202"/>
        <v>4</v>
      </c>
      <c r="I358">
        <f t="shared" si="181"/>
        <v>360</v>
      </c>
      <c r="J358">
        <f t="shared" si="195"/>
        <v>0</v>
      </c>
      <c r="K358">
        <f t="shared" si="203"/>
        <v>3</v>
      </c>
      <c r="L358">
        <f t="shared" si="182"/>
        <v>360</v>
      </c>
      <c r="M358">
        <f t="shared" si="196"/>
        <v>0</v>
      </c>
      <c r="N358">
        <f t="shared" si="204"/>
        <v>2</v>
      </c>
      <c r="O358">
        <f t="shared" si="183"/>
        <v>300</v>
      </c>
      <c r="P358">
        <f t="shared" si="205"/>
        <v>0</v>
      </c>
      <c r="Q358">
        <f t="shared" si="206"/>
        <v>2</v>
      </c>
      <c r="R358">
        <f t="shared" si="184"/>
        <v>300</v>
      </c>
      <c r="S358">
        <f t="shared" si="207"/>
        <v>0</v>
      </c>
      <c r="T358">
        <f t="shared" si="208"/>
        <v>-1</v>
      </c>
      <c r="U358">
        <f t="shared" si="197"/>
        <v>1</v>
      </c>
      <c r="V358">
        <f t="shared" si="198"/>
        <v>1</v>
      </c>
      <c r="W358">
        <f t="shared" si="185"/>
        <v>0</v>
      </c>
      <c r="X358">
        <f t="shared" si="209"/>
        <v>0</v>
      </c>
      <c r="Y358">
        <f t="shared" si="186"/>
        <v>0</v>
      </c>
      <c r="Z358">
        <f t="shared" si="187"/>
        <v>0</v>
      </c>
      <c r="AA358">
        <f t="shared" si="188"/>
        <v>0</v>
      </c>
      <c r="AB358" s="29">
        <f t="shared" si="189"/>
        <v>0</v>
      </c>
      <c r="AC358" s="25">
        <f t="shared" si="199"/>
        <v>0</v>
      </c>
      <c r="AD358" s="29">
        <f t="shared" si="190"/>
        <v>0</v>
      </c>
      <c r="AE358" s="25">
        <f t="shared" si="200"/>
        <v>0</v>
      </c>
      <c r="AF358" s="25">
        <f t="shared" si="191"/>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2"/>
        <v>-1</v>
      </c>
      <c r="B359">
        <f t="shared" si="201"/>
        <v>6</v>
      </c>
      <c r="C359">
        <f t="shared" si="179"/>
        <v>300</v>
      </c>
      <c r="D359">
        <f t="shared" si="193"/>
        <v>0</v>
      </c>
      <c r="E359">
        <f t="shared" si="213"/>
        <v>5</v>
      </c>
      <c r="F359">
        <f t="shared" si="180"/>
        <v>360</v>
      </c>
      <c r="G359">
        <f t="shared" si="194"/>
        <v>0</v>
      </c>
      <c r="H359">
        <f t="shared" si="202"/>
        <v>4</v>
      </c>
      <c r="I359">
        <f t="shared" si="181"/>
        <v>360</v>
      </c>
      <c r="J359">
        <f t="shared" si="195"/>
        <v>0</v>
      </c>
      <c r="K359">
        <f t="shared" si="203"/>
        <v>3</v>
      </c>
      <c r="L359">
        <f t="shared" si="182"/>
        <v>360</v>
      </c>
      <c r="M359">
        <f t="shared" si="196"/>
        <v>0</v>
      </c>
      <c r="N359">
        <f t="shared" si="204"/>
        <v>2</v>
      </c>
      <c r="O359">
        <f t="shared" si="183"/>
        <v>300</v>
      </c>
      <c r="P359">
        <f t="shared" si="205"/>
        <v>0</v>
      </c>
      <c r="Q359">
        <f t="shared" si="206"/>
        <v>2</v>
      </c>
      <c r="R359">
        <f t="shared" si="184"/>
        <v>300</v>
      </c>
      <c r="S359">
        <f t="shared" si="207"/>
        <v>0</v>
      </c>
      <c r="T359">
        <f t="shared" si="208"/>
        <v>-1</v>
      </c>
      <c r="U359">
        <f t="shared" si="197"/>
        <v>1</v>
      </c>
      <c r="V359">
        <f t="shared" si="198"/>
        <v>1</v>
      </c>
      <c r="W359">
        <f t="shared" si="185"/>
        <v>0</v>
      </c>
      <c r="X359">
        <f t="shared" si="209"/>
        <v>0</v>
      </c>
      <c r="Y359">
        <f t="shared" si="186"/>
        <v>0</v>
      </c>
      <c r="Z359">
        <f t="shared" si="187"/>
        <v>0</v>
      </c>
      <c r="AA359">
        <f t="shared" si="188"/>
        <v>0</v>
      </c>
      <c r="AB359" s="29">
        <f t="shared" si="189"/>
        <v>0</v>
      </c>
      <c r="AC359" s="25">
        <f t="shared" si="199"/>
        <v>0</v>
      </c>
      <c r="AD359" s="29">
        <f t="shared" si="190"/>
        <v>0</v>
      </c>
      <c r="AE359" s="25">
        <f t="shared" si="200"/>
        <v>0</v>
      </c>
      <c r="AF359" s="25">
        <f t="shared" si="191"/>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2"/>
        <v>-1</v>
      </c>
      <c r="B360">
        <f t="shared" si="201"/>
        <v>6</v>
      </c>
      <c r="C360">
        <f t="shared" si="179"/>
        <v>300</v>
      </c>
      <c r="D360">
        <f t="shared" si="193"/>
        <v>0</v>
      </c>
      <c r="E360">
        <f t="shared" si="213"/>
        <v>5</v>
      </c>
      <c r="F360">
        <f t="shared" si="180"/>
        <v>360</v>
      </c>
      <c r="G360">
        <f t="shared" si="194"/>
        <v>0</v>
      </c>
      <c r="H360">
        <f t="shared" si="202"/>
        <v>4</v>
      </c>
      <c r="I360">
        <f t="shared" si="181"/>
        <v>360</v>
      </c>
      <c r="J360">
        <f t="shared" si="195"/>
        <v>0</v>
      </c>
      <c r="K360">
        <f t="shared" si="203"/>
        <v>3</v>
      </c>
      <c r="L360">
        <f t="shared" si="182"/>
        <v>360</v>
      </c>
      <c r="M360">
        <f t="shared" si="196"/>
        <v>0</v>
      </c>
      <c r="N360">
        <f t="shared" si="204"/>
        <v>2</v>
      </c>
      <c r="O360">
        <f t="shared" si="183"/>
        <v>300</v>
      </c>
      <c r="P360">
        <f t="shared" si="205"/>
        <v>0</v>
      </c>
      <c r="Q360">
        <f t="shared" si="206"/>
        <v>2</v>
      </c>
      <c r="R360">
        <f t="shared" si="184"/>
        <v>300</v>
      </c>
      <c r="S360">
        <f t="shared" si="207"/>
        <v>0</v>
      </c>
      <c r="T360">
        <f t="shared" si="208"/>
        <v>-1</v>
      </c>
      <c r="U360">
        <f t="shared" si="197"/>
        <v>1</v>
      </c>
      <c r="V360">
        <f t="shared" si="198"/>
        <v>1</v>
      </c>
      <c r="W360">
        <f t="shared" si="185"/>
        <v>0</v>
      </c>
      <c r="X360">
        <f t="shared" si="209"/>
        <v>0</v>
      </c>
      <c r="Y360">
        <f t="shared" si="186"/>
        <v>0</v>
      </c>
      <c r="Z360">
        <f t="shared" si="187"/>
        <v>0</v>
      </c>
      <c r="AA360">
        <f t="shared" si="188"/>
        <v>0</v>
      </c>
      <c r="AB360" s="29">
        <f t="shared" si="189"/>
        <v>0</v>
      </c>
      <c r="AC360" s="25">
        <f t="shared" si="199"/>
        <v>0</v>
      </c>
      <c r="AD360" s="29">
        <f t="shared" si="190"/>
        <v>0</v>
      </c>
      <c r="AE360" s="25">
        <f t="shared" si="200"/>
        <v>0</v>
      </c>
      <c r="AF360" s="25">
        <f t="shared" si="191"/>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2"/>
        <v>-1</v>
      </c>
      <c r="B361">
        <f t="shared" si="201"/>
        <v>6</v>
      </c>
      <c r="C361">
        <f t="shared" si="179"/>
        <v>300</v>
      </c>
      <c r="D361">
        <f t="shared" si="193"/>
        <v>0</v>
      </c>
      <c r="E361">
        <f t="shared" si="213"/>
        <v>5</v>
      </c>
      <c r="F361">
        <f t="shared" si="180"/>
        <v>360</v>
      </c>
      <c r="G361">
        <f t="shared" si="194"/>
        <v>0</v>
      </c>
      <c r="H361">
        <f t="shared" si="202"/>
        <v>4</v>
      </c>
      <c r="I361">
        <f t="shared" si="181"/>
        <v>360</v>
      </c>
      <c r="J361">
        <f t="shared" si="195"/>
        <v>0</v>
      </c>
      <c r="K361">
        <f t="shared" si="203"/>
        <v>3</v>
      </c>
      <c r="L361">
        <f t="shared" si="182"/>
        <v>360</v>
      </c>
      <c r="M361">
        <f t="shared" si="196"/>
        <v>0</v>
      </c>
      <c r="N361">
        <f t="shared" si="204"/>
        <v>2</v>
      </c>
      <c r="O361">
        <f t="shared" si="183"/>
        <v>300</v>
      </c>
      <c r="P361">
        <f t="shared" si="205"/>
        <v>0</v>
      </c>
      <c r="Q361">
        <f t="shared" si="206"/>
        <v>2</v>
      </c>
      <c r="R361">
        <f t="shared" si="184"/>
        <v>300</v>
      </c>
      <c r="S361">
        <f t="shared" si="207"/>
        <v>0</v>
      </c>
      <c r="T361">
        <f t="shared" si="208"/>
        <v>-1</v>
      </c>
      <c r="U361">
        <f t="shared" si="197"/>
        <v>1</v>
      </c>
      <c r="V361">
        <f t="shared" si="198"/>
        <v>1</v>
      </c>
      <c r="W361">
        <f t="shared" si="185"/>
        <v>0</v>
      </c>
      <c r="X361">
        <f t="shared" si="209"/>
        <v>0</v>
      </c>
      <c r="Y361">
        <f t="shared" si="186"/>
        <v>0</v>
      </c>
      <c r="Z361">
        <f t="shared" si="187"/>
        <v>0</v>
      </c>
      <c r="AA361">
        <f t="shared" si="188"/>
        <v>0</v>
      </c>
      <c r="AB361" s="29">
        <f t="shared" si="189"/>
        <v>0</v>
      </c>
      <c r="AC361" s="25">
        <f t="shared" si="199"/>
        <v>0</v>
      </c>
      <c r="AD361" s="29">
        <f t="shared" si="190"/>
        <v>0</v>
      </c>
      <c r="AE361" s="25">
        <f t="shared" si="200"/>
        <v>0</v>
      </c>
      <c r="AF361" s="25">
        <f t="shared" si="191"/>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2"/>
        <v>-1</v>
      </c>
      <c r="B362">
        <f t="shared" si="201"/>
        <v>6</v>
      </c>
      <c r="C362">
        <f t="shared" si="179"/>
        <v>300</v>
      </c>
      <c r="D362">
        <f t="shared" si="193"/>
        <v>0</v>
      </c>
      <c r="E362">
        <f t="shared" si="213"/>
        <v>5</v>
      </c>
      <c r="F362">
        <f t="shared" si="180"/>
        <v>360</v>
      </c>
      <c r="G362">
        <f t="shared" si="194"/>
        <v>0</v>
      </c>
      <c r="H362">
        <f t="shared" si="202"/>
        <v>4</v>
      </c>
      <c r="I362">
        <f t="shared" si="181"/>
        <v>360</v>
      </c>
      <c r="J362">
        <f t="shared" si="195"/>
        <v>0</v>
      </c>
      <c r="K362">
        <f t="shared" si="203"/>
        <v>3</v>
      </c>
      <c r="L362">
        <f t="shared" si="182"/>
        <v>360</v>
      </c>
      <c r="M362">
        <f t="shared" si="196"/>
        <v>0</v>
      </c>
      <c r="N362">
        <f t="shared" si="204"/>
        <v>2</v>
      </c>
      <c r="O362">
        <f t="shared" si="183"/>
        <v>300</v>
      </c>
      <c r="P362">
        <f t="shared" si="205"/>
        <v>0</v>
      </c>
      <c r="Q362">
        <f t="shared" si="206"/>
        <v>2</v>
      </c>
      <c r="R362">
        <f t="shared" si="184"/>
        <v>300</v>
      </c>
      <c r="S362">
        <f t="shared" si="207"/>
        <v>0</v>
      </c>
      <c r="T362">
        <f t="shared" si="208"/>
        <v>-1</v>
      </c>
      <c r="U362">
        <f t="shared" si="197"/>
        <v>1</v>
      </c>
      <c r="V362">
        <f t="shared" si="198"/>
        <v>1</v>
      </c>
      <c r="W362">
        <f t="shared" si="185"/>
        <v>0</v>
      </c>
      <c r="X362">
        <f t="shared" si="209"/>
        <v>0</v>
      </c>
      <c r="Y362">
        <f t="shared" si="186"/>
        <v>0</v>
      </c>
      <c r="Z362">
        <f t="shared" si="187"/>
        <v>0</v>
      </c>
      <c r="AA362">
        <f t="shared" si="188"/>
        <v>0</v>
      </c>
      <c r="AB362" s="29">
        <f t="shared" si="189"/>
        <v>0</v>
      </c>
      <c r="AC362" s="25">
        <f t="shared" si="199"/>
        <v>0</v>
      </c>
      <c r="AD362" s="29">
        <f t="shared" si="190"/>
        <v>0</v>
      </c>
      <c r="AE362" s="25">
        <f t="shared" si="200"/>
        <v>0</v>
      </c>
      <c r="AF362" s="25">
        <f t="shared" si="191"/>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2"/>
        <v>-1</v>
      </c>
      <c r="B363">
        <f t="shared" si="201"/>
        <v>6</v>
      </c>
      <c r="C363">
        <f t="shared" si="179"/>
        <v>300</v>
      </c>
      <c r="D363">
        <f t="shared" si="193"/>
        <v>0</v>
      </c>
      <c r="E363">
        <f t="shared" si="213"/>
        <v>5</v>
      </c>
      <c r="F363">
        <f t="shared" si="180"/>
        <v>360</v>
      </c>
      <c r="G363">
        <f t="shared" si="194"/>
        <v>0</v>
      </c>
      <c r="H363">
        <f t="shared" si="202"/>
        <v>4</v>
      </c>
      <c r="I363">
        <f t="shared" si="181"/>
        <v>360</v>
      </c>
      <c r="J363">
        <f t="shared" si="195"/>
        <v>0</v>
      </c>
      <c r="K363">
        <f t="shared" si="203"/>
        <v>3</v>
      </c>
      <c r="L363">
        <f t="shared" si="182"/>
        <v>360</v>
      </c>
      <c r="M363">
        <f t="shared" si="196"/>
        <v>0</v>
      </c>
      <c r="N363">
        <f t="shared" si="204"/>
        <v>2</v>
      </c>
      <c r="O363">
        <f t="shared" si="183"/>
        <v>300</v>
      </c>
      <c r="P363">
        <f t="shared" si="205"/>
        <v>0</v>
      </c>
      <c r="Q363">
        <f t="shared" si="206"/>
        <v>2</v>
      </c>
      <c r="R363">
        <f t="shared" si="184"/>
        <v>300</v>
      </c>
      <c r="S363">
        <f t="shared" si="207"/>
        <v>0</v>
      </c>
      <c r="T363">
        <f t="shared" si="208"/>
        <v>-1</v>
      </c>
      <c r="U363">
        <f t="shared" si="197"/>
        <v>1</v>
      </c>
      <c r="V363">
        <f t="shared" si="198"/>
        <v>1</v>
      </c>
      <c r="W363">
        <f t="shared" si="185"/>
        <v>0</v>
      </c>
      <c r="X363">
        <f t="shared" si="209"/>
        <v>0</v>
      </c>
      <c r="Y363">
        <f t="shared" si="186"/>
        <v>0</v>
      </c>
      <c r="Z363">
        <f t="shared" si="187"/>
        <v>0</v>
      </c>
      <c r="AA363">
        <f t="shared" si="188"/>
        <v>0</v>
      </c>
      <c r="AB363" s="29">
        <f t="shared" si="189"/>
        <v>0</v>
      </c>
      <c r="AC363" s="25">
        <f t="shared" si="199"/>
        <v>0</v>
      </c>
      <c r="AD363" s="29">
        <f t="shared" si="190"/>
        <v>0</v>
      </c>
      <c r="AE363" s="25">
        <f t="shared" si="200"/>
        <v>0</v>
      </c>
      <c r="AF363" s="25">
        <f t="shared" si="191"/>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2"/>
        <v>-1</v>
      </c>
      <c r="B364">
        <f t="shared" si="201"/>
        <v>6</v>
      </c>
      <c r="C364">
        <f t="shared" si="179"/>
        <v>300</v>
      </c>
      <c r="D364">
        <f t="shared" si="193"/>
        <v>0</v>
      </c>
      <c r="E364">
        <f t="shared" si="213"/>
        <v>5</v>
      </c>
      <c r="F364">
        <f t="shared" si="180"/>
        <v>360</v>
      </c>
      <c r="G364">
        <f t="shared" si="194"/>
        <v>0</v>
      </c>
      <c r="H364">
        <f t="shared" si="202"/>
        <v>4</v>
      </c>
      <c r="I364">
        <f t="shared" si="181"/>
        <v>360</v>
      </c>
      <c r="J364">
        <f t="shared" si="195"/>
        <v>0</v>
      </c>
      <c r="K364">
        <f t="shared" si="203"/>
        <v>3</v>
      </c>
      <c r="L364">
        <f t="shared" si="182"/>
        <v>360</v>
      </c>
      <c r="M364">
        <f t="shared" si="196"/>
        <v>0</v>
      </c>
      <c r="N364">
        <f t="shared" si="204"/>
        <v>2</v>
      </c>
      <c r="O364">
        <f t="shared" si="183"/>
        <v>300</v>
      </c>
      <c r="P364">
        <f t="shared" si="205"/>
        <v>0</v>
      </c>
      <c r="Q364">
        <f t="shared" si="206"/>
        <v>2</v>
      </c>
      <c r="R364">
        <f t="shared" si="184"/>
        <v>300</v>
      </c>
      <c r="S364">
        <f t="shared" si="207"/>
        <v>0</v>
      </c>
      <c r="T364">
        <f t="shared" si="208"/>
        <v>-1</v>
      </c>
      <c r="U364">
        <f t="shared" si="197"/>
        <v>1</v>
      </c>
      <c r="V364">
        <f t="shared" si="198"/>
        <v>1</v>
      </c>
      <c r="W364">
        <f t="shared" si="185"/>
        <v>0</v>
      </c>
      <c r="X364">
        <f t="shared" si="209"/>
        <v>0</v>
      </c>
      <c r="Y364">
        <f t="shared" si="186"/>
        <v>0</v>
      </c>
      <c r="Z364">
        <f t="shared" si="187"/>
        <v>0</v>
      </c>
      <c r="AA364">
        <f t="shared" si="188"/>
        <v>0</v>
      </c>
      <c r="AB364" s="29">
        <f t="shared" si="189"/>
        <v>0</v>
      </c>
      <c r="AC364" s="25">
        <f t="shared" si="199"/>
        <v>0</v>
      </c>
      <c r="AD364" s="29">
        <f t="shared" si="190"/>
        <v>0</v>
      </c>
      <c r="AE364" s="25">
        <f t="shared" si="200"/>
        <v>0</v>
      </c>
      <c r="AF364" s="25">
        <f t="shared" si="191"/>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2"/>
        <v>-1</v>
      </c>
      <c r="B365">
        <f t="shared" si="201"/>
        <v>6</v>
      </c>
      <c r="C365">
        <f t="shared" si="179"/>
        <v>300</v>
      </c>
      <c r="D365">
        <f t="shared" si="193"/>
        <v>0</v>
      </c>
      <c r="E365">
        <f t="shared" si="213"/>
        <v>5</v>
      </c>
      <c r="F365">
        <f t="shared" si="180"/>
        <v>360</v>
      </c>
      <c r="G365">
        <f t="shared" si="194"/>
        <v>0</v>
      </c>
      <c r="H365">
        <f t="shared" si="202"/>
        <v>4</v>
      </c>
      <c r="I365">
        <f t="shared" si="181"/>
        <v>360</v>
      </c>
      <c r="J365">
        <f t="shared" si="195"/>
        <v>0</v>
      </c>
      <c r="K365">
        <f t="shared" si="203"/>
        <v>3</v>
      </c>
      <c r="L365">
        <f t="shared" si="182"/>
        <v>360</v>
      </c>
      <c r="M365">
        <f t="shared" si="196"/>
        <v>0</v>
      </c>
      <c r="N365">
        <f t="shared" si="204"/>
        <v>2</v>
      </c>
      <c r="O365">
        <f t="shared" si="183"/>
        <v>300</v>
      </c>
      <c r="P365">
        <f t="shared" si="205"/>
        <v>0</v>
      </c>
      <c r="Q365">
        <f t="shared" si="206"/>
        <v>2</v>
      </c>
      <c r="R365">
        <f t="shared" si="184"/>
        <v>300</v>
      </c>
      <c r="S365">
        <f t="shared" si="207"/>
        <v>0</v>
      </c>
      <c r="T365">
        <f t="shared" si="208"/>
        <v>-1</v>
      </c>
      <c r="U365">
        <f t="shared" si="197"/>
        <v>1</v>
      </c>
      <c r="V365">
        <f t="shared" si="198"/>
        <v>1</v>
      </c>
      <c r="W365">
        <f t="shared" si="185"/>
        <v>0</v>
      </c>
      <c r="X365">
        <f t="shared" si="209"/>
        <v>0</v>
      </c>
      <c r="Y365">
        <f t="shared" si="186"/>
        <v>0</v>
      </c>
      <c r="Z365">
        <f t="shared" si="187"/>
        <v>0</v>
      </c>
      <c r="AA365">
        <f t="shared" si="188"/>
        <v>0</v>
      </c>
      <c r="AB365" s="29">
        <f t="shared" si="189"/>
        <v>0</v>
      </c>
      <c r="AC365" s="25">
        <f t="shared" si="199"/>
        <v>0</v>
      </c>
      <c r="AD365" s="29">
        <f t="shared" si="190"/>
        <v>0</v>
      </c>
      <c r="AE365" s="25">
        <f t="shared" si="200"/>
        <v>0</v>
      </c>
      <c r="AF365" s="25">
        <f t="shared" si="191"/>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2"/>
        <v>-1</v>
      </c>
      <c r="B366">
        <f t="shared" si="201"/>
        <v>6</v>
      </c>
      <c r="C366">
        <f t="shared" si="179"/>
        <v>300</v>
      </c>
      <c r="D366">
        <f t="shared" si="193"/>
        <v>0</v>
      </c>
      <c r="E366">
        <f t="shared" si="213"/>
        <v>5</v>
      </c>
      <c r="F366">
        <f t="shared" si="180"/>
        <v>360</v>
      </c>
      <c r="G366">
        <f t="shared" si="194"/>
        <v>0</v>
      </c>
      <c r="H366">
        <f t="shared" si="202"/>
        <v>4</v>
      </c>
      <c r="I366">
        <f t="shared" si="181"/>
        <v>360</v>
      </c>
      <c r="J366">
        <f t="shared" si="195"/>
        <v>0</v>
      </c>
      <c r="K366">
        <f t="shared" si="203"/>
        <v>3</v>
      </c>
      <c r="L366">
        <f t="shared" si="182"/>
        <v>360</v>
      </c>
      <c r="M366">
        <f t="shared" si="196"/>
        <v>0</v>
      </c>
      <c r="N366">
        <f t="shared" si="204"/>
        <v>2</v>
      </c>
      <c r="O366">
        <f t="shared" si="183"/>
        <v>300</v>
      </c>
      <c r="P366">
        <f t="shared" si="205"/>
        <v>0</v>
      </c>
      <c r="Q366">
        <f t="shared" si="206"/>
        <v>2</v>
      </c>
      <c r="R366">
        <f t="shared" si="184"/>
        <v>300</v>
      </c>
      <c r="S366">
        <f t="shared" si="207"/>
        <v>0</v>
      </c>
      <c r="T366">
        <f t="shared" si="208"/>
        <v>-1</v>
      </c>
      <c r="U366">
        <f t="shared" si="197"/>
        <v>1</v>
      </c>
      <c r="V366">
        <f t="shared" si="198"/>
        <v>1</v>
      </c>
      <c r="W366">
        <f t="shared" si="185"/>
        <v>0</v>
      </c>
      <c r="X366">
        <f t="shared" si="209"/>
        <v>0</v>
      </c>
      <c r="Y366">
        <f t="shared" si="186"/>
        <v>0</v>
      </c>
      <c r="Z366">
        <f t="shared" si="187"/>
        <v>0</v>
      </c>
      <c r="AA366">
        <f t="shared" si="188"/>
        <v>0</v>
      </c>
      <c r="AB366" s="29">
        <f t="shared" si="189"/>
        <v>0</v>
      </c>
      <c r="AC366" s="25">
        <f t="shared" si="199"/>
        <v>0</v>
      </c>
      <c r="AD366" s="29">
        <f t="shared" si="190"/>
        <v>0</v>
      </c>
      <c r="AE366" s="25">
        <f t="shared" si="200"/>
        <v>0</v>
      </c>
      <c r="AF366" s="25">
        <f t="shared" si="191"/>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2"/>
        <v>-1</v>
      </c>
      <c r="B367">
        <f t="shared" si="201"/>
        <v>6</v>
      </c>
      <c r="C367">
        <f t="shared" si="179"/>
        <v>300</v>
      </c>
      <c r="D367">
        <f t="shared" si="193"/>
        <v>0</v>
      </c>
      <c r="E367">
        <f t="shared" si="213"/>
        <v>5</v>
      </c>
      <c r="F367">
        <f t="shared" si="180"/>
        <v>360</v>
      </c>
      <c r="G367">
        <f t="shared" si="194"/>
        <v>0</v>
      </c>
      <c r="H367">
        <f t="shared" si="202"/>
        <v>4</v>
      </c>
      <c r="I367">
        <f t="shared" si="181"/>
        <v>360</v>
      </c>
      <c r="J367">
        <f t="shared" si="195"/>
        <v>0</v>
      </c>
      <c r="K367">
        <f t="shared" si="203"/>
        <v>3</v>
      </c>
      <c r="L367">
        <f t="shared" si="182"/>
        <v>360</v>
      </c>
      <c r="M367">
        <f t="shared" si="196"/>
        <v>0</v>
      </c>
      <c r="N367">
        <f t="shared" si="204"/>
        <v>2</v>
      </c>
      <c r="O367">
        <f t="shared" si="183"/>
        <v>300</v>
      </c>
      <c r="P367">
        <f t="shared" si="205"/>
        <v>0</v>
      </c>
      <c r="Q367">
        <f t="shared" si="206"/>
        <v>2</v>
      </c>
      <c r="R367">
        <f t="shared" si="184"/>
        <v>300</v>
      </c>
      <c r="S367">
        <f t="shared" si="207"/>
        <v>0</v>
      </c>
      <c r="T367">
        <f t="shared" si="208"/>
        <v>-1</v>
      </c>
      <c r="U367">
        <f t="shared" si="197"/>
        <v>1</v>
      </c>
      <c r="V367">
        <f t="shared" si="198"/>
        <v>1</v>
      </c>
      <c r="W367">
        <f t="shared" si="185"/>
        <v>0</v>
      </c>
      <c r="X367">
        <f t="shared" si="209"/>
        <v>0</v>
      </c>
      <c r="Y367">
        <f t="shared" si="186"/>
        <v>0</v>
      </c>
      <c r="Z367">
        <f t="shared" si="187"/>
        <v>0</v>
      </c>
      <c r="AA367">
        <f t="shared" si="188"/>
        <v>0</v>
      </c>
      <c r="AB367" s="29">
        <f t="shared" si="189"/>
        <v>0</v>
      </c>
      <c r="AC367" s="25">
        <f t="shared" si="199"/>
        <v>0</v>
      </c>
      <c r="AD367" s="29">
        <f t="shared" si="190"/>
        <v>0</v>
      </c>
      <c r="AE367" s="25">
        <f t="shared" si="200"/>
        <v>0</v>
      </c>
      <c r="AF367" s="25">
        <f t="shared" si="191"/>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2"/>
        <v>-1</v>
      </c>
      <c r="B368">
        <f t="shared" si="201"/>
        <v>6</v>
      </c>
      <c r="C368">
        <f t="shared" si="179"/>
        <v>300</v>
      </c>
      <c r="D368">
        <f t="shared" si="193"/>
        <v>0</v>
      </c>
      <c r="E368">
        <f t="shared" si="213"/>
        <v>5</v>
      </c>
      <c r="F368">
        <f t="shared" si="180"/>
        <v>360</v>
      </c>
      <c r="G368">
        <f t="shared" si="194"/>
        <v>0</v>
      </c>
      <c r="H368">
        <f t="shared" si="202"/>
        <v>4</v>
      </c>
      <c r="I368">
        <f t="shared" si="181"/>
        <v>360</v>
      </c>
      <c r="J368">
        <f t="shared" si="195"/>
        <v>0</v>
      </c>
      <c r="K368">
        <f t="shared" si="203"/>
        <v>3</v>
      </c>
      <c r="L368">
        <f t="shared" si="182"/>
        <v>360</v>
      </c>
      <c r="M368">
        <f t="shared" si="196"/>
        <v>0</v>
      </c>
      <c r="N368">
        <f t="shared" si="204"/>
        <v>2</v>
      </c>
      <c r="O368">
        <f t="shared" si="183"/>
        <v>300</v>
      </c>
      <c r="P368">
        <f t="shared" si="205"/>
        <v>0</v>
      </c>
      <c r="Q368">
        <f t="shared" si="206"/>
        <v>2</v>
      </c>
      <c r="R368">
        <f t="shared" si="184"/>
        <v>300</v>
      </c>
      <c r="S368">
        <f t="shared" si="207"/>
        <v>0</v>
      </c>
      <c r="T368">
        <f t="shared" si="208"/>
        <v>-1</v>
      </c>
      <c r="U368">
        <f t="shared" si="197"/>
        <v>1</v>
      </c>
      <c r="V368">
        <f t="shared" si="198"/>
        <v>1</v>
      </c>
      <c r="W368">
        <f t="shared" si="185"/>
        <v>0</v>
      </c>
      <c r="X368">
        <f t="shared" si="209"/>
        <v>0</v>
      </c>
      <c r="Y368">
        <f t="shared" si="186"/>
        <v>0</v>
      </c>
      <c r="Z368">
        <f t="shared" si="187"/>
        <v>0</v>
      </c>
      <c r="AA368">
        <f t="shared" si="188"/>
        <v>0</v>
      </c>
      <c r="AB368" s="29">
        <f t="shared" si="189"/>
        <v>0</v>
      </c>
      <c r="AC368" s="25">
        <f t="shared" si="199"/>
        <v>0</v>
      </c>
      <c r="AD368" s="29">
        <f t="shared" si="190"/>
        <v>0</v>
      </c>
      <c r="AE368" s="25">
        <f t="shared" si="200"/>
        <v>0</v>
      </c>
      <c r="AF368" s="25">
        <f t="shared" si="191"/>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2"/>
        <v>-1</v>
      </c>
      <c r="B369">
        <f t="shared" si="201"/>
        <v>6</v>
      </c>
      <c r="C369">
        <f t="shared" si="179"/>
        <v>300</v>
      </c>
      <c r="D369">
        <f t="shared" si="193"/>
        <v>0</v>
      </c>
      <c r="E369">
        <f t="shared" si="213"/>
        <v>5</v>
      </c>
      <c r="F369">
        <f t="shared" si="180"/>
        <v>360</v>
      </c>
      <c r="G369">
        <f t="shared" si="194"/>
        <v>0</v>
      </c>
      <c r="H369">
        <f t="shared" si="202"/>
        <v>4</v>
      </c>
      <c r="I369">
        <f t="shared" si="181"/>
        <v>360</v>
      </c>
      <c r="J369">
        <f t="shared" si="195"/>
        <v>0</v>
      </c>
      <c r="K369">
        <f t="shared" si="203"/>
        <v>3</v>
      </c>
      <c r="L369">
        <f t="shared" si="182"/>
        <v>360</v>
      </c>
      <c r="M369">
        <f t="shared" si="196"/>
        <v>0</v>
      </c>
      <c r="N369">
        <f t="shared" si="204"/>
        <v>2</v>
      </c>
      <c r="O369">
        <f t="shared" si="183"/>
        <v>300</v>
      </c>
      <c r="P369">
        <f t="shared" si="205"/>
        <v>0</v>
      </c>
      <c r="Q369">
        <f t="shared" si="206"/>
        <v>2</v>
      </c>
      <c r="R369">
        <f t="shared" si="184"/>
        <v>300</v>
      </c>
      <c r="S369">
        <f t="shared" si="207"/>
        <v>0</v>
      </c>
      <c r="T369">
        <f t="shared" si="208"/>
        <v>-1</v>
      </c>
      <c r="U369">
        <f t="shared" si="197"/>
        <v>1</v>
      </c>
      <c r="V369">
        <f t="shared" si="198"/>
        <v>1</v>
      </c>
      <c r="W369">
        <f t="shared" si="185"/>
        <v>0</v>
      </c>
      <c r="X369">
        <f t="shared" si="209"/>
        <v>0</v>
      </c>
      <c r="Y369">
        <f t="shared" si="186"/>
        <v>0</v>
      </c>
      <c r="Z369">
        <f t="shared" si="187"/>
        <v>0</v>
      </c>
      <c r="AA369">
        <f t="shared" si="188"/>
        <v>0</v>
      </c>
      <c r="AB369" s="29">
        <f t="shared" si="189"/>
        <v>0</v>
      </c>
      <c r="AC369" s="25">
        <f t="shared" si="199"/>
        <v>0</v>
      </c>
      <c r="AD369" s="29">
        <f t="shared" si="190"/>
        <v>0</v>
      </c>
      <c r="AE369" s="25">
        <f t="shared" si="200"/>
        <v>0</v>
      </c>
      <c r="AF369" s="25">
        <f t="shared" si="191"/>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2"/>
        <v>-1</v>
      </c>
      <c r="B370">
        <f t="shared" si="201"/>
        <v>6</v>
      </c>
      <c r="C370">
        <f t="shared" si="179"/>
        <v>300</v>
      </c>
      <c r="D370">
        <f t="shared" si="193"/>
        <v>0</v>
      </c>
      <c r="E370">
        <f t="shared" si="213"/>
        <v>5</v>
      </c>
      <c r="F370">
        <f t="shared" si="180"/>
        <v>360</v>
      </c>
      <c r="G370">
        <f t="shared" si="194"/>
        <v>0</v>
      </c>
      <c r="H370">
        <f t="shared" si="202"/>
        <v>4</v>
      </c>
      <c r="I370">
        <f t="shared" si="181"/>
        <v>360</v>
      </c>
      <c r="J370">
        <f t="shared" si="195"/>
        <v>0</v>
      </c>
      <c r="K370">
        <f t="shared" si="203"/>
        <v>3</v>
      </c>
      <c r="L370">
        <f t="shared" si="182"/>
        <v>360</v>
      </c>
      <c r="M370">
        <f t="shared" si="196"/>
        <v>0</v>
      </c>
      <c r="N370">
        <f t="shared" si="204"/>
        <v>2</v>
      </c>
      <c r="O370">
        <f t="shared" si="183"/>
        <v>300</v>
      </c>
      <c r="P370">
        <f t="shared" si="205"/>
        <v>0</v>
      </c>
      <c r="Q370">
        <f t="shared" si="206"/>
        <v>2</v>
      </c>
      <c r="R370">
        <f t="shared" si="184"/>
        <v>300</v>
      </c>
      <c r="S370">
        <f t="shared" si="207"/>
        <v>0</v>
      </c>
      <c r="T370">
        <f t="shared" si="208"/>
        <v>-1</v>
      </c>
      <c r="U370">
        <f t="shared" si="197"/>
        <v>1</v>
      </c>
      <c r="V370">
        <f t="shared" si="198"/>
        <v>1</v>
      </c>
      <c r="W370">
        <f t="shared" si="185"/>
        <v>0</v>
      </c>
      <c r="X370">
        <f t="shared" si="209"/>
        <v>0</v>
      </c>
      <c r="Y370">
        <f t="shared" si="186"/>
        <v>0</v>
      </c>
      <c r="Z370">
        <f t="shared" si="187"/>
        <v>0</v>
      </c>
      <c r="AA370">
        <f t="shared" si="188"/>
        <v>0</v>
      </c>
      <c r="AB370" s="29">
        <f t="shared" si="189"/>
        <v>0</v>
      </c>
      <c r="AC370" s="25">
        <f t="shared" si="199"/>
        <v>0</v>
      </c>
      <c r="AD370" s="29">
        <f t="shared" si="190"/>
        <v>0</v>
      </c>
      <c r="AE370" s="25">
        <f t="shared" si="200"/>
        <v>0</v>
      </c>
      <c r="AF370" s="25">
        <f t="shared" si="191"/>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2"/>
        <v>-1</v>
      </c>
      <c r="B371">
        <f t="shared" si="201"/>
        <v>6</v>
      </c>
      <c r="C371">
        <f t="shared" si="179"/>
        <v>300</v>
      </c>
      <c r="D371">
        <f t="shared" si="193"/>
        <v>0</v>
      </c>
      <c r="E371">
        <f t="shared" si="213"/>
        <v>5</v>
      </c>
      <c r="F371">
        <f t="shared" si="180"/>
        <v>360</v>
      </c>
      <c r="G371">
        <f t="shared" si="194"/>
        <v>0</v>
      </c>
      <c r="H371">
        <f t="shared" si="202"/>
        <v>4</v>
      </c>
      <c r="I371">
        <f t="shared" si="181"/>
        <v>360</v>
      </c>
      <c r="J371">
        <f t="shared" si="195"/>
        <v>0</v>
      </c>
      <c r="K371">
        <f t="shared" si="203"/>
        <v>3</v>
      </c>
      <c r="L371">
        <f t="shared" si="182"/>
        <v>360</v>
      </c>
      <c r="M371">
        <f t="shared" si="196"/>
        <v>0</v>
      </c>
      <c r="N371">
        <f t="shared" si="204"/>
        <v>2</v>
      </c>
      <c r="O371">
        <f t="shared" si="183"/>
        <v>300</v>
      </c>
      <c r="P371">
        <f t="shared" si="205"/>
        <v>0</v>
      </c>
      <c r="Q371">
        <f t="shared" si="206"/>
        <v>2</v>
      </c>
      <c r="R371">
        <f t="shared" si="184"/>
        <v>300</v>
      </c>
      <c r="S371">
        <f t="shared" si="207"/>
        <v>0</v>
      </c>
      <c r="T371">
        <f t="shared" si="208"/>
        <v>-1</v>
      </c>
      <c r="U371">
        <f t="shared" si="197"/>
        <v>1</v>
      </c>
      <c r="V371">
        <f t="shared" si="198"/>
        <v>1</v>
      </c>
      <c r="W371">
        <f t="shared" si="185"/>
        <v>0</v>
      </c>
      <c r="X371">
        <f t="shared" si="209"/>
        <v>0</v>
      </c>
      <c r="Y371">
        <f t="shared" si="186"/>
        <v>0</v>
      </c>
      <c r="Z371">
        <f t="shared" si="187"/>
        <v>0</v>
      </c>
      <c r="AA371">
        <f t="shared" si="188"/>
        <v>0</v>
      </c>
      <c r="AB371" s="29">
        <f t="shared" si="189"/>
        <v>0</v>
      </c>
      <c r="AC371" s="25">
        <f t="shared" si="199"/>
        <v>0</v>
      </c>
      <c r="AD371" s="29">
        <f t="shared" si="190"/>
        <v>0</v>
      </c>
      <c r="AE371" s="25">
        <f t="shared" si="200"/>
        <v>0</v>
      </c>
      <c r="AF371" s="25">
        <f t="shared" si="191"/>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2"/>
        <v>-1</v>
      </c>
      <c r="B372">
        <f t="shared" si="201"/>
        <v>6</v>
      </c>
      <c r="C372">
        <f t="shared" si="179"/>
        <v>300</v>
      </c>
      <c r="D372">
        <f t="shared" si="193"/>
        <v>0</v>
      </c>
      <c r="E372">
        <f t="shared" si="213"/>
        <v>5</v>
      </c>
      <c r="F372">
        <f t="shared" si="180"/>
        <v>360</v>
      </c>
      <c r="G372">
        <f t="shared" si="194"/>
        <v>0</v>
      </c>
      <c r="H372">
        <f t="shared" si="202"/>
        <v>4</v>
      </c>
      <c r="I372">
        <f t="shared" si="181"/>
        <v>360</v>
      </c>
      <c r="J372">
        <f t="shared" si="195"/>
        <v>0</v>
      </c>
      <c r="K372">
        <f t="shared" si="203"/>
        <v>3</v>
      </c>
      <c r="L372">
        <f t="shared" si="182"/>
        <v>360</v>
      </c>
      <c r="M372">
        <f t="shared" si="196"/>
        <v>0</v>
      </c>
      <c r="N372">
        <f t="shared" si="204"/>
        <v>2</v>
      </c>
      <c r="O372">
        <f t="shared" si="183"/>
        <v>300</v>
      </c>
      <c r="P372">
        <f t="shared" si="205"/>
        <v>0</v>
      </c>
      <c r="Q372">
        <f t="shared" si="206"/>
        <v>2</v>
      </c>
      <c r="R372">
        <f t="shared" si="184"/>
        <v>300</v>
      </c>
      <c r="S372">
        <f t="shared" si="207"/>
        <v>0</v>
      </c>
      <c r="T372">
        <f t="shared" si="208"/>
        <v>-1</v>
      </c>
      <c r="U372">
        <f t="shared" si="197"/>
        <v>1</v>
      </c>
      <c r="V372">
        <f t="shared" si="198"/>
        <v>1</v>
      </c>
      <c r="W372">
        <f t="shared" si="185"/>
        <v>0</v>
      </c>
      <c r="X372">
        <f t="shared" si="209"/>
        <v>0</v>
      </c>
      <c r="Y372">
        <f t="shared" si="186"/>
        <v>0</v>
      </c>
      <c r="Z372">
        <f t="shared" si="187"/>
        <v>0</v>
      </c>
      <c r="AA372">
        <f t="shared" si="188"/>
        <v>0</v>
      </c>
      <c r="AB372" s="29">
        <f t="shared" si="189"/>
        <v>0</v>
      </c>
      <c r="AC372" s="25">
        <f t="shared" si="199"/>
        <v>0</v>
      </c>
      <c r="AD372" s="29">
        <f t="shared" si="190"/>
        <v>0</v>
      </c>
      <c r="AE372" s="25">
        <f t="shared" si="200"/>
        <v>0</v>
      </c>
      <c r="AF372" s="25">
        <f t="shared" si="191"/>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2"/>
        <v>-1</v>
      </c>
      <c r="B373">
        <f t="shared" si="201"/>
        <v>6</v>
      </c>
      <c r="C373">
        <f t="shared" si="179"/>
        <v>300</v>
      </c>
      <c r="D373">
        <f t="shared" si="193"/>
        <v>0</v>
      </c>
      <c r="E373">
        <f t="shared" si="213"/>
        <v>5</v>
      </c>
      <c r="F373">
        <f t="shared" si="180"/>
        <v>360</v>
      </c>
      <c r="G373">
        <f t="shared" si="194"/>
        <v>0</v>
      </c>
      <c r="H373">
        <f t="shared" si="202"/>
        <v>4</v>
      </c>
      <c r="I373">
        <f t="shared" si="181"/>
        <v>360</v>
      </c>
      <c r="J373">
        <f t="shared" si="195"/>
        <v>0</v>
      </c>
      <c r="K373">
        <f t="shared" si="203"/>
        <v>3</v>
      </c>
      <c r="L373">
        <f t="shared" si="182"/>
        <v>360</v>
      </c>
      <c r="M373">
        <f t="shared" si="196"/>
        <v>0</v>
      </c>
      <c r="N373">
        <f t="shared" si="204"/>
        <v>2</v>
      </c>
      <c r="O373">
        <f t="shared" si="183"/>
        <v>300</v>
      </c>
      <c r="P373">
        <f t="shared" si="205"/>
        <v>0</v>
      </c>
      <c r="Q373">
        <f t="shared" si="206"/>
        <v>2</v>
      </c>
      <c r="R373">
        <f t="shared" si="184"/>
        <v>300</v>
      </c>
      <c r="S373">
        <f t="shared" si="207"/>
        <v>0</v>
      </c>
      <c r="T373">
        <f t="shared" si="208"/>
        <v>-1</v>
      </c>
      <c r="U373">
        <f t="shared" si="197"/>
        <v>1</v>
      </c>
      <c r="V373">
        <f t="shared" si="198"/>
        <v>1</v>
      </c>
      <c r="W373">
        <f t="shared" si="185"/>
        <v>0</v>
      </c>
      <c r="X373">
        <f t="shared" si="209"/>
        <v>0</v>
      </c>
      <c r="Y373">
        <f t="shared" si="186"/>
        <v>0</v>
      </c>
      <c r="Z373">
        <f t="shared" si="187"/>
        <v>0</v>
      </c>
      <c r="AA373">
        <f t="shared" si="188"/>
        <v>0</v>
      </c>
      <c r="AB373" s="29">
        <f t="shared" si="189"/>
        <v>0</v>
      </c>
      <c r="AC373" s="25">
        <f t="shared" si="199"/>
        <v>0</v>
      </c>
      <c r="AD373" s="29">
        <f t="shared" si="190"/>
        <v>0</v>
      </c>
      <c r="AE373" s="25">
        <f t="shared" si="200"/>
        <v>0</v>
      </c>
      <c r="AF373" s="25">
        <f t="shared" si="191"/>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2"/>
        <v>-1</v>
      </c>
      <c r="B374">
        <f t="shared" si="201"/>
        <v>6</v>
      </c>
      <c r="C374">
        <f t="shared" si="179"/>
        <v>300</v>
      </c>
      <c r="D374">
        <f t="shared" si="193"/>
        <v>0</v>
      </c>
      <c r="E374">
        <f t="shared" si="213"/>
        <v>5</v>
      </c>
      <c r="F374">
        <f t="shared" si="180"/>
        <v>360</v>
      </c>
      <c r="G374">
        <f t="shared" si="194"/>
        <v>0</v>
      </c>
      <c r="H374">
        <f t="shared" si="202"/>
        <v>4</v>
      </c>
      <c r="I374">
        <f t="shared" si="181"/>
        <v>360</v>
      </c>
      <c r="J374">
        <f t="shared" si="195"/>
        <v>0</v>
      </c>
      <c r="K374">
        <f t="shared" si="203"/>
        <v>3</v>
      </c>
      <c r="L374">
        <f t="shared" si="182"/>
        <v>360</v>
      </c>
      <c r="M374">
        <f t="shared" si="196"/>
        <v>0</v>
      </c>
      <c r="N374">
        <f t="shared" si="204"/>
        <v>2</v>
      </c>
      <c r="O374">
        <f t="shared" si="183"/>
        <v>300</v>
      </c>
      <c r="P374">
        <f t="shared" si="205"/>
        <v>0</v>
      </c>
      <c r="Q374">
        <f t="shared" si="206"/>
        <v>2</v>
      </c>
      <c r="R374">
        <f t="shared" si="184"/>
        <v>300</v>
      </c>
      <c r="S374">
        <f t="shared" si="207"/>
        <v>0</v>
      </c>
      <c r="T374">
        <f t="shared" si="208"/>
        <v>-1</v>
      </c>
      <c r="U374">
        <f t="shared" si="197"/>
        <v>1</v>
      </c>
      <c r="V374">
        <f t="shared" si="198"/>
        <v>1</v>
      </c>
      <c r="W374">
        <f t="shared" si="185"/>
        <v>0</v>
      </c>
      <c r="X374">
        <f t="shared" si="209"/>
        <v>0</v>
      </c>
      <c r="Y374">
        <f t="shared" si="186"/>
        <v>0</v>
      </c>
      <c r="Z374">
        <f t="shared" si="187"/>
        <v>0</v>
      </c>
      <c r="AA374">
        <f t="shared" si="188"/>
        <v>0</v>
      </c>
      <c r="AB374" s="29">
        <f t="shared" si="189"/>
        <v>0</v>
      </c>
      <c r="AC374" s="25">
        <f t="shared" si="199"/>
        <v>0</v>
      </c>
      <c r="AD374" s="29">
        <f t="shared" si="190"/>
        <v>0</v>
      </c>
      <c r="AE374" s="25">
        <f t="shared" si="200"/>
        <v>0</v>
      </c>
      <c r="AF374" s="25">
        <f t="shared" si="191"/>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2"/>
        <v>-1</v>
      </c>
      <c r="B375">
        <f t="shared" si="201"/>
        <v>6</v>
      </c>
      <c r="C375">
        <f t="shared" si="179"/>
        <v>300</v>
      </c>
      <c r="D375">
        <f t="shared" si="193"/>
        <v>0</v>
      </c>
      <c r="E375">
        <f t="shared" si="213"/>
        <v>5</v>
      </c>
      <c r="F375">
        <f t="shared" si="180"/>
        <v>360</v>
      </c>
      <c r="G375">
        <f t="shared" si="194"/>
        <v>0</v>
      </c>
      <c r="H375">
        <f t="shared" si="202"/>
        <v>4</v>
      </c>
      <c r="I375">
        <f t="shared" si="181"/>
        <v>360</v>
      </c>
      <c r="J375">
        <f t="shared" si="195"/>
        <v>0</v>
      </c>
      <c r="K375">
        <f t="shared" si="203"/>
        <v>3</v>
      </c>
      <c r="L375">
        <f t="shared" si="182"/>
        <v>360</v>
      </c>
      <c r="M375">
        <f t="shared" si="196"/>
        <v>0</v>
      </c>
      <c r="N375">
        <f t="shared" si="204"/>
        <v>2</v>
      </c>
      <c r="O375">
        <f t="shared" si="183"/>
        <v>300</v>
      </c>
      <c r="P375">
        <f t="shared" si="205"/>
        <v>0</v>
      </c>
      <c r="Q375">
        <f t="shared" si="206"/>
        <v>2</v>
      </c>
      <c r="R375">
        <f t="shared" si="184"/>
        <v>300</v>
      </c>
      <c r="S375">
        <f t="shared" si="207"/>
        <v>0</v>
      </c>
      <c r="T375">
        <f t="shared" si="208"/>
        <v>-1</v>
      </c>
      <c r="U375">
        <f t="shared" si="197"/>
        <v>1</v>
      </c>
      <c r="V375">
        <f t="shared" si="198"/>
        <v>1</v>
      </c>
      <c r="W375">
        <f t="shared" si="185"/>
        <v>0</v>
      </c>
      <c r="X375">
        <f t="shared" si="209"/>
        <v>0</v>
      </c>
      <c r="Y375">
        <f t="shared" si="186"/>
        <v>0</v>
      </c>
      <c r="Z375">
        <f t="shared" si="187"/>
        <v>0</v>
      </c>
      <c r="AA375">
        <f t="shared" si="188"/>
        <v>0</v>
      </c>
      <c r="AB375" s="29">
        <f t="shared" si="189"/>
        <v>0</v>
      </c>
      <c r="AC375" s="25">
        <f t="shared" si="199"/>
        <v>0</v>
      </c>
      <c r="AD375" s="29">
        <f t="shared" si="190"/>
        <v>0</v>
      </c>
      <c r="AE375" s="25">
        <f t="shared" si="200"/>
        <v>0</v>
      </c>
      <c r="AF375" s="25">
        <f t="shared" si="191"/>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2"/>
        <v>-1</v>
      </c>
      <c r="B376">
        <f t="shared" si="201"/>
        <v>6</v>
      </c>
      <c r="C376">
        <f t="shared" si="179"/>
        <v>300</v>
      </c>
      <c r="D376">
        <f t="shared" si="193"/>
        <v>0</v>
      </c>
      <c r="E376">
        <f t="shared" si="213"/>
        <v>5</v>
      </c>
      <c r="F376">
        <f t="shared" si="180"/>
        <v>360</v>
      </c>
      <c r="G376">
        <f t="shared" si="194"/>
        <v>0</v>
      </c>
      <c r="H376">
        <f t="shared" si="202"/>
        <v>4</v>
      </c>
      <c r="I376">
        <f t="shared" si="181"/>
        <v>360</v>
      </c>
      <c r="J376">
        <f t="shared" si="195"/>
        <v>0</v>
      </c>
      <c r="K376">
        <f t="shared" si="203"/>
        <v>3</v>
      </c>
      <c r="L376">
        <f t="shared" si="182"/>
        <v>360</v>
      </c>
      <c r="M376">
        <f t="shared" si="196"/>
        <v>0</v>
      </c>
      <c r="N376">
        <f t="shared" si="204"/>
        <v>2</v>
      </c>
      <c r="O376">
        <f t="shared" si="183"/>
        <v>300</v>
      </c>
      <c r="P376">
        <f t="shared" si="205"/>
        <v>0</v>
      </c>
      <c r="Q376">
        <f t="shared" si="206"/>
        <v>2</v>
      </c>
      <c r="R376">
        <f t="shared" si="184"/>
        <v>300</v>
      </c>
      <c r="S376">
        <f t="shared" si="207"/>
        <v>0</v>
      </c>
      <c r="T376">
        <f t="shared" si="208"/>
        <v>-1</v>
      </c>
      <c r="U376">
        <f t="shared" si="197"/>
        <v>1</v>
      </c>
      <c r="V376">
        <f t="shared" si="198"/>
        <v>1</v>
      </c>
      <c r="W376">
        <f t="shared" si="185"/>
        <v>0</v>
      </c>
      <c r="X376">
        <f t="shared" si="209"/>
        <v>0</v>
      </c>
      <c r="Y376">
        <f t="shared" si="186"/>
        <v>0</v>
      </c>
      <c r="Z376">
        <f t="shared" si="187"/>
        <v>0</v>
      </c>
      <c r="AA376">
        <f t="shared" si="188"/>
        <v>0</v>
      </c>
      <c r="AB376" s="29">
        <f t="shared" si="189"/>
        <v>0</v>
      </c>
      <c r="AC376" s="25">
        <f t="shared" si="199"/>
        <v>0</v>
      </c>
      <c r="AD376" s="29">
        <f t="shared" si="190"/>
        <v>0</v>
      </c>
      <c r="AE376" s="25">
        <f t="shared" si="200"/>
        <v>0</v>
      </c>
      <c r="AF376" s="25">
        <f t="shared" si="191"/>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2"/>
        <v>-1</v>
      </c>
      <c r="B377">
        <f t="shared" si="201"/>
        <v>6</v>
      </c>
      <c r="C377">
        <f t="shared" si="179"/>
        <v>300</v>
      </c>
      <c r="D377">
        <f t="shared" si="193"/>
        <v>0</v>
      </c>
      <c r="E377">
        <f t="shared" si="213"/>
        <v>5</v>
      </c>
      <c r="F377">
        <f t="shared" si="180"/>
        <v>360</v>
      </c>
      <c r="G377">
        <f t="shared" si="194"/>
        <v>0</v>
      </c>
      <c r="H377">
        <f t="shared" si="202"/>
        <v>4</v>
      </c>
      <c r="I377">
        <f t="shared" si="181"/>
        <v>360</v>
      </c>
      <c r="J377">
        <f t="shared" si="195"/>
        <v>0</v>
      </c>
      <c r="K377">
        <f t="shared" si="203"/>
        <v>3</v>
      </c>
      <c r="L377">
        <f t="shared" si="182"/>
        <v>360</v>
      </c>
      <c r="M377">
        <f t="shared" si="196"/>
        <v>0</v>
      </c>
      <c r="N377">
        <f t="shared" si="204"/>
        <v>2</v>
      </c>
      <c r="O377">
        <f t="shared" si="183"/>
        <v>300</v>
      </c>
      <c r="P377">
        <f t="shared" si="205"/>
        <v>0</v>
      </c>
      <c r="Q377">
        <f t="shared" si="206"/>
        <v>2</v>
      </c>
      <c r="R377">
        <f t="shared" si="184"/>
        <v>300</v>
      </c>
      <c r="S377">
        <f t="shared" si="207"/>
        <v>0</v>
      </c>
      <c r="T377">
        <f t="shared" si="208"/>
        <v>-1</v>
      </c>
      <c r="U377">
        <f t="shared" si="197"/>
        <v>1</v>
      </c>
      <c r="V377">
        <f t="shared" si="198"/>
        <v>1</v>
      </c>
      <c r="W377">
        <f t="shared" si="185"/>
        <v>0</v>
      </c>
      <c r="X377">
        <f t="shared" si="209"/>
        <v>0</v>
      </c>
      <c r="Y377">
        <f t="shared" si="186"/>
        <v>0</v>
      </c>
      <c r="Z377">
        <f t="shared" si="187"/>
        <v>0</v>
      </c>
      <c r="AA377">
        <f t="shared" si="188"/>
        <v>0</v>
      </c>
      <c r="AB377" s="29">
        <f t="shared" si="189"/>
        <v>0</v>
      </c>
      <c r="AC377" s="25">
        <f t="shared" si="199"/>
        <v>0</v>
      </c>
      <c r="AD377" s="29">
        <f t="shared" si="190"/>
        <v>0</v>
      </c>
      <c r="AE377" s="25">
        <f t="shared" si="200"/>
        <v>0</v>
      </c>
      <c r="AF377" s="25">
        <f t="shared" si="191"/>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2"/>
        <v>-1</v>
      </c>
      <c r="B378">
        <f t="shared" si="201"/>
        <v>6</v>
      </c>
      <c r="C378">
        <f t="shared" si="179"/>
        <v>300</v>
      </c>
      <c r="D378">
        <f t="shared" si="193"/>
        <v>0</v>
      </c>
      <c r="E378">
        <f t="shared" si="213"/>
        <v>5</v>
      </c>
      <c r="F378">
        <f t="shared" si="180"/>
        <v>360</v>
      </c>
      <c r="G378">
        <f t="shared" si="194"/>
        <v>0</v>
      </c>
      <c r="H378">
        <f t="shared" si="202"/>
        <v>4</v>
      </c>
      <c r="I378">
        <f t="shared" si="181"/>
        <v>360</v>
      </c>
      <c r="J378">
        <f t="shared" si="195"/>
        <v>0</v>
      </c>
      <c r="K378">
        <f t="shared" si="203"/>
        <v>3</v>
      </c>
      <c r="L378">
        <f t="shared" si="182"/>
        <v>360</v>
      </c>
      <c r="M378">
        <f t="shared" si="196"/>
        <v>0</v>
      </c>
      <c r="N378">
        <f t="shared" si="204"/>
        <v>2</v>
      </c>
      <c r="O378">
        <f t="shared" si="183"/>
        <v>300</v>
      </c>
      <c r="P378">
        <f t="shared" si="205"/>
        <v>0</v>
      </c>
      <c r="Q378">
        <f t="shared" si="206"/>
        <v>2</v>
      </c>
      <c r="R378">
        <f t="shared" si="184"/>
        <v>300</v>
      </c>
      <c r="S378">
        <f t="shared" si="207"/>
        <v>0</v>
      </c>
      <c r="T378">
        <f t="shared" si="208"/>
        <v>-1</v>
      </c>
      <c r="U378">
        <f t="shared" si="197"/>
        <v>1</v>
      </c>
      <c r="V378">
        <f t="shared" si="198"/>
        <v>1</v>
      </c>
      <c r="W378">
        <f t="shared" si="185"/>
        <v>0</v>
      </c>
      <c r="X378">
        <f t="shared" si="209"/>
        <v>0</v>
      </c>
      <c r="Y378">
        <f t="shared" si="186"/>
        <v>0</v>
      </c>
      <c r="Z378">
        <f t="shared" si="187"/>
        <v>0</v>
      </c>
      <c r="AA378">
        <f t="shared" si="188"/>
        <v>0</v>
      </c>
      <c r="AB378" s="29">
        <f t="shared" si="189"/>
        <v>0</v>
      </c>
      <c r="AC378" s="25">
        <f t="shared" si="199"/>
        <v>0</v>
      </c>
      <c r="AD378" s="29">
        <f t="shared" si="190"/>
        <v>0</v>
      </c>
      <c r="AE378" s="25">
        <f t="shared" si="200"/>
        <v>0</v>
      </c>
      <c r="AF378" s="25">
        <f t="shared" si="191"/>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2"/>
        <v>-1</v>
      </c>
      <c r="B379">
        <f t="shared" si="201"/>
        <v>6</v>
      </c>
      <c r="C379">
        <f t="shared" si="179"/>
        <v>300</v>
      </c>
      <c r="D379">
        <f t="shared" si="193"/>
        <v>0</v>
      </c>
      <c r="E379">
        <f t="shared" si="213"/>
        <v>5</v>
      </c>
      <c r="F379">
        <f t="shared" si="180"/>
        <v>360</v>
      </c>
      <c r="G379">
        <f t="shared" si="194"/>
        <v>0</v>
      </c>
      <c r="H379">
        <f t="shared" si="202"/>
        <v>4</v>
      </c>
      <c r="I379">
        <f t="shared" si="181"/>
        <v>360</v>
      </c>
      <c r="J379">
        <f t="shared" si="195"/>
        <v>0</v>
      </c>
      <c r="K379">
        <f t="shared" si="203"/>
        <v>3</v>
      </c>
      <c r="L379">
        <f t="shared" si="182"/>
        <v>360</v>
      </c>
      <c r="M379">
        <f t="shared" si="196"/>
        <v>0</v>
      </c>
      <c r="N379">
        <f t="shared" si="204"/>
        <v>2</v>
      </c>
      <c r="O379">
        <f t="shared" si="183"/>
        <v>300</v>
      </c>
      <c r="P379">
        <f t="shared" si="205"/>
        <v>0</v>
      </c>
      <c r="Q379">
        <f t="shared" si="206"/>
        <v>2</v>
      </c>
      <c r="R379">
        <f t="shared" si="184"/>
        <v>300</v>
      </c>
      <c r="S379">
        <f t="shared" si="207"/>
        <v>0</v>
      </c>
      <c r="T379">
        <f t="shared" si="208"/>
        <v>-1</v>
      </c>
      <c r="U379">
        <f t="shared" si="197"/>
        <v>1</v>
      </c>
      <c r="V379">
        <f t="shared" si="198"/>
        <v>1</v>
      </c>
      <c r="W379">
        <f t="shared" si="185"/>
        <v>0</v>
      </c>
      <c r="X379">
        <f t="shared" si="209"/>
        <v>0</v>
      </c>
      <c r="Y379">
        <f t="shared" si="186"/>
        <v>0</v>
      </c>
      <c r="Z379">
        <f t="shared" si="187"/>
        <v>0</v>
      </c>
      <c r="AA379">
        <f t="shared" si="188"/>
        <v>0</v>
      </c>
      <c r="AB379" s="29">
        <f t="shared" si="189"/>
        <v>0</v>
      </c>
      <c r="AC379" s="25">
        <f t="shared" si="199"/>
        <v>0</v>
      </c>
      <c r="AD379" s="29">
        <f t="shared" si="190"/>
        <v>0</v>
      </c>
      <c r="AE379" s="25">
        <f t="shared" si="200"/>
        <v>0</v>
      </c>
      <c r="AF379" s="25">
        <f t="shared" si="191"/>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2"/>
        <v>-1</v>
      </c>
      <c r="B380">
        <f t="shared" si="201"/>
        <v>6</v>
      </c>
      <c r="C380">
        <f t="shared" si="179"/>
        <v>300</v>
      </c>
      <c r="D380">
        <f t="shared" si="193"/>
        <v>0</v>
      </c>
      <c r="E380">
        <f t="shared" si="213"/>
        <v>5</v>
      </c>
      <c r="F380">
        <f t="shared" si="180"/>
        <v>360</v>
      </c>
      <c r="G380">
        <f t="shared" si="194"/>
        <v>0</v>
      </c>
      <c r="H380">
        <f t="shared" si="202"/>
        <v>4</v>
      </c>
      <c r="I380">
        <f t="shared" si="181"/>
        <v>360</v>
      </c>
      <c r="J380">
        <f t="shared" si="195"/>
        <v>0</v>
      </c>
      <c r="K380">
        <f t="shared" si="203"/>
        <v>3</v>
      </c>
      <c r="L380">
        <f t="shared" si="182"/>
        <v>360</v>
      </c>
      <c r="M380">
        <f t="shared" si="196"/>
        <v>0</v>
      </c>
      <c r="N380">
        <f t="shared" si="204"/>
        <v>2</v>
      </c>
      <c r="O380">
        <f t="shared" si="183"/>
        <v>300</v>
      </c>
      <c r="P380">
        <f t="shared" si="205"/>
        <v>0</v>
      </c>
      <c r="Q380">
        <f t="shared" si="206"/>
        <v>2</v>
      </c>
      <c r="R380">
        <f t="shared" si="184"/>
        <v>300</v>
      </c>
      <c r="S380">
        <f t="shared" si="207"/>
        <v>0</v>
      </c>
      <c r="T380">
        <f t="shared" si="208"/>
        <v>-1</v>
      </c>
      <c r="U380">
        <f t="shared" si="197"/>
        <v>1</v>
      </c>
      <c r="V380">
        <f t="shared" si="198"/>
        <v>1</v>
      </c>
      <c r="W380">
        <f t="shared" si="185"/>
        <v>0</v>
      </c>
      <c r="X380">
        <f t="shared" si="209"/>
        <v>0</v>
      </c>
      <c r="Y380">
        <f t="shared" si="186"/>
        <v>0</v>
      </c>
      <c r="Z380">
        <f t="shared" si="187"/>
        <v>0</v>
      </c>
      <c r="AA380">
        <f t="shared" si="188"/>
        <v>0</v>
      </c>
      <c r="AB380" s="29">
        <f t="shared" si="189"/>
        <v>0</v>
      </c>
      <c r="AC380" s="25">
        <f t="shared" si="199"/>
        <v>0</v>
      </c>
      <c r="AD380" s="29">
        <f t="shared" si="190"/>
        <v>0</v>
      </c>
      <c r="AE380" s="25">
        <f t="shared" si="200"/>
        <v>0</v>
      </c>
      <c r="AF380" s="25">
        <f t="shared" si="191"/>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2"/>
        <v>-1</v>
      </c>
      <c r="B381">
        <f t="shared" si="201"/>
        <v>6</v>
      </c>
      <c r="C381">
        <f t="shared" si="179"/>
        <v>300</v>
      </c>
      <c r="D381">
        <f t="shared" si="193"/>
        <v>0</v>
      </c>
      <c r="E381">
        <f t="shared" si="213"/>
        <v>5</v>
      </c>
      <c r="F381">
        <f t="shared" si="180"/>
        <v>360</v>
      </c>
      <c r="G381">
        <f t="shared" si="194"/>
        <v>0</v>
      </c>
      <c r="H381">
        <f t="shared" si="202"/>
        <v>4</v>
      </c>
      <c r="I381">
        <f t="shared" si="181"/>
        <v>360</v>
      </c>
      <c r="J381">
        <f t="shared" si="195"/>
        <v>0</v>
      </c>
      <c r="K381">
        <f t="shared" si="203"/>
        <v>3</v>
      </c>
      <c r="L381">
        <f t="shared" si="182"/>
        <v>360</v>
      </c>
      <c r="M381">
        <f t="shared" si="196"/>
        <v>0</v>
      </c>
      <c r="N381">
        <f t="shared" si="204"/>
        <v>2</v>
      </c>
      <c r="O381">
        <f t="shared" si="183"/>
        <v>300</v>
      </c>
      <c r="P381">
        <f t="shared" si="205"/>
        <v>0</v>
      </c>
      <c r="Q381">
        <f t="shared" si="206"/>
        <v>2</v>
      </c>
      <c r="R381">
        <f t="shared" si="184"/>
        <v>300</v>
      </c>
      <c r="S381">
        <f t="shared" si="207"/>
        <v>0</v>
      </c>
      <c r="T381">
        <f t="shared" si="208"/>
        <v>-1</v>
      </c>
      <c r="U381">
        <f t="shared" si="197"/>
        <v>1</v>
      </c>
      <c r="V381">
        <f t="shared" si="198"/>
        <v>1</v>
      </c>
      <c r="W381">
        <f t="shared" si="185"/>
        <v>0</v>
      </c>
      <c r="X381">
        <f t="shared" si="209"/>
        <v>0</v>
      </c>
      <c r="Y381">
        <f t="shared" si="186"/>
        <v>0</v>
      </c>
      <c r="Z381">
        <f t="shared" si="187"/>
        <v>0</v>
      </c>
      <c r="AA381">
        <f t="shared" si="188"/>
        <v>0</v>
      </c>
      <c r="AB381" s="29">
        <f t="shared" si="189"/>
        <v>0</v>
      </c>
      <c r="AC381" s="25">
        <f t="shared" si="199"/>
        <v>0</v>
      </c>
      <c r="AD381" s="29">
        <f t="shared" si="190"/>
        <v>0</v>
      </c>
      <c r="AE381" s="25">
        <f t="shared" si="200"/>
        <v>0</v>
      </c>
      <c r="AF381" s="25">
        <f t="shared" si="191"/>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2"/>
        <v>-1</v>
      </c>
      <c r="B382">
        <f t="shared" si="201"/>
        <v>6</v>
      </c>
      <c r="C382">
        <f t="shared" si="179"/>
        <v>300</v>
      </c>
      <c r="D382">
        <f t="shared" si="193"/>
        <v>0</v>
      </c>
      <c r="E382">
        <f t="shared" si="213"/>
        <v>5</v>
      </c>
      <c r="F382">
        <f t="shared" si="180"/>
        <v>360</v>
      </c>
      <c r="G382">
        <f t="shared" si="194"/>
        <v>0</v>
      </c>
      <c r="H382">
        <f t="shared" si="202"/>
        <v>4</v>
      </c>
      <c r="I382">
        <f t="shared" si="181"/>
        <v>360</v>
      </c>
      <c r="J382">
        <f t="shared" si="195"/>
        <v>0</v>
      </c>
      <c r="K382">
        <f t="shared" si="203"/>
        <v>3</v>
      </c>
      <c r="L382">
        <f t="shared" si="182"/>
        <v>360</v>
      </c>
      <c r="M382">
        <f t="shared" si="196"/>
        <v>0</v>
      </c>
      <c r="N382">
        <f t="shared" si="204"/>
        <v>2</v>
      </c>
      <c r="O382">
        <f t="shared" si="183"/>
        <v>300</v>
      </c>
      <c r="P382">
        <f t="shared" si="205"/>
        <v>0</v>
      </c>
      <c r="Q382">
        <f t="shared" si="206"/>
        <v>2</v>
      </c>
      <c r="R382">
        <f t="shared" si="184"/>
        <v>300</v>
      </c>
      <c r="S382">
        <f t="shared" si="207"/>
        <v>0</v>
      </c>
      <c r="T382">
        <f t="shared" si="208"/>
        <v>-1</v>
      </c>
      <c r="U382">
        <f t="shared" si="197"/>
        <v>1</v>
      </c>
      <c r="V382">
        <f t="shared" si="198"/>
        <v>1</v>
      </c>
      <c r="W382">
        <f t="shared" si="185"/>
        <v>0</v>
      </c>
      <c r="X382">
        <f t="shared" si="209"/>
        <v>0</v>
      </c>
      <c r="Y382">
        <f t="shared" si="186"/>
        <v>0</v>
      </c>
      <c r="Z382">
        <f t="shared" si="187"/>
        <v>0</v>
      </c>
      <c r="AA382">
        <f t="shared" si="188"/>
        <v>0</v>
      </c>
      <c r="AB382" s="29">
        <f t="shared" si="189"/>
        <v>0</v>
      </c>
      <c r="AC382" s="25">
        <f t="shared" si="199"/>
        <v>0</v>
      </c>
      <c r="AD382" s="29">
        <f t="shared" si="190"/>
        <v>0</v>
      </c>
      <c r="AE382" s="25">
        <f t="shared" si="200"/>
        <v>0</v>
      </c>
      <c r="AF382" s="25">
        <f t="shared" si="191"/>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2"/>
        <v>-1</v>
      </c>
      <c r="B383">
        <f t="shared" si="201"/>
        <v>6</v>
      </c>
      <c r="C383">
        <f t="shared" si="179"/>
        <v>300</v>
      </c>
      <c r="D383">
        <f t="shared" si="193"/>
        <v>0</v>
      </c>
      <c r="E383">
        <f t="shared" si="213"/>
        <v>5</v>
      </c>
      <c r="F383">
        <f t="shared" si="180"/>
        <v>360</v>
      </c>
      <c r="G383">
        <f t="shared" si="194"/>
        <v>0</v>
      </c>
      <c r="H383">
        <f t="shared" si="202"/>
        <v>4</v>
      </c>
      <c r="I383">
        <f t="shared" si="181"/>
        <v>360</v>
      </c>
      <c r="J383">
        <f t="shared" si="195"/>
        <v>0</v>
      </c>
      <c r="K383">
        <f t="shared" si="203"/>
        <v>3</v>
      </c>
      <c r="L383">
        <f t="shared" si="182"/>
        <v>360</v>
      </c>
      <c r="M383">
        <f t="shared" si="196"/>
        <v>0</v>
      </c>
      <c r="N383">
        <f t="shared" si="204"/>
        <v>2</v>
      </c>
      <c r="O383">
        <f t="shared" si="183"/>
        <v>300</v>
      </c>
      <c r="P383">
        <f t="shared" si="205"/>
        <v>0</v>
      </c>
      <c r="Q383">
        <f t="shared" si="206"/>
        <v>2</v>
      </c>
      <c r="R383">
        <f t="shared" si="184"/>
        <v>300</v>
      </c>
      <c r="S383">
        <f t="shared" si="207"/>
        <v>0</v>
      </c>
      <c r="T383">
        <f t="shared" si="208"/>
        <v>-1</v>
      </c>
      <c r="U383">
        <f t="shared" si="197"/>
        <v>1</v>
      </c>
      <c r="V383">
        <f t="shared" si="198"/>
        <v>1</v>
      </c>
      <c r="W383">
        <f t="shared" si="185"/>
        <v>0</v>
      </c>
      <c r="X383">
        <f t="shared" si="209"/>
        <v>0</v>
      </c>
      <c r="Y383">
        <f t="shared" si="186"/>
        <v>0</v>
      </c>
      <c r="Z383">
        <f t="shared" si="187"/>
        <v>0</v>
      </c>
      <c r="AA383">
        <f t="shared" si="188"/>
        <v>0</v>
      </c>
      <c r="AB383" s="29">
        <f t="shared" si="189"/>
        <v>0</v>
      </c>
      <c r="AC383" s="25">
        <f t="shared" si="199"/>
        <v>0</v>
      </c>
      <c r="AD383" s="29">
        <f t="shared" si="190"/>
        <v>0</v>
      </c>
      <c r="AE383" s="25">
        <f t="shared" si="200"/>
        <v>0</v>
      </c>
      <c r="AF383" s="25">
        <f t="shared" si="191"/>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2"/>
        <v>-1</v>
      </c>
      <c r="B384">
        <f t="shared" si="201"/>
        <v>6</v>
      </c>
      <c r="C384">
        <f t="shared" si="179"/>
        <v>300</v>
      </c>
      <c r="D384">
        <f t="shared" si="193"/>
        <v>0</v>
      </c>
      <c r="E384">
        <f t="shared" si="213"/>
        <v>5</v>
      </c>
      <c r="F384">
        <f t="shared" si="180"/>
        <v>360</v>
      </c>
      <c r="G384">
        <f t="shared" si="194"/>
        <v>0</v>
      </c>
      <c r="H384">
        <f t="shared" si="202"/>
        <v>4</v>
      </c>
      <c r="I384">
        <f t="shared" si="181"/>
        <v>360</v>
      </c>
      <c r="J384">
        <f t="shared" si="195"/>
        <v>0</v>
      </c>
      <c r="K384">
        <f t="shared" si="203"/>
        <v>3</v>
      </c>
      <c r="L384">
        <f t="shared" si="182"/>
        <v>360</v>
      </c>
      <c r="M384">
        <f t="shared" si="196"/>
        <v>0</v>
      </c>
      <c r="N384">
        <f t="shared" si="204"/>
        <v>2</v>
      </c>
      <c r="O384">
        <f t="shared" si="183"/>
        <v>300</v>
      </c>
      <c r="P384">
        <f t="shared" si="205"/>
        <v>0</v>
      </c>
      <c r="Q384">
        <f t="shared" si="206"/>
        <v>2</v>
      </c>
      <c r="R384">
        <f t="shared" si="184"/>
        <v>300</v>
      </c>
      <c r="S384">
        <f t="shared" si="207"/>
        <v>0</v>
      </c>
      <c r="T384">
        <f t="shared" si="208"/>
        <v>-1</v>
      </c>
      <c r="U384">
        <f t="shared" si="197"/>
        <v>1</v>
      </c>
      <c r="V384">
        <f t="shared" si="198"/>
        <v>1</v>
      </c>
      <c r="W384">
        <f t="shared" si="185"/>
        <v>0</v>
      </c>
      <c r="X384">
        <f t="shared" si="209"/>
        <v>0</v>
      </c>
      <c r="Y384">
        <f t="shared" si="186"/>
        <v>0</v>
      </c>
      <c r="Z384">
        <f t="shared" si="187"/>
        <v>0</v>
      </c>
      <c r="AA384">
        <f t="shared" si="188"/>
        <v>0</v>
      </c>
      <c r="AB384" s="29">
        <f t="shared" si="189"/>
        <v>0</v>
      </c>
      <c r="AC384" s="25">
        <f t="shared" si="199"/>
        <v>0</v>
      </c>
      <c r="AD384" s="29">
        <f t="shared" si="190"/>
        <v>0</v>
      </c>
      <c r="AE384" s="25">
        <f t="shared" si="200"/>
        <v>0</v>
      </c>
      <c r="AF384" s="25">
        <f t="shared" si="191"/>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2"/>
        <v>-1</v>
      </c>
      <c r="B385">
        <f t="shared" si="201"/>
        <v>6</v>
      </c>
      <c r="C385">
        <f t="shared" si="179"/>
        <v>300</v>
      </c>
      <c r="D385">
        <f t="shared" si="193"/>
        <v>0</v>
      </c>
      <c r="E385">
        <f t="shared" si="213"/>
        <v>5</v>
      </c>
      <c r="F385">
        <f t="shared" si="180"/>
        <v>360</v>
      </c>
      <c r="G385">
        <f t="shared" si="194"/>
        <v>0</v>
      </c>
      <c r="H385">
        <f t="shared" si="202"/>
        <v>4</v>
      </c>
      <c r="I385">
        <f t="shared" si="181"/>
        <v>360</v>
      </c>
      <c r="J385">
        <f t="shared" si="195"/>
        <v>0</v>
      </c>
      <c r="K385">
        <f t="shared" si="203"/>
        <v>3</v>
      </c>
      <c r="L385">
        <f t="shared" si="182"/>
        <v>360</v>
      </c>
      <c r="M385">
        <f t="shared" si="196"/>
        <v>0</v>
      </c>
      <c r="N385">
        <f t="shared" si="204"/>
        <v>2</v>
      </c>
      <c r="O385">
        <f t="shared" si="183"/>
        <v>300</v>
      </c>
      <c r="P385">
        <f t="shared" si="205"/>
        <v>0</v>
      </c>
      <c r="Q385">
        <f t="shared" si="206"/>
        <v>2</v>
      </c>
      <c r="R385">
        <f t="shared" si="184"/>
        <v>300</v>
      </c>
      <c r="S385">
        <f t="shared" si="207"/>
        <v>0</v>
      </c>
      <c r="T385">
        <f t="shared" si="208"/>
        <v>-1</v>
      </c>
      <c r="U385">
        <f t="shared" si="197"/>
        <v>1</v>
      </c>
      <c r="V385">
        <f t="shared" si="198"/>
        <v>1</v>
      </c>
      <c r="W385">
        <f t="shared" si="185"/>
        <v>0</v>
      </c>
      <c r="X385">
        <f t="shared" si="209"/>
        <v>0</v>
      </c>
      <c r="Y385">
        <f t="shared" si="186"/>
        <v>0</v>
      </c>
      <c r="Z385">
        <f t="shared" si="187"/>
        <v>0</v>
      </c>
      <c r="AA385">
        <f t="shared" si="188"/>
        <v>0</v>
      </c>
      <c r="AB385" s="29">
        <f t="shared" si="189"/>
        <v>0</v>
      </c>
      <c r="AC385" s="25">
        <f t="shared" si="199"/>
        <v>0</v>
      </c>
      <c r="AD385" s="29">
        <f t="shared" si="190"/>
        <v>0</v>
      </c>
      <c r="AE385" s="25">
        <f t="shared" si="200"/>
        <v>0</v>
      </c>
      <c r="AF385" s="25">
        <f t="shared" si="191"/>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2"/>
        <v>-1</v>
      </c>
      <c r="B386">
        <f t="shared" si="201"/>
        <v>6</v>
      </c>
      <c r="C386">
        <f t="shared" si="179"/>
        <v>300</v>
      </c>
      <c r="D386">
        <f t="shared" si="193"/>
        <v>0</v>
      </c>
      <c r="E386">
        <f t="shared" si="213"/>
        <v>5</v>
      </c>
      <c r="F386">
        <f t="shared" si="180"/>
        <v>360</v>
      </c>
      <c r="G386">
        <f t="shared" si="194"/>
        <v>0</v>
      </c>
      <c r="H386">
        <f t="shared" si="202"/>
        <v>4</v>
      </c>
      <c r="I386">
        <f t="shared" si="181"/>
        <v>360</v>
      </c>
      <c r="J386">
        <f t="shared" si="195"/>
        <v>0</v>
      </c>
      <c r="K386">
        <f t="shared" si="203"/>
        <v>3</v>
      </c>
      <c r="L386">
        <f t="shared" si="182"/>
        <v>360</v>
      </c>
      <c r="M386">
        <f t="shared" si="196"/>
        <v>0</v>
      </c>
      <c r="N386">
        <f t="shared" si="204"/>
        <v>2</v>
      </c>
      <c r="O386">
        <f t="shared" si="183"/>
        <v>300</v>
      </c>
      <c r="P386">
        <f t="shared" si="205"/>
        <v>0</v>
      </c>
      <c r="Q386">
        <f t="shared" si="206"/>
        <v>2</v>
      </c>
      <c r="R386">
        <f t="shared" si="184"/>
        <v>300</v>
      </c>
      <c r="S386">
        <f t="shared" si="207"/>
        <v>0</v>
      </c>
      <c r="T386">
        <f t="shared" si="208"/>
        <v>-1</v>
      </c>
      <c r="U386">
        <f t="shared" si="197"/>
        <v>1</v>
      </c>
      <c r="V386">
        <f t="shared" si="198"/>
        <v>1</v>
      </c>
      <c r="W386">
        <f t="shared" si="185"/>
        <v>0</v>
      </c>
      <c r="X386">
        <f t="shared" si="209"/>
        <v>0</v>
      </c>
      <c r="Y386">
        <f t="shared" si="186"/>
        <v>0</v>
      </c>
      <c r="Z386">
        <f t="shared" si="187"/>
        <v>0</v>
      </c>
      <c r="AA386">
        <f t="shared" si="188"/>
        <v>0</v>
      </c>
      <c r="AB386" s="29">
        <f t="shared" si="189"/>
        <v>0</v>
      </c>
      <c r="AC386" s="25">
        <f t="shared" si="199"/>
        <v>0</v>
      </c>
      <c r="AD386" s="29">
        <f t="shared" si="190"/>
        <v>0</v>
      </c>
      <c r="AE386" s="25">
        <f t="shared" si="200"/>
        <v>0</v>
      </c>
      <c r="AF386" s="25">
        <f t="shared" si="191"/>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2"/>
        <v>-1</v>
      </c>
      <c r="B387">
        <f t="shared" si="201"/>
        <v>6</v>
      </c>
      <c r="C387">
        <f t="shared" ref="C387:C450" si="214">IF(AND(cdspec60,cdspec60plus),CHOOSE($B387,cdspec601,cdspec602,cdspec603,cdspec604,cdspec605,cdspec606,cdspec607,cdspec608,cdspec609,cdspec6010),($B387-1)*60+IF(cdspec60,cdspec601,0))</f>
        <v>300</v>
      </c>
      <c r="D387">
        <f t="shared" si="193"/>
        <v>0</v>
      </c>
      <c r="E387">
        <f t="shared" si="213"/>
        <v>5</v>
      </c>
      <c r="F387">
        <f t="shared" ref="F387:F450" si="215">IF(AND(cdspec90,cdspec90plus),CHOOSE(E387,cdspec901,cdspec902,cdspec903,cdspec904,cdspec905,cdspec906),(E387-1)*IF(cdtreat90as120,120,90)+IF(cdspec90,cdspec901,0))</f>
        <v>360</v>
      </c>
      <c r="G387">
        <f t="shared" si="194"/>
        <v>0</v>
      </c>
      <c r="H387">
        <f t="shared" si="202"/>
        <v>4</v>
      </c>
      <c r="I387">
        <f t="shared" ref="I387:I450" si="216">IF(AND(cdspec120,cdspec120plus),CHOOSE(H387,cdspec1201,cdspec1202,cdspec1203,cdspec1204,cdspec1205),(H387-1)*120+IF(cdspec120,cdspec1201,0))</f>
        <v>360</v>
      </c>
      <c r="J387">
        <f t="shared" si="195"/>
        <v>0</v>
      </c>
      <c r="K387">
        <f t="shared" si="203"/>
        <v>3</v>
      </c>
      <c r="L387">
        <f t="shared" ref="L387:L450" si="217">IF(AND(cdspec180,cdspec180plus),CHOOSE(K387,cdspec1801,cdspec1802,cdspec1803,cdspec1804),(K387-1)*IF(cdtreat180as240,240,180)+IF(cdspec180,cdspec1801,0))</f>
        <v>360</v>
      </c>
      <c r="M387">
        <f t="shared" si="196"/>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7"/>
        <v>1</v>
      </c>
      <c r="V387">
        <f t="shared" si="198"/>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si="199"/>
        <v>0</v>
      </c>
      <c r="AD387" s="29">
        <f t="shared" ref="AD387:AD450" si="225">IF($A387&lt;0,0,(1+$AC387/(hasterate*100))*(1+$AS$26/100*AND($J387&gt;0,$J387&lt;=$AT$26))*(1+$AS$35/100*AND($M387&gt;0,$M387&lt;=$AT$35))*(1+0.3*($X387&gt;0)))</f>
        <v>0</v>
      </c>
      <c r="AE387" s="25">
        <f t="shared" si="200"/>
        <v>0</v>
      </c>
      <c r="AF387" s="25">
        <f t="shared" ref="AF387:AF450" si="226">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7">IF(A387&lt;0,-1,IF(A387+1&gt;=time,-1,A387+1))</f>
        <v>-1</v>
      </c>
      <c r="B388">
        <f t="shared" si="201"/>
        <v>6</v>
      </c>
      <c r="C388">
        <f t="shared" si="214"/>
        <v>300</v>
      </c>
      <c r="D388">
        <f t="shared" ref="D388:D451" si="228">IF($A388=$C388,1,IF(AND($D387&gt;0,$D387&lt;30),$D387+1,0))</f>
        <v>0</v>
      </c>
      <c r="E388">
        <f t="shared" si="213"/>
        <v>5</v>
      </c>
      <c r="F388">
        <f t="shared" si="215"/>
        <v>360</v>
      </c>
      <c r="G388">
        <f t="shared" ref="G388:G451" si="229">IF($A388=F388,1,IF(AND(G387&gt;0,G387&lt;30),G387+1,0))</f>
        <v>0</v>
      </c>
      <c r="H388">
        <f t="shared" si="202"/>
        <v>4</v>
      </c>
      <c r="I388">
        <f t="shared" si="216"/>
        <v>360</v>
      </c>
      <c r="J388">
        <f t="shared" ref="J388:J451" si="230">IF($A388=I388,1,IF(AND(J387&gt;0,J387&lt;30),J387+1,0))</f>
        <v>0</v>
      </c>
      <c r="K388">
        <f t="shared" si="203"/>
        <v>3</v>
      </c>
      <c r="L388">
        <f t="shared" si="217"/>
        <v>360</v>
      </c>
      <c r="M388">
        <f t="shared" ref="M388:M451" si="231">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2">IF($A388=T388,1,IF(AND(U387&gt;0,U387&lt;$AT$3),U387+1,0))</f>
        <v>1</v>
      </c>
      <c r="V388">
        <f t="shared" ref="V388:V451" si="233">MIN(IF(X387=1,V387+1,V387),blustcount)</f>
        <v>1</v>
      </c>
      <c r="W388">
        <f t="shared" si="220"/>
        <v>0</v>
      </c>
      <c r="X388">
        <f t="shared" si="209"/>
        <v>0</v>
      </c>
      <c r="Y388">
        <f t="shared" si="221"/>
        <v>0</v>
      </c>
      <c r="Z388">
        <f t="shared" si="222"/>
        <v>0</v>
      </c>
      <c r="AA388">
        <f t="shared" si="223"/>
        <v>0</v>
      </c>
      <c r="AB388" s="29">
        <f t="shared" si="224"/>
        <v>0</v>
      </c>
      <c r="AC388" s="25">
        <f t="shared" ref="AC388:AC451" si="234">IF($A388&lt;0,0,$AN$43+IF($J388=0, 0, $AR$15*($J388&lt;=$AT$15)+$AR$22*($J388&lt;=$AT$22)+$AR$28*($J388&lt;=$AT$28)+$AR$29*($J388&lt;=$AT$29)-IF($AW$14, $AR$3*($J388&lt;=$AT$3)))+IF($U388=0,0,$AR$3))</f>
        <v>0</v>
      </c>
      <c r="AD388" s="29">
        <f t="shared" si="225"/>
        <v>0</v>
      </c>
      <c r="AE388" s="25">
        <f t="shared" ref="AE388:AE451" si="235">IF($A388&lt;0,0,$AN$45+IF($P388&gt;0,$AN$37*$AL$37,0)+$S388*(60-IF(CharLevel&gt;60,(CharLevel-60)*2,0))*$AL$38+IF($J388=1,$AL$26*-25+IF($AL$39, 30, 0),0)+IF($M388=1,$AL$35*-10,0)+IF(AE387&gt;instcost,AE387-instcost,0))</f>
        <v>0</v>
      </c>
      <c r="AF388" s="25">
        <f t="shared" si="226"/>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7"/>
        <v>-1</v>
      </c>
      <c r="B389">
        <f t="shared" ref="B389:B452" si="236">MIN(IF(D388=1,B388+1,B388),10)</f>
        <v>6</v>
      </c>
      <c r="C389">
        <f t="shared" si="214"/>
        <v>300</v>
      </c>
      <c r="D389">
        <f t="shared" si="228"/>
        <v>0</v>
      </c>
      <c r="E389">
        <f t="shared" si="213"/>
        <v>5</v>
      </c>
      <c r="F389">
        <f t="shared" si="215"/>
        <v>360</v>
      </c>
      <c r="G389">
        <f t="shared" si="229"/>
        <v>0</v>
      </c>
      <c r="H389">
        <f t="shared" ref="H389:H452" si="237">MIN(IF(J388=1,H388+1,H388),5)</f>
        <v>4</v>
      </c>
      <c r="I389">
        <f t="shared" si="216"/>
        <v>360</v>
      </c>
      <c r="J389">
        <f t="shared" si="230"/>
        <v>0</v>
      </c>
      <c r="K389">
        <f t="shared" ref="K389:K452" si="238">MIN(IF(M388=1,K388+1,K388),4)</f>
        <v>3</v>
      </c>
      <c r="L389">
        <f t="shared" si="217"/>
        <v>360</v>
      </c>
      <c r="M389">
        <f t="shared" si="231"/>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2"/>
        <v>1</v>
      </c>
      <c r="V389">
        <f t="shared" si="233"/>
        <v>1</v>
      </c>
      <c r="W389">
        <f t="shared" si="220"/>
        <v>0</v>
      </c>
      <c r="X389">
        <f t="shared" ref="X389:X452" si="244">IF($A389=W389,1,IF(AND(X388&gt;0,X388&lt;40),X388+1,0))</f>
        <v>0</v>
      </c>
      <c r="Y389">
        <f t="shared" si="221"/>
        <v>0</v>
      </c>
      <c r="Z389">
        <f t="shared" si="222"/>
        <v>0</v>
      </c>
      <c r="AA389">
        <f t="shared" si="223"/>
        <v>0</v>
      </c>
      <c r="AB389" s="29">
        <f t="shared" si="224"/>
        <v>0</v>
      </c>
      <c r="AC389" s="25">
        <f t="shared" si="234"/>
        <v>0</v>
      </c>
      <c r="AD389" s="29">
        <f t="shared" si="225"/>
        <v>0</v>
      </c>
      <c r="AE389" s="25">
        <f t="shared" si="235"/>
        <v>0</v>
      </c>
      <c r="AF389" s="25">
        <f t="shared" si="226"/>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7"/>
        <v>-1</v>
      </c>
      <c r="B390">
        <f t="shared" si="236"/>
        <v>6</v>
      </c>
      <c r="C390">
        <f t="shared" si="214"/>
        <v>300</v>
      </c>
      <c r="D390">
        <f t="shared" si="228"/>
        <v>0</v>
      </c>
      <c r="E390">
        <f t="shared" ref="E390:E453" si="248">MIN(IF(G389=1,E389+1,E389),6)</f>
        <v>5</v>
      </c>
      <c r="F390">
        <f t="shared" si="215"/>
        <v>360</v>
      </c>
      <c r="G390">
        <f t="shared" si="229"/>
        <v>0</v>
      </c>
      <c r="H390">
        <f t="shared" si="237"/>
        <v>4</v>
      </c>
      <c r="I390">
        <f t="shared" si="216"/>
        <v>360</v>
      </c>
      <c r="J390">
        <f t="shared" si="230"/>
        <v>0</v>
      </c>
      <c r="K390">
        <f t="shared" si="238"/>
        <v>3</v>
      </c>
      <c r="L390">
        <f t="shared" si="217"/>
        <v>360</v>
      </c>
      <c r="M390">
        <f t="shared" si="231"/>
        <v>0</v>
      </c>
      <c r="N390">
        <f t="shared" si="239"/>
        <v>2</v>
      </c>
      <c r="O390">
        <f t="shared" si="218"/>
        <v>300</v>
      </c>
      <c r="P390">
        <f t="shared" si="240"/>
        <v>0</v>
      </c>
      <c r="Q390">
        <f t="shared" si="241"/>
        <v>2</v>
      </c>
      <c r="R390">
        <f t="shared" si="219"/>
        <v>300</v>
      </c>
      <c r="S390">
        <f t="shared" si="242"/>
        <v>0</v>
      </c>
      <c r="T390">
        <f t="shared" si="243"/>
        <v>-1</v>
      </c>
      <c r="U390">
        <f t="shared" si="232"/>
        <v>1</v>
      </c>
      <c r="V390">
        <f t="shared" si="233"/>
        <v>1</v>
      </c>
      <c r="W390">
        <f t="shared" si="220"/>
        <v>0</v>
      </c>
      <c r="X390">
        <f t="shared" si="244"/>
        <v>0</v>
      </c>
      <c r="Y390">
        <f t="shared" si="221"/>
        <v>0</v>
      </c>
      <c r="Z390">
        <f t="shared" si="222"/>
        <v>0</v>
      </c>
      <c r="AA390">
        <f t="shared" si="223"/>
        <v>0</v>
      </c>
      <c r="AB390" s="29">
        <f t="shared" si="224"/>
        <v>0</v>
      </c>
      <c r="AC390" s="25">
        <f t="shared" si="234"/>
        <v>0</v>
      </c>
      <c r="AD390" s="29">
        <f t="shared" si="225"/>
        <v>0</v>
      </c>
      <c r="AE390" s="25">
        <f t="shared" si="235"/>
        <v>0</v>
      </c>
      <c r="AF390" s="25">
        <f t="shared" si="226"/>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7"/>
        <v>-1</v>
      </c>
      <c r="B391">
        <f t="shared" si="236"/>
        <v>6</v>
      </c>
      <c r="C391">
        <f t="shared" si="214"/>
        <v>300</v>
      </c>
      <c r="D391">
        <f t="shared" si="228"/>
        <v>0</v>
      </c>
      <c r="E391">
        <f t="shared" si="248"/>
        <v>5</v>
      </c>
      <c r="F391">
        <f t="shared" si="215"/>
        <v>360</v>
      </c>
      <c r="G391">
        <f t="shared" si="229"/>
        <v>0</v>
      </c>
      <c r="H391">
        <f t="shared" si="237"/>
        <v>4</v>
      </c>
      <c r="I391">
        <f t="shared" si="216"/>
        <v>360</v>
      </c>
      <c r="J391">
        <f t="shared" si="230"/>
        <v>0</v>
      </c>
      <c r="K391">
        <f t="shared" si="238"/>
        <v>3</v>
      </c>
      <c r="L391">
        <f t="shared" si="217"/>
        <v>360</v>
      </c>
      <c r="M391">
        <f t="shared" si="231"/>
        <v>0</v>
      </c>
      <c r="N391">
        <f t="shared" si="239"/>
        <v>2</v>
      </c>
      <c r="O391">
        <f t="shared" si="218"/>
        <v>300</v>
      </c>
      <c r="P391">
        <f t="shared" si="240"/>
        <v>0</v>
      </c>
      <c r="Q391">
        <f t="shared" si="241"/>
        <v>2</v>
      </c>
      <c r="R391">
        <f t="shared" si="219"/>
        <v>300</v>
      </c>
      <c r="S391">
        <f t="shared" si="242"/>
        <v>0</v>
      </c>
      <c r="T391">
        <f t="shared" si="243"/>
        <v>-1</v>
      </c>
      <c r="U391">
        <f t="shared" si="232"/>
        <v>1</v>
      </c>
      <c r="V391">
        <f t="shared" si="233"/>
        <v>1</v>
      </c>
      <c r="W391">
        <f t="shared" si="220"/>
        <v>0</v>
      </c>
      <c r="X391">
        <f t="shared" si="244"/>
        <v>0</v>
      </c>
      <c r="Y391">
        <f t="shared" si="221"/>
        <v>0</v>
      </c>
      <c r="Z391">
        <f t="shared" si="222"/>
        <v>0</v>
      </c>
      <c r="AA391">
        <f t="shared" si="223"/>
        <v>0</v>
      </c>
      <c r="AB391" s="29">
        <f t="shared" si="224"/>
        <v>0</v>
      </c>
      <c r="AC391" s="25">
        <f t="shared" si="234"/>
        <v>0</v>
      </c>
      <c r="AD391" s="29">
        <f t="shared" si="225"/>
        <v>0</v>
      </c>
      <c r="AE391" s="25">
        <f t="shared" si="235"/>
        <v>0</v>
      </c>
      <c r="AF391" s="25">
        <f t="shared" si="226"/>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7"/>
        <v>-1</v>
      </c>
      <c r="B392">
        <f t="shared" si="236"/>
        <v>6</v>
      </c>
      <c r="C392">
        <f t="shared" si="214"/>
        <v>300</v>
      </c>
      <c r="D392">
        <f t="shared" si="228"/>
        <v>0</v>
      </c>
      <c r="E392">
        <f t="shared" si="248"/>
        <v>5</v>
      </c>
      <c r="F392">
        <f t="shared" si="215"/>
        <v>360</v>
      </c>
      <c r="G392">
        <f t="shared" si="229"/>
        <v>0</v>
      </c>
      <c r="H392">
        <f t="shared" si="237"/>
        <v>4</v>
      </c>
      <c r="I392">
        <f t="shared" si="216"/>
        <v>360</v>
      </c>
      <c r="J392">
        <f t="shared" si="230"/>
        <v>0</v>
      </c>
      <c r="K392">
        <f t="shared" si="238"/>
        <v>3</v>
      </c>
      <c r="L392">
        <f t="shared" si="217"/>
        <v>360</v>
      </c>
      <c r="M392">
        <f t="shared" si="231"/>
        <v>0</v>
      </c>
      <c r="N392">
        <f t="shared" si="239"/>
        <v>2</v>
      </c>
      <c r="O392">
        <f t="shared" si="218"/>
        <v>300</v>
      </c>
      <c r="P392">
        <f t="shared" si="240"/>
        <v>0</v>
      </c>
      <c r="Q392">
        <f t="shared" si="241"/>
        <v>2</v>
      </c>
      <c r="R392">
        <f t="shared" si="219"/>
        <v>300</v>
      </c>
      <c r="S392">
        <f t="shared" si="242"/>
        <v>0</v>
      </c>
      <c r="T392">
        <f t="shared" si="243"/>
        <v>-1</v>
      </c>
      <c r="U392">
        <f t="shared" si="232"/>
        <v>1</v>
      </c>
      <c r="V392">
        <f t="shared" si="233"/>
        <v>1</v>
      </c>
      <c r="W392">
        <f t="shared" si="220"/>
        <v>0</v>
      </c>
      <c r="X392">
        <f t="shared" si="244"/>
        <v>0</v>
      </c>
      <c r="Y392">
        <f t="shared" si="221"/>
        <v>0</v>
      </c>
      <c r="Z392">
        <f t="shared" si="222"/>
        <v>0</v>
      </c>
      <c r="AA392">
        <f t="shared" si="223"/>
        <v>0</v>
      </c>
      <c r="AB392" s="29">
        <f t="shared" si="224"/>
        <v>0</v>
      </c>
      <c r="AC392" s="25">
        <f t="shared" si="234"/>
        <v>0</v>
      </c>
      <c r="AD392" s="29">
        <f t="shared" si="225"/>
        <v>0</v>
      </c>
      <c r="AE392" s="25">
        <f t="shared" si="235"/>
        <v>0</v>
      </c>
      <c r="AF392" s="25">
        <f t="shared" si="226"/>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7"/>
        <v>-1</v>
      </c>
      <c r="B393">
        <f t="shared" si="236"/>
        <v>6</v>
      </c>
      <c r="C393">
        <f t="shared" si="214"/>
        <v>300</v>
      </c>
      <c r="D393">
        <f t="shared" si="228"/>
        <v>0</v>
      </c>
      <c r="E393">
        <f t="shared" si="248"/>
        <v>5</v>
      </c>
      <c r="F393">
        <f t="shared" si="215"/>
        <v>360</v>
      </c>
      <c r="G393">
        <f t="shared" si="229"/>
        <v>0</v>
      </c>
      <c r="H393">
        <f t="shared" si="237"/>
        <v>4</v>
      </c>
      <c r="I393">
        <f t="shared" si="216"/>
        <v>360</v>
      </c>
      <c r="J393">
        <f t="shared" si="230"/>
        <v>0</v>
      </c>
      <c r="K393">
        <f t="shared" si="238"/>
        <v>3</v>
      </c>
      <c r="L393">
        <f t="shared" si="217"/>
        <v>360</v>
      </c>
      <c r="M393">
        <f t="shared" si="231"/>
        <v>0</v>
      </c>
      <c r="N393">
        <f t="shared" si="239"/>
        <v>2</v>
      </c>
      <c r="O393">
        <f t="shared" si="218"/>
        <v>300</v>
      </c>
      <c r="P393">
        <f t="shared" si="240"/>
        <v>0</v>
      </c>
      <c r="Q393">
        <f t="shared" si="241"/>
        <v>2</v>
      </c>
      <c r="R393">
        <f t="shared" si="219"/>
        <v>300</v>
      </c>
      <c r="S393">
        <f t="shared" si="242"/>
        <v>0</v>
      </c>
      <c r="T393">
        <f t="shared" si="243"/>
        <v>-1</v>
      </c>
      <c r="U393">
        <f t="shared" si="232"/>
        <v>1</v>
      </c>
      <c r="V393">
        <f t="shared" si="233"/>
        <v>1</v>
      </c>
      <c r="W393">
        <f t="shared" si="220"/>
        <v>0</v>
      </c>
      <c r="X393">
        <f t="shared" si="244"/>
        <v>0</v>
      </c>
      <c r="Y393">
        <f t="shared" si="221"/>
        <v>0</v>
      </c>
      <c r="Z393">
        <f t="shared" si="222"/>
        <v>0</v>
      </c>
      <c r="AA393">
        <f t="shared" si="223"/>
        <v>0</v>
      </c>
      <c r="AB393" s="29">
        <f t="shared" si="224"/>
        <v>0</v>
      </c>
      <c r="AC393" s="25">
        <f t="shared" si="234"/>
        <v>0</v>
      </c>
      <c r="AD393" s="29">
        <f t="shared" si="225"/>
        <v>0</v>
      </c>
      <c r="AE393" s="25">
        <f t="shared" si="235"/>
        <v>0</v>
      </c>
      <c r="AF393" s="25">
        <f t="shared" si="226"/>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7"/>
        <v>-1</v>
      </c>
      <c r="B394">
        <f t="shared" si="236"/>
        <v>6</v>
      </c>
      <c r="C394">
        <f t="shared" si="214"/>
        <v>300</v>
      </c>
      <c r="D394">
        <f t="shared" si="228"/>
        <v>0</v>
      </c>
      <c r="E394">
        <f t="shared" si="248"/>
        <v>5</v>
      </c>
      <c r="F394">
        <f t="shared" si="215"/>
        <v>360</v>
      </c>
      <c r="G394">
        <f t="shared" si="229"/>
        <v>0</v>
      </c>
      <c r="H394">
        <f t="shared" si="237"/>
        <v>4</v>
      </c>
      <c r="I394">
        <f t="shared" si="216"/>
        <v>360</v>
      </c>
      <c r="J394">
        <f t="shared" si="230"/>
        <v>0</v>
      </c>
      <c r="K394">
        <f t="shared" si="238"/>
        <v>3</v>
      </c>
      <c r="L394">
        <f t="shared" si="217"/>
        <v>360</v>
      </c>
      <c r="M394">
        <f t="shared" si="231"/>
        <v>0</v>
      </c>
      <c r="N394">
        <f t="shared" si="239"/>
        <v>2</v>
      </c>
      <c r="O394">
        <f t="shared" si="218"/>
        <v>300</v>
      </c>
      <c r="P394">
        <f t="shared" si="240"/>
        <v>0</v>
      </c>
      <c r="Q394">
        <f t="shared" si="241"/>
        <v>2</v>
      </c>
      <c r="R394">
        <f t="shared" si="219"/>
        <v>300</v>
      </c>
      <c r="S394">
        <f t="shared" si="242"/>
        <v>0</v>
      </c>
      <c r="T394">
        <f t="shared" si="243"/>
        <v>-1</v>
      </c>
      <c r="U394">
        <f t="shared" si="232"/>
        <v>1</v>
      </c>
      <c r="V394">
        <f t="shared" si="233"/>
        <v>1</v>
      </c>
      <c r="W394">
        <f t="shared" si="220"/>
        <v>0</v>
      </c>
      <c r="X394">
        <f t="shared" si="244"/>
        <v>0</v>
      </c>
      <c r="Y394">
        <f t="shared" si="221"/>
        <v>0</v>
      </c>
      <c r="Z394">
        <f t="shared" si="222"/>
        <v>0</v>
      </c>
      <c r="AA394">
        <f t="shared" si="223"/>
        <v>0</v>
      </c>
      <c r="AB394" s="29">
        <f t="shared" si="224"/>
        <v>0</v>
      </c>
      <c r="AC394" s="25">
        <f t="shared" si="234"/>
        <v>0</v>
      </c>
      <c r="AD394" s="29">
        <f t="shared" si="225"/>
        <v>0</v>
      </c>
      <c r="AE394" s="25">
        <f t="shared" si="235"/>
        <v>0</v>
      </c>
      <c r="AF394" s="25">
        <f t="shared" si="226"/>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7"/>
        <v>-1</v>
      </c>
      <c r="B395">
        <f t="shared" si="236"/>
        <v>6</v>
      </c>
      <c r="C395">
        <f t="shared" si="214"/>
        <v>300</v>
      </c>
      <c r="D395">
        <f t="shared" si="228"/>
        <v>0</v>
      </c>
      <c r="E395">
        <f t="shared" si="248"/>
        <v>5</v>
      </c>
      <c r="F395">
        <f t="shared" si="215"/>
        <v>360</v>
      </c>
      <c r="G395">
        <f t="shared" si="229"/>
        <v>0</v>
      </c>
      <c r="H395">
        <f t="shared" si="237"/>
        <v>4</v>
      </c>
      <c r="I395">
        <f t="shared" si="216"/>
        <v>360</v>
      </c>
      <c r="J395">
        <f t="shared" si="230"/>
        <v>0</v>
      </c>
      <c r="K395">
        <f t="shared" si="238"/>
        <v>3</v>
      </c>
      <c r="L395">
        <f t="shared" si="217"/>
        <v>360</v>
      </c>
      <c r="M395">
        <f t="shared" si="231"/>
        <v>0</v>
      </c>
      <c r="N395">
        <f t="shared" si="239"/>
        <v>2</v>
      </c>
      <c r="O395">
        <f t="shared" si="218"/>
        <v>300</v>
      </c>
      <c r="P395">
        <f t="shared" si="240"/>
        <v>0</v>
      </c>
      <c r="Q395">
        <f t="shared" si="241"/>
        <v>2</v>
      </c>
      <c r="R395">
        <f t="shared" si="219"/>
        <v>300</v>
      </c>
      <c r="S395">
        <f t="shared" si="242"/>
        <v>0</v>
      </c>
      <c r="T395">
        <f t="shared" si="243"/>
        <v>-1</v>
      </c>
      <c r="U395">
        <f t="shared" si="232"/>
        <v>1</v>
      </c>
      <c r="V395">
        <f t="shared" si="233"/>
        <v>1</v>
      </c>
      <c r="W395">
        <f t="shared" si="220"/>
        <v>0</v>
      </c>
      <c r="X395">
        <f t="shared" si="244"/>
        <v>0</v>
      </c>
      <c r="Y395">
        <f t="shared" si="221"/>
        <v>0</v>
      </c>
      <c r="Z395">
        <f t="shared" si="222"/>
        <v>0</v>
      </c>
      <c r="AA395">
        <f t="shared" si="223"/>
        <v>0</v>
      </c>
      <c r="AB395" s="29">
        <f t="shared" si="224"/>
        <v>0</v>
      </c>
      <c r="AC395" s="25">
        <f t="shared" si="234"/>
        <v>0</v>
      </c>
      <c r="AD395" s="29">
        <f t="shared" si="225"/>
        <v>0</v>
      </c>
      <c r="AE395" s="25">
        <f t="shared" si="235"/>
        <v>0</v>
      </c>
      <c r="AF395" s="25">
        <f t="shared" si="226"/>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7"/>
        <v>-1</v>
      </c>
      <c r="B396">
        <f t="shared" si="236"/>
        <v>6</v>
      </c>
      <c r="C396">
        <f t="shared" si="214"/>
        <v>300</v>
      </c>
      <c r="D396">
        <f t="shared" si="228"/>
        <v>0</v>
      </c>
      <c r="E396">
        <f t="shared" si="248"/>
        <v>5</v>
      </c>
      <c r="F396">
        <f t="shared" si="215"/>
        <v>360</v>
      </c>
      <c r="G396">
        <f t="shared" si="229"/>
        <v>0</v>
      </c>
      <c r="H396">
        <f t="shared" si="237"/>
        <v>4</v>
      </c>
      <c r="I396">
        <f t="shared" si="216"/>
        <v>360</v>
      </c>
      <c r="J396">
        <f t="shared" si="230"/>
        <v>0</v>
      </c>
      <c r="K396">
        <f t="shared" si="238"/>
        <v>3</v>
      </c>
      <c r="L396">
        <f t="shared" si="217"/>
        <v>360</v>
      </c>
      <c r="M396">
        <f t="shared" si="231"/>
        <v>0</v>
      </c>
      <c r="N396">
        <f t="shared" si="239"/>
        <v>2</v>
      </c>
      <c r="O396">
        <f t="shared" si="218"/>
        <v>300</v>
      </c>
      <c r="P396">
        <f t="shared" si="240"/>
        <v>0</v>
      </c>
      <c r="Q396">
        <f t="shared" si="241"/>
        <v>2</v>
      </c>
      <c r="R396">
        <f t="shared" si="219"/>
        <v>300</v>
      </c>
      <c r="S396">
        <f t="shared" si="242"/>
        <v>0</v>
      </c>
      <c r="T396">
        <f t="shared" si="243"/>
        <v>-1</v>
      </c>
      <c r="U396">
        <f t="shared" si="232"/>
        <v>1</v>
      </c>
      <c r="V396">
        <f t="shared" si="233"/>
        <v>1</v>
      </c>
      <c r="W396">
        <f t="shared" si="220"/>
        <v>0</v>
      </c>
      <c r="X396">
        <f t="shared" si="244"/>
        <v>0</v>
      </c>
      <c r="Y396">
        <f t="shared" si="221"/>
        <v>0</v>
      </c>
      <c r="Z396">
        <f t="shared" si="222"/>
        <v>0</v>
      </c>
      <c r="AA396">
        <f t="shared" si="223"/>
        <v>0</v>
      </c>
      <c r="AB396" s="29">
        <f t="shared" si="224"/>
        <v>0</v>
      </c>
      <c r="AC396" s="25">
        <f t="shared" si="234"/>
        <v>0</v>
      </c>
      <c r="AD396" s="29">
        <f t="shared" si="225"/>
        <v>0</v>
      </c>
      <c r="AE396" s="25">
        <f t="shared" si="235"/>
        <v>0</v>
      </c>
      <c r="AF396" s="25">
        <f t="shared" si="226"/>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7"/>
        <v>-1</v>
      </c>
      <c r="B397">
        <f t="shared" si="236"/>
        <v>6</v>
      </c>
      <c r="C397">
        <f t="shared" si="214"/>
        <v>300</v>
      </c>
      <c r="D397">
        <f t="shared" si="228"/>
        <v>0</v>
      </c>
      <c r="E397">
        <f t="shared" si="248"/>
        <v>5</v>
      </c>
      <c r="F397">
        <f t="shared" si="215"/>
        <v>360</v>
      </c>
      <c r="G397">
        <f t="shared" si="229"/>
        <v>0</v>
      </c>
      <c r="H397">
        <f t="shared" si="237"/>
        <v>4</v>
      </c>
      <c r="I397">
        <f t="shared" si="216"/>
        <v>360</v>
      </c>
      <c r="J397">
        <f t="shared" si="230"/>
        <v>0</v>
      </c>
      <c r="K397">
        <f t="shared" si="238"/>
        <v>3</v>
      </c>
      <c r="L397">
        <f t="shared" si="217"/>
        <v>360</v>
      </c>
      <c r="M397">
        <f t="shared" si="231"/>
        <v>0</v>
      </c>
      <c r="N397">
        <f t="shared" si="239"/>
        <v>2</v>
      </c>
      <c r="O397">
        <f t="shared" si="218"/>
        <v>300</v>
      </c>
      <c r="P397">
        <f t="shared" si="240"/>
        <v>0</v>
      </c>
      <c r="Q397">
        <f t="shared" si="241"/>
        <v>2</v>
      </c>
      <c r="R397">
        <f t="shared" si="219"/>
        <v>300</v>
      </c>
      <c r="S397">
        <f t="shared" si="242"/>
        <v>0</v>
      </c>
      <c r="T397">
        <f t="shared" si="243"/>
        <v>-1</v>
      </c>
      <c r="U397">
        <f t="shared" si="232"/>
        <v>1</v>
      </c>
      <c r="V397">
        <f t="shared" si="233"/>
        <v>1</v>
      </c>
      <c r="W397">
        <f t="shared" si="220"/>
        <v>0</v>
      </c>
      <c r="X397">
        <f t="shared" si="244"/>
        <v>0</v>
      </c>
      <c r="Y397">
        <f t="shared" si="221"/>
        <v>0</v>
      </c>
      <c r="Z397">
        <f t="shared" si="222"/>
        <v>0</v>
      </c>
      <c r="AA397">
        <f t="shared" si="223"/>
        <v>0</v>
      </c>
      <c r="AB397" s="29">
        <f t="shared" si="224"/>
        <v>0</v>
      </c>
      <c r="AC397" s="25">
        <f t="shared" si="234"/>
        <v>0</v>
      </c>
      <c r="AD397" s="29">
        <f t="shared" si="225"/>
        <v>0</v>
      </c>
      <c r="AE397" s="25">
        <f t="shared" si="235"/>
        <v>0</v>
      </c>
      <c r="AF397" s="25">
        <f t="shared" si="226"/>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7"/>
        <v>-1</v>
      </c>
      <c r="B398">
        <f t="shared" si="236"/>
        <v>6</v>
      </c>
      <c r="C398">
        <f t="shared" si="214"/>
        <v>300</v>
      </c>
      <c r="D398">
        <f t="shared" si="228"/>
        <v>0</v>
      </c>
      <c r="E398">
        <f t="shared" si="248"/>
        <v>5</v>
      </c>
      <c r="F398">
        <f t="shared" si="215"/>
        <v>360</v>
      </c>
      <c r="G398">
        <f t="shared" si="229"/>
        <v>0</v>
      </c>
      <c r="H398">
        <f t="shared" si="237"/>
        <v>4</v>
      </c>
      <c r="I398">
        <f t="shared" si="216"/>
        <v>360</v>
      </c>
      <c r="J398">
        <f t="shared" si="230"/>
        <v>0</v>
      </c>
      <c r="K398">
        <f t="shared" si="238"/>
        <v>3</v>
      </c>
      <c r="L398">
        <f t="shared" si="217"/>
        <v>360</v>
      </c>
      <c r="M398">
        <f t="shared" si="231"/>
        <v>0</v>
      </c>
      <c r="N398">
        <f t="shared" si="239"/>
        <v>2</v>
      </c>
      <c r="O398">
        <f t="shared" si="218"/>
        <v>300</v>
      </c>
      <c r="P398">
        <f t="shared" si="240"/>
        <v>0</v>
      </c>
      <c r="Q398">
        <f t="shared" si="241"/>
        <v>2</v>
      </c>
      <c r="R398">
        <f t="shared" si="219"/>
        <v>300</v>
      </c>
      <c r="S398">
        <f t="shared" si="242"/>
        <v>0</v>
      </c>
      <c r="T398">
        <f t="shared" si="243"/>
        <v>-1</v>
      </c>
      <c r="U398">
        <f t="shared" si="232"/>
        <v>1</v>
      </c>
      <c r="V398">
        <f t="shared" si="233"/>
        <v>1</v>
      </c>
      <c r="W398">
        <f t="shared" si="220"/>
        <v>0</v>
      </c>
      <c r="X398">
        <f t="shared" si="244"/>
        <v>0</v>
      </c>
      <c r="Y398">
        <f t="shared" si="221"/>
        <v>0</v>
      </c>
      <c r="Z398">
        <f t="shared" si="222"/>
        <v>0</v>
      </c>
      <c r="AA398">
        <f t="shared" si="223"/>
        <v>0</v>
      </c>
      <c r="AB398" s="29">
        <f t="shared" si="224"/>
        <v>0</v>
      </c>
      <c r="AC398" s="25">
        <f t="shared" si="234"/>
        <v>0</v>
      </c>
      <c r="AD398" s="29">
        <f t="shared" si="225"/>
        <v>0</v>
      </c>
      <c r="AE398" s="25">
        <f t="shared" si="235"/>
        <v>0</v>
      </c>
      <c r="AF398" s="25">
        <f t="shared" si="226"/>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7"/>
        <v>-1</v>
      </c>
      <c r="B399">
        <f t="shared" si="236"/>
        <v>6</v>
      </c>
      <c r="C399">
        <f t="shared" si="214"/>
        <v>300</v>
      </c>
      <c r="D399">
        <f t="shared" si="228"/>
        <v>0</v>
      </c>
      <c r="E399">
        <f t="shared" si="248"/>
        <v>5</v>
      </c>
      <c r="F399">
        <f t="shared" si="215"/>
        <v>360</v>
      </c>
      <c r="G399">
        <f t="shared" si="229"/>
        <v>0</v>
      </c>
      <c r="H399">
        <f t="shared" si="237"/>
        <v>4</v>
      </c>
      <c r="I399">
        <f t="shared" si="216"/>
        <v>360</v>
      </c>
      <c r="J399">
        <f t="shared" si="230"/>
        <v>0</v>
      </c>
      <c r="K399">
        <f t="shared" si="238"/>
        <v>3</v>
      </c>
      <c r="L399">
        <f t="shared" si="217"/>
        <v>360</v>
      </c>
      <c r="M399">
        <f t="shared" si="231"/>
        <v>0</v>
      </c>
      <c r="N399">
        <f t="shared" si="239"/>
        <v>2</v>
      </c>
      <c r="O399">
        <f t="shared" si="218"/>
        <v>300</v>
      </c>
      <c r="P399">
        <f t="shared" si="240"/>
        <v>0</v>
      </c>
      <c r="Q399">
        <f t="shared" si="241"/>
        <v>2</v>
      </c>
      <c r="R399">
        <f t="shared" si="219"/>
        <v>300</v>
      </c>
      <c r="S399">
        <f t="shared" si="242"/>
        <v>0</v>
      </c>
      <c r="T399">
        <f t="shared" si="243"/>
        <v>-1</v>
      </c>
      <c r="U399">
        <f t="shared" si="232"/>
        <v>1</v>
      </c>
      <c r="V399">
        <f t="shared" si="233"/>
        <v>1</v>
      </c>
      <c r="W399">
        <f t="shared" si="220"/>
        <v>0</v>
      </c>
      <c r="X399">
        <f t="shared" si="244"/>
        <v>0</v>
      </c>
      <c r="Y399">
        <f t="shared" si="221"/>
        <v>0</v>
      </c>
      <c r="Z399">
        <f t="shared" si="222"/>
        <v>0</v>
      </c>
      <c r="AA399">
        <f t="shared" si="223"/>
        <v>0</v>
      </c>
      <c r="AB399" s="29">
        <f t="shared" si="224"/>
        <v>0</v>
      </c>
      <c r="AC399" s="25">
        <f t="shared" si="234"/>
        <v>0</v>
      </c>
      <c r="AD399" s="29">
        <f t="shared" si="225"/>
        <v>0</v>
      </c>
      <c r="AE399" s="25">
        <f t="shared" si="235"/>
        <v>0</v>
      </c>
      <c r="AF399" s="25">
        <f t="shared" si="226"/>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7"/>
        <v>-1</v>
      </c>
      <c r="B400">
        <f t="shared" si="236"/>
        <v>6</v>
      </c>
      <c r="C400">
        <f t="shared" si="214"/>
        <v>300</v>
      </c>
      <c r="D400">
        <f t="shared" si="228"/>
        <v>0</v>
      </c>
      <c r="E400">
        <f t="shared" si="248"/>
        <v>5</v>
      </c>
      <c r="F400">
        <f t="shared" si="215"/>
        <v>360</v>
      </c>
      <c r="G400">
        <f t="shared" si="229"/>
        <v>0</v>
      </c>
      <c r="H400">
        <f t="shared" si="237"/>
        <v>4</v>
      </c>
      <c r="I400">
        <f t="shared" si="216"/>
        <v>360</v>
      </c>
      <c r="J400">
        <f t="shared" si="230"/>
        <v>0</v>
      </c>
      <c r="K400">
        <f t="shared" si="238"/>
        <v>3</v>
      </c>
      <c r="L400">
        <f t="shared" si="217"/>
        <v>360</v>
      </c>
      <c r="M400">
        <f t="shared" si="231"/>
        <v>0</v>
      </c>
      <c r="N400">
        <f t="shared" si="239"/>
        <v>2</v>
      </c>
      <c r="O400">
        <f t="shared" si="218"/>
        <v>300</v>
      </c>
      <c r="P400">
        <f t="shared" si="240"/>
        <v>0</v>
      </c>
      <c r="Q400">
        <f t="shared" si="241"/>
        <v>2</v>
      </c>
      <c r="R400">
        <f t="shared" si="219"/>
        <v>300</v>
      </c>
      <c r="S400">
        <f t="shared" si="242"/>
        <v>0</v>
      </c>
      <c r="T400">
        <f t="shared" si="243"/>
        <v>-1</v>
      </c>
      <c r="U400">
        <f t="shared" si="232"/>
        <v>1</v>
      </c>
      <c r="V400">
        <f t="shared" si="233"/>
        <v>1</v>
      </c>
      <c r="W400">
        <f t="shared" si="220"/>
        <v>0</v>
      </c>
      <c r="X400">
        <f t="shared" si="244"/>
        <v>0</v>
      </c>
      <c r="Y400">
        <f t="shared" si="221"/>
        <v>0</v>
      </c>
      <c r="Z400">
        <f t="shared" si="222"/>
        <v>0</v>
      </c>
      <c r="AA400">
        <f t="shared" si="223"/>
        <v>0</v>
      </c>
      <c r="AB400" s="29">
        <f t="shared" si="224"/>
        <v>0</v>
      </c>
      <c r="AC400" s="25">
        <f t="shared" si="234"/>
        <v>0</v>
      </c>
      <c r="AD400" s="29">
        <f t="shared" si="225"/>
        <v>0</v>
      </c>
      <c r="AE400" s="25">
        <f t="shared" si="235"/>
        <v>0</v>
      </c>
      <c r="AF400" s="25">
        <f t="shared" si="226"/>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7"/>
        <v>-1</v>
      </c>
      <c r="B401">
        <f t="shared" si="236"/>
        <v>6</v>
      </c>
      <c r="C401">
        <f t="shared" si="214"/>
        <v>300</v>
      </c>
      <c r="D401">
        <f t="shared" si="228"/>
        <v>0</v>
      </c>
      <c r="E401">
        <f t="shared" si="248"/>
        <v>5</v>
      </c>
      <c r="F401">
        <f t="shared" si="215"/>
        <v>360</v>
      </c>
      <c r="G401">
        <f t="shared" si="229"/>
        <v>0</v>
      </c>
      <c r="H401">
        <f t="shared" si="237"/>
        <v>4</v>
      </c>
      <c r="I401">
        <f t="shared" si="216"/>
        <v>360</v>
      </c>
      <c r="J401">
        <f t="shared" si="230"/>
        <v>0</v>
      </c>
      <c r="K401">
        <f t="shared" si="238"/>
        <v>3</v>
      </c>
      <c r="L401">
        <f t="shared" si="217"/>
        <v>360</v>
      </c>
      <c r="M401">
        <f t="shared" si="231"/>
        <v>0</v>
      </c>
      <c r="N401">
        <f t="shared" si="239"/>
        <v>2</v>
      </c>
      <c r="O401">
        <f t="shared" si="218"/>
        <v>300</v>
      </c>
      <c r="P401">
        <f t="shared" si="240"/>
        <v>0</v>
      </c>
      <c r="Q401">
        <f t="shared" si="241"/>
        <v>2</v>
      </c>
      <c r="R401">
        <f t="shared" si="219"/>
        <v>300</v>
      </c>
      <c r="S401">
        <f t="shared" si="242"/>
        <v>0</v>
      </c>
      <c r="T401">
        <f t="shared" si="243"/>
        <v>-1</v>
      </c>
      <c r="U401">
        <f t="shared" si="232"/>
        <v>1</v>
      </c>
      <c r="V401">
        <f t="shared" si="233"/>
        <v>1</v>
      </c>
      <c r="W401">
        <f t="shared" si="220"/>
        <v>0</v>
      </c>
      <c r="X401">
        <f t="shared" si="244"/>
        <v>0</v>
      </c>
      <c r="Y401">
        <f t="shared" si="221"/>
        <v>0</v>
      </c>
      <c r="Z401">
        <f t="shared" si="222"/>
        <v>0</v>
      </c>
      <c r="AA401">
        <f t="shared" si="223"/>
        <v>0</v>
      </c>
      <c r="AB401" s="29">
        <f t="shared" si="224"/>
        <v>0</v>
      </c>
      <c r="AC401" s="25">
        <f t="shared" si="234"/>
        <v>0</v>
      </c>
      <c r="AD401" s="29">
        <f t="shared" si="225"/>
        <v>0</v>
      </c>
      <c r="AE401" s="25">
        <f t="shared" si="235"/>
        <v>0</v>
      </c>
      <c r="AF401" s="25">
        <f t="shared" si="226"/>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7"/>
        <v>-1</v>
      </c>
      <c r="B402">
        <f t="shared" si="236"/>
        <v>6</v>
      </c>
      <c r="C402">
        <f t="shared" si="214"/>
        <v>300</v>
      </c>
      <c r="D402">
        <f t="shared" si="228"/>
        <v>0</v>
      </c>
      <c r="E402">
        <f t="shared" si="248"/>
        <v>5</v>
      </c>
      <c r="F402">
        <f t="shared" si="215"/>
        <v>360</v>
      </c>
      <c r="G402">
        <f t="shared" si="229"/>
        <v>0</v>
      </c>
      <c r="H402">
        <f t="shared" si="237"/>
        <v>4</v>
      </c>
      <c r="I402">
        <f t="shared" si="216"/>
        <v>360</v>
      </c>
      <c r="J402">
        <f t="shared" si="230"/>
        <v>0</v>
      </c>
      <c r="K402">
        <f t="shared" si="238"/>
        <v>3</v>
      </c>
      <c r="L402">
        <f t="shared" si="217"/>
        <v>360</v>
      </c>
      <c r="M402">
        <f t="shared" si="231"/>
        <v>0</v>
      </c>
      <c r="N402">
        <f t="shared" si="239"/>
        <v>2</v>
      </c>
      <c r="O402">
        <f t="shared" si="218"/>
        <v>300</v>
      </c>
      <c r="P402">
        <f t="shared" si="240"/>
        <v>0</v>
      </c>
      <c r="Q402">
        <f t="shared" si="241"/>
        <v>2</v>
      </c>
      <c r="R402">
        <f t="shared" si="219"/>
        <v>300</v>
      </c>
      <c r="S402">
        <f t="shared" si="242"/>
        <v>0</v>
      </c>
      <c r="T402">
        <f t="shared" si="243"/>
        <v>-1</v>
      </c>
      <c r="U402">
        <f t="shared" si="232"/>
        <v>1</v>
      </c>
      <c r="V402">
        <f t="shared" si="233"/>
        <v>1</v>
      </c>
      <c r="W402">
        <f t="shared" si="220"/>
        <v>0</v>
      </c>
      <c r="X402">
        <f t="shared" si="244"/>
        <v>0</v>
      </c>
      <c r="Y402">
        <f t="shared" si="221"/>
        <v>0</v>
      </c>
      <c r="Z402">
        <f t="shared" si="222"/>
        <v>0</v>
      </c>
      <c r="AA402">
        <f t="shared" si="223"/>
        <v>0</v>
      </c>
      <c r="AB402" s="29">
        <f t="shared" si="224"/>
        <v>0</v>
      </c>
      <c r="AC402" s="25">
        <f t="shared" si="234"/>
        <v>0</v>
      </c>
      <c r="AD402" s="29">
        <f t="shared" si="225"/>
        <v>0</v>
      </c>
      <c r="AE402" s="25">
        <f t="shared" si="235"/>
        <v>0</v>
      </c>
      <c r="AF402" s="25">
        <f t="shared" si="226"/>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7"/>
        <v>-1</v>
      </c>
      <c r="B403">
        <f t="shared" si="236"/>
        <v>6</v>
      </c>
      <c r="C403">
        <f t="shared" si="214"/>
        <v>300</v>
      </c>
      <c r="D403">
        <f t="shared" si="228"/>
        <v>0</v>
      </c>
      <c r="E403">
        <f t="shared" si="248"/>
        <v>5</v>
      </c>
      <c r="F403">
        <f t="shared" si="215"/>
        <v>360</v>
      </c>
      <c r="G403">
        <f t="shared" si="229"/>
        <v>0</v>
      </c>
      <c r="H403">
        <f t="shared" si="237"/>
        <v>4</v>
      </c>
      <c r="I403">
        <f t="shared" si="216"/>
        <v>360</v>
      </c>
      <c r="J403">
        <f t="shared" si="230"/>
        <v>0</v>
      </c>
      <c r="K403">
        <f t="shared" si="238"/>
        <v>3</v>
      </c>
      <c r="L403">
        <f t="shared" si="217"/>
        <v>360</v>
      </c>
      <c r="M403">
        <f t="shared" si="231"/>
        <v>0</v>
      </c>
      <c r="N403">
        <f t="shared" si="239"/>
        <v>2</v>
      </c>
      <c r="O403">
        <f t="shared" si="218"/>
        <v>300</v>
      </c>
      <c r="P403">
        <f t="shared" si="240"/>
        <v>0</v>
      </c>
      <c r="Q403">
        <f t="shared" si="241"/>
        <v>2</v>
      </c>
      <c r="R403">
        <f t="shared" si="219"/>
        <v>300</v>
      </c>
      <c r="S403">
        <f t="shared" si="242"/>
        <v>0</v>
      </c>
      <c r="T403">
        <f t="shared" si="243"/>
        <v>-1</v>
      </c>
      <c r="U403">
        <f t="shared" si="232"/>
        <v>1</v>
      </c>
      <c r="V403">
        <f t="shared" si="233"/>
        <v>1</v>
      </c>
      <c r="W403">
        <f t="shared" si="220"/>
        <v>0</v>
      </c>
      <c r="X403">
        <f t="shared" si="244"/>
        <v>0</v>
      </c>
      <c r="Y403">
        <f t="shared" si="221"/>
        <v>0</v>
      </c>
      <c r="Z403">
        <f t="shared" si="222"/>
        <v>0</v>
      </c>
      <c r="AA403">
        <f t="shared" si="223"/>
        <v>0</v>
      </c>
      <c r="AB403" s="29">
        <f t="shared" si="224"/>
        <v>0</v>
      </c>
      <c r="AC403" s="25">
        <f t="shared" si="234"/>
        <v>0</v>
      </c>
      <c r="AD403" s="29">
        <f t="shared" si="225"/>
        <v>0</v>
      </c>
      <c r="AE403" s="25">
        <f t="shared" si="235"/>
        <v>0</v>
      </c>
      <c r="AF403" s="25">
        <f t="shared" si="226"/>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7"/>
        <v>-1</v>
      </c>
      <c r="B404">
        <f t="shared" si="236"/>
        <v>6</v>
      </c>
      <c r="C404">
        <f t="shared" si="214"/>
        <v>300</v>
      </c>
      <c r="D404">
        <f t="shared" si="228"/>
        <v>0</v>
      </c>
      <c r="E404">
        <f t="shared" si="248"/>
        <v>5</v>
      </c>
      <c r="F404">
        <f t="shared" si="215"/>
        <v>360</v>
      </c>
      <c r="G404">
        <f t="shared" si="229"/>
        <v>0</v>
      </c>
      <c r="H404">
        <f t="shared" si="237"/>
        <v>4</v>
      </c>
      <c r="I404">
        <f t="shared" si="216"/>
        <v>360</v>
      </c>
      <c r="J404">
        <f t="shared" si="230"/>
        <v>0</v>
      </c>
      <c r="K404">
        <f t="shared" si="238"/>
        <v>3</v>
      </c>
      <c r="L404">
        <f t="shared" si="217"/>
        <v>360</v>
      </c>
      <c r="M404">
        <f t="shared" si="231"/>
        <v>0</v>
      </c>
      <c r="N404">
        <f t="shared" si="239"/>
        <v>2</v>
      </c>
      <c r="O404">
        <f t="shared" si="218"/>
        <v>300</v>
      </c>
      <c r="P404">
        <f t="shared" si="240"/>
        <v>0</v>
      </c>
      <c r="Q404">
        <f t="shared" si="241"/>
        <v>2</v>
      </c>
      <c r="R404">
        <f t="shared" si="219"/>
        <v>300</v>
      </c>
      <c r="S404">
        <f t="shared" si="242"/>
        <v>0</v>
      </c>
      <c r="T404">
        <f t="shared" si="243"/>
        <v>-1</v>
      </c>
      <c r="U404">
        <f t="shared" si="232"/>
        <v>1</v>
      </c>
      <c r="V404">
        <f t="shared" si="233"/>
        <v>1</v>
      </c>
      <c r="W404">
        <f t="shared" si="220"/>
        <v>0</v>
      </c>
      <c r="X404">
        <f t="shared" si="244"/>
        <v>0</v>
      </c>
      <c r="Y404">
        <f t="shared" si="221"/>
        <v>0</v>
      </c>
      <c r="Z404">
        <f t="shared" si="222"/>
        <v>0</v>
      </c>
      <c r="AA404">
        <f t="shared" si="223"/>
        <v>0</v>
      </c>
      <c r="AB404" s="29">
        <f t="shared" si="224"/>
        <v>0</v>
      </c>
      <c r="AC404" s="25">
        <f t="shared" si="234"/>
        <v>0</v>
      </c>
      <c r="AD404" s="29">
        <f t="shared" si="225"/>
        <v>0</v>
      </c>
      <c r="AE404" s="25">
        <f t="shared" si="235"/>
        <v>0</v>
      </c>
      <c r="AF404" s="25">
        <f t="shared" si="226"/>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7"/>
        <v>-1</v>
      </c>
      <c r="B405">
        <f t="shared" si="236"/>
        <v>6</v>
      </c>
      <c r="C405">
        <f t="shared" si="214"/>
        <v>300</v>
      </c>
      <c r="D405">
        <f t="shared" si="228"/>
        <v>0</v>
      </c>
      <c r="E405">
        <f t="shared" si="248"/>
        <v>5</v>
      </c>
      <c r="F405">
        <f t="shared" si="215"/>
        <v>360</v>
      </c>
      <c r="G405">
        <f t="shared" si="229"/>
        <v>0</v>
      </c>
      <c r="H405">
        <f t="shared" si="237"/>
        <v>4</v>
      </c>
      <c r="I405">
        <f t="shared" si="216"/>
        <v>360</v>
      </c>
      <c r="J405">
        <f t="shared" si="230"/>
        <v>0</v>
      </c>
      <c r="K405">
        <f t="shared" si="238"/>
        <v>3</v>
      </c>
      <c r="L405">
        <f t="shared" si="217"/>
        <v>360</v>
      </c>
      <c r="M405">
        <f t="shared" si="231"/>
        <v>0</v>
      </c>
      <c r="N405">
        <f t="shared" si="239"/>
        <v>2</v>
      </c>
      <c r="O405">
        <f t="shared" si="218"/>
        <v>300</v>
      </c>
      <c r="P405">
        <f t="shared" si="240"/>
        <v>0</v>
      </c>
      <c r="Q405">
        <f t="shared" si="241"/>
        <v>2</v>
      </c>
      <c r="R405">
        <f t="shared" si="219"/>
        <v>300</v>
      </c>
      <c r="S405">
        <f t="shared" si="242"/>
        <v>0</v>
      </c>
      <c r="T405">
        <f t="shared" si="243"/>
        <v>-1</v>
      </c>
      <c r="U405">
        <f t="shared" si="232"/>
        <v>1</v>
      </c>
      <c r="V405">
        <f t="shared" si="233"/>
        <v>1</v>
      </c>
      <c r="W405">
        <f t="shared" si="220"/>
        <v>0</v>
      </c>
      <c r="X405">
        <f t="shared" si="244"/>
        <v>0</v>
      </c>
      <c r="Y405">
        <f t="shared" si="221"/>
        <v>0</v>
      </c>
      <c r="Z405">
        <f t="shared" si="222"/>
        <v>0</v>
      </c>
      <c r="AA405">
        <f t="shared" si="223"/>
        <v>0</v>
      </c>
      <c r="AB405" s="29">
        <f t="shared" si="224"/>
        <v>0</v>
      </c>
      <c r="AC405" s="25">
        <f t="shared" si="234"/>
        <v>0</v>
      </c>
      <c r="AD405" s="29">
        <f t="shared" si="225"/>
        <v>0</v>
      </c>
      <c r="AE405" s="25">
        <f t="shared" si="235"/>
        <v>0</v>
      </c>
      <c r="AF405" s="25">
        <f t="shared" si="226"/>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7"/>
        <v>-1</v>
      </c>
      <c r="B406">
        <f t="shared" si="236"/>
        <v>6</v>
      </c>
      <c r="C406">
        <f t="shared" si="214"/>
        <v>300</v>
      </c>
      <c r="D406">
        <f t="shared" si="228"/>
        <v>0</v>
      </c>
      <c r="E406">
        <f t="shared" si="248"/>
        <v>5</v>
      </c>
      <c r="F406">
        <f t="shared" si="215"/>
        <v>360</v>
      </c>
      <c r="G406">
        <f t="shared" si="229"/>
        <v>0</v>
      </c>
      <c r="H406">
        <f t="shared" si="237"/>
        <v>4</v>
      </c>
      <c r="I406">
        <f t="shared" si="216"/>
        <v>360</v>
      </c>
      <c r="J406">
        <f t="shared" si="230"/>
        <v>0</v>
      </c>
      <c r="K406">
        <f t="shared" si="238"/>
        <v>3</v>
      </c>
      <c r="L406">
        <f t="shared" si="217"/>
        <v>360</v>
      </c>
      <c r="M406">
        <f t="shared" si="231"/>
        <v>0</v>
      </c>
      <c r="N406">
        <f t="shared" si="239"/>
        <v>2</v>
      </c>
      <c r="O406">
        <f t="shared" si="218"/>
        <v>300</v>
      </c>
      <c r="P406">
        <f t="shared" si="240"/>
        <v>0</v>
      </c>
      <c r="Q406">
        <f t="shared" si="241"/>
        <v>2</v>
      </c>
      <c r="R406">
        <f t="shared" si="219"/>
        <v>300</v>
      </c>
      <c r="S406">
        <f t="shared" si="242"/>
        <v>0</v>
      </c>
      <c r="T406">
        <f t="shared" si="243"/>
        <v>-1</v>
      </c>
      <c r="U406">
        <f t="shared" si="232"/>
        <v>1</v>
      </c>
      <c r="V406">
        <f t="shared" si="233"/>
        <v>1</v>
      </c>
      <c r="W406">
        <f t="shared" si="220"/>
        <v>0</v>
      </c>
      <c r="X406">
        <f t="shared" si="244"/>
        <v>0</v>
      </c>
      <c r="Y406">
        <f t="shared" si="221"/>
        <v>0</v>
      </c>
      <c r="Z406">
        <f t="shared" si="222"/>
        <v>0</v>
      </c>
      <c r="AA406">
        <f t="shared" si="223"/>
        <v>0</v>
      </c>
      <c r="AB406" s="29">
        <f t="shared" si="224"/>
        <v>0</v>
      </c>
      <c r="AC406" s="25">
        <f t="shared" si="234"/>
        <v>0</v>
      </c>
      <c r="AD406" s="29">
        <f t="shared" si="225"/>
        <v>0</v>
      </c>
      <c r="AE406" s="25">
        <f t="shared" si="235"/>
        <v>0</v>
      </c>
      <c r="AF406" s="25">
        <f t="shared" si="226"/>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7"/>
        <v>-1</v>
      </c>
      <c r="B407">
        <f t="shared" si="236"/>
        <v>6</v>
      </c>
      <c r="C407">
        <f t="shared" si="214"/>
        <v>300</v>
      </c>
      <c r="D407">
        <f t="shared" si="228"/>
        <v>0</v>
      </c>
      <c r="E407">
        <f t="shared" si="248"/>
        <v>5</v>
      </c>
      <c r="F407">
        <f t="shared" si="215"/>
        <v>360</v>
      </c>
      <c r="G407">
        <f t="shared" si="229"/>
        <v>0</v>
      </c>
      <c r="H407">
        <f t="shared" si="237"/>
        <v>4</v>
      </c>
      <c r="I407">
        <f t="shared" si="216"/>
        <v>360</v>
      </c>
      <c r="J407">
        <f t="shared" si="230"/>
        <v>0</v>
      </c>
      <c r="K407">
        <f t="shared" si="238"/>
        <v>3</v>
      </c>
      <c r="L407">
        <f t="shared" si="217"/>
        <v>360</v>
      </c>
      <c r="M407">
        <f t="shared" si="231"/>
        <v>0</v>
      </c>
      <c r="N407">
        <f t="shared" si="239"/>
        <v>2</v>
      </c>
      <c r="O407">
        <f t="shared" si="218"/>
        <v>300</v>
      </c>
      <c r="P407">
        <f t="shared" si="240"/>
        <v>0</v>
      </c>
      <c r="Q407">
        <f t="shared" si="241"/>
        <v>2</v>
      </c>
      <c r="R407">
        <f t="shared" si="219"/>
        <v>300</v>
      </c>
      <c r="S407">
        <f t="shared" si="242"/>
        <v>0</v>
      </c>
      <c r="T407">
        <f t="shared" si="243"/>
        <v>-1</v>
      </c>
      <c r="U407">
        <f t="shared" si="232"/>
        <v>1</v>
      </c>
      <c r="V407">
        <f t="shared" si="233"/>
        <v>1</v>
      </c>
      <c r="W407">
        <f t="shared" si="220"/>
        <v>0</v>
      </c>
      <c r="X407">
        <f t="shared" si="244"/>
        <v>0</v>
      </c>
      <c r="Y407">
        <f t="shared" si="221"/>
        <v>0</v>
      </c>
      <c r="Z407">
        <f t="shared" si="222"/>
        <v>0</v>
      </c>
      <c r="AA407">
        <f t="shared" si="223"/>
        <v>0</v>
      </c>
      <c r="AB407" s="29">
        <f t="shared" si="224"/>
        <v>0</v>
      </c>
      <c r="AC407" s="25">
        <f t="shared" si="234"/>
        <v>0</v>
      </c>
      <c r="AD407" s="29">
        <f t="shared" si="225"/>
        <v>0</v>
      </c>
      <c r="AE407" s="25">
        <f t="shared" si="235"/>
        <v>0</v>
      </c>
      <c r="AF407" s="25">
        <f t="shared" si="226"/>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7"/>
        <v>-1</v>
      </c>
      <c r="B408">
        <f t="shared" si="236"/>
        <v>6</v>
      </c>
      <c r="C408">
        <f t="shared" si="214"/>
        <v>300</v>
      </c>
      <c r="D408">
        <f t="shared" si="228"/>
        <v>0</v>
      </c>
      <c r="E408">
        <f t="shared" si="248"/>
        <v>5</v>
      </c>
      <c r="F408">
        <f t="shared" si="215"/>
        <v>360</v>
      </c>
      <c r="G408">
        <f t="shared" si="229"/>
        <v>0</v>
      </c>
      <c r="H408">
        <f t="shared" si="237"/>
        <v>4</v>
      </c>
      <c r="I408">
        <f t="shared" si="216"/>
        <v>360</v>
      </c>
      <c r="J408">
        <f t="shared" si="230"/>
        <v>0</v>
      </c>
      <c r="K408">
        <f t="shared" si="238"/>
        <v>3</v>
      </c>
      <c r="L408">
        <f t="shared" si="217"/>
        <v>360</v>
      </c>
      <c r="M408">
        <f t="shared" si="231"/>
        <v>0</v>
      </c>
      <c r="N408">
        <f t="shared" si="239"/>
        <v>2</v>
      </c>
      <c r="O408">
        <f t="shared" si="218"/>
        <v>300</v>
      </c>
      <c r="P408">
        <f t="shared" si="240"/>
        <v>0</v>
      </c>
      <c r="Q408">
        <f t="shared" si="241"/>
        <v>2</v>
      </c>
      <c r="R408">
        <f t="shared" si="219"/>
        <v>300</v>
      </c>
      <c r="S408">
        <f t="shared" si="242"/>
        <v>0</v>
      </c>
      <c r="T408">
        <f t="shared" si="243"/>
        <v>-1</v>
      </c>
      <c r="U408">
        <f t="shared" si="232"/>
        <v>1</v>
      </c>
      <c r="V408">
        <f t="shared" si="233"/>
        <v>1</v>
      </c>
      <c r="W408">
        <f t="shared" si="220"/>
        <v>0</v>
      </c>
      <c r="X408">
        <f t="shared" si="244"/>
        <v>0</v>
      </c>
      <c r="Y408">
        <f t="shared" si="221"/>
        <v>0</v>
      </c>
      <c r="Z408">
        <f t="shared" si="222"/>
        <v>0</v>
      </c>
      <c r="AA408">
        <f t="shared" si="223"/>
        <v>0</v>
      </c>
      <c r="AB408" s="29">
        <f t="shared" si="224"/>
        <v>0</v>
      </c>
      <c r="AC408" s="25">
        <f t="shared" si="234"/>
        <v>0</v>
      </c>
      <c r="AD408" s="29">
        <f t="shared" si="225"/>
        <v>0</v>
      </c>
      <c r="AE408" s="25">
        <f t="shared" si="235"/>
        <v>0</v>
      </c>
      <c r="AF408" s="25">
        <f t="shared" si="226"/>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7"/>
        <v>-1</v>
      </c>
      <c r="B409">
        <f t="shared" si="236"/>
        <v>6</v>
      </c>
      <c r="C409">
        <f t="shared" si="214"/>
        <v>300</v>
      </c>
      <c r="D409">
        <f t="shared" si="228"/>
        <v>0</v>
      </c>
      <c r="E409">
        <f t="shared" si="248"/>
        <v>5</v>
      </c>
      <c r="F409">
        <f t="shared" si="215"/>
        <v>360</v>
      </c>
      <c r="G409">
        <f t="shared" si="229"/>
        <v>0</v>
      </c>
      <c r="H409">
        <f t="shared" si="237"/>
        <v>4</v>
      </c>
      <c r="I409">
        <f t="shared" si="216"/>
        <v>360</v>
      </c>
      <c r="J409">
        <f t="shared" si="230"/>
        <v>0</v>
      </c>
      <c r="K409">
        <f t="shared" si="238"/>
        <v>3</v>
      </c>
      <c r="L409">
        <f t="shared" si="217"/>
        <v>360</v>
      </c>
      <c r="M409">
        <f t="shared" si="231"/>
        <v>0</v>
      </c>
      <c r="N409">
        <f t="shared" si="239"/>
        <v>2</v>
      </c>
      <c r="O409">
        <f t="shared" si="218"/>
        <v>300</v>
      </c>
      <c r="P409">
        <f t="shared" si="240"/>
        <v>0</v>
      </c>
      <c r="Q409">
        <f t="shared" si="241"/>
        <v>2</v>
      </c>
      <c r="R409">
        <f t="shared" si="219"/>
        <v>300</v>
      </c>
      <c r="S409">
        <f t="shared" si="242"/>
        <v>0</v>
      </c>
      <c r="T409">
        <f t="shared" si="243"/>
        <v>-1</v>
      </c>
      <c r="U409">
        <f t="shared" si="232"/>
        <v>1</v>
      </c>
      <c r="V409">
        <f t="shared" si="233"/>
        <v>1</v>
      </c>
      <c r="W409">
        <f t="shared" si="220"/>
        <v>0</v>
      </c>
      <c r="X409">
        <f t="shared" si="244"/>
        <v>0</v>
      </c>
      <c r="Y409">
        <f t="shared" si="221"/>
        <v>0</v>
      </c>
      <c r="Z409">
        <f t="shared" si="222"/>
        <v>0</v>
      </c>
      <c r="AA409">
        <f t="shared" si="223"/>
        <v>0</v>
      </c>
      <c r="AB409" s="29">
        <f t="shared" si="224"/>
        <v>0</v>
      </c>
      <c r="AC409" s="25">
        <f t="shared" si="234"/>
        <v>0</v>
      </c>
      <c r="AD409" s="29">
        <f t="shared" si="225"/>
        <v>0</v>
      </c>
      <c r="AE409" s="25">
        <f t="shared" si="235"/>
        <v>0</v>
      </c>
      <c r="AF409" s="25">
        <f t="shared" si="226"/>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7"/>
        <v>-1</v>
      </c>
      <c r="B410">
        <f t="shared" si="236"/>
        <v>6</v>
      </c>
      <c r="C410">
        <f t="shared" si="214"/>
        <v>300</v>
      </c>
      <c r="D410">
        <f t="shared" si="228"/>
        <v>0</v>
      </c>
      <c r="E410">
        <f t="shared" si="248"/>
        <v>5</v>
      </c>
      <c r="F410">
        <f t="shared" si="215"/>
        <v>360</v>
      </c>
      <c r="G410">
        <f t="shared" si="229"/>
        <v>0</v>
      </c>
      <c r="H410">
        <f t="shared" si="237"/>
        <v>4</v>
      </c>
      <c r="I410">
        <f t="shared" si="216"/>
        <v>360</v>
      </c>
      <c r="J410">
        <f t="shared" si="230"/>
        <v>0</v>
      </c>
      <c r="K410">
        <f t="shared" si="238"/>
        <v>3</v>
      </c>
      <c r="L410">
        <f t="shared" si="217"/>
        <v>360</v>
      </c>
      <c r="M410">
        <f t="shared" si="231"/>
        <v>0</v>
      </c>
      <c r="N410">
        <f t="shared" si="239"/>
        <v>2</v>
      </c>
      <c r="O410">
        <f t="shared" si="218"/>
        <v>300</v>
      </c>
      <c r="P410">
        <f t="shared" si="240"/>
        <v>0</v>
      </c>
      <c r="Q410">
        <f t="shared" si="241"/>
        <v>2</v>
      </c>
      <c r="R410">
        <f t="shared" si="219"/>
        <v>300</v>
      </c>
      <c r="S410">
        <f t="shared" si="242"/>
        <v>0</v>
      </c>
      <c r="T410">
        <f t="shared" si="243"/>
        <v>-1</v>
      </c>
      <c r="U410">
        <f t="shared" si="232"/>
        <v>1</v>
      </c>
      <c r="V410">
        <f t="shared" si="233"/>
        <v>1</v>
      </c>
      <c r="W410">
        <f t="shared" si="220"/>
        <v>0</v>
      </c>
      <c r="X410">
        <f t="shared" si="244"/>
        <v>0</v>
      </c>
      <c r="Y410">
        <f t="shared" si="221"/>
        <v>0</v>
      </c>
      <c r="Z410">
        <f t="shared" si="222"/>
        <v>0</v>
      </c>
      <c r="AA410">
        <f t="shared" si="223"/>
        <v>0</v>
      </c>
      <c r="AB410" s="29">
        <f t="shared" si="224"/>
        <v>0</v>
      </c>
      <c r="AC410" s="25">
        <f t="shared" si="234"/>
        <v>0</v>
      </c>
      <c r="AD410" s="29">
        <f t="shared" si="225"/>
        <v>0</v>
      </c>
      <c r="AE410" s="25">
        <f t="shared" si="235"/>
        <v>0</v>
      </c>
      <c r="AF410" s="25">
        <f t="shared" si="226"/>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7"/>
        <v>-1</v>
      </c>
      <c r="B411">
        <f t="shared" si="236"/>
        <v>6</v>
      </c>
      <c r="C411">
        <f t="shared" si="214"/>
        <v>300</v>
      </c>
      <c r="D411">
        <f t="shared" si="228"/>
        <v>0</v>
      </c>
      <c r="E411">
        <f t="shared" si="248"/>
        <v>5</v>
      </c>
      <c r="F411">
        <f t="shared" si="215"/>
        <v>360</v>
      </c>
      <c r="G411">
        <f t="shared" si="229"/>
        <v>0</v>
      </c>
      <c r="H411">
        <f t="shared" si="237"/>
        <v>4</v>
      </c>
      <c r="I411">
        <f t="shared" si="216"/>
        <v>360</v>
      </c>
      <c r="J411">
        <f t="shared" si="230"/>
        <v>0</v>
      </c>
      <c r="K411">
        <f t="shared" si="238"/>
        <v>3</v>
      </c>
      <c r="L411">
        <f t="shared" si="217"/>
        <v>360</v>
      </c>
      <c r="M411">
        <f t="shared" si="231"/>
        <v>0</v>
      </c>
      <c r="N411">
        <f t="shared" si="239"/>
        <v>2</v>
      </c>
      <c r="O411">
        <f t="shared" si="218"/>
        <v>300</v>
      </c>
      <c r="P411">
        <f t="shared" si="240"/>
        <v>0</v>
      </c>
      <c r="Q411">
        <f t="shared" si="241"/>
        <v>2</v>
      </c>
      <c r="R411">
        <f t="shared" si="219"/>
        <v>300</v>
      </c>
      <c r="S411">
        <f t="shared" si="242"/>
        <v>0</v>
      </c>
      <c r="T411">
        <f t="shared" si="243"/>
        <v>-1</v>
      </c>
      <c r="U411">
        <f t="shared" si="232"/>
        <v>1</v>
      </c>
      <c r="V411">
        <f t="shared" si="233"/>
        <v>1</v>
      </c>
      <c r="W411">
        <f t="shared" si="220"/>
        <v>0</v>
      </c>
      <c r="X411">
        <f t="shared" si="244"/>
        <v>0</v>
      </c>
      <c r="Y411">
        <f t="shared" si="221"/>
        <v>0</v>
      </c>
      <c r="Z411">
        <f t="shared" si="222"/>
        <v>0</v>
      </c>
      <c r="AA411">
        <f t="shared" si="223"/>
        <v>0</v>
      </c>
      <c r="AB411" s="29">
        <f t="shared" si="224"/>
        <v>0</v>
      </c>
      <c r="AC411" s="25">
        <f t="shared" si="234"/>
        <v>0</v>
      </c>
      <c r="AD411" s="29">
        <f t="shared" si="225"/>
        <v>0</v>
      </c>
      <c r="AE411" s="25">
        <f t="shared" si="235"/>
        <v>0</v>
      </c>
      <c r="AF411" s="25">
        <f t="shared" si="226"/>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7"/>
        <v>-1</v>
      </c>
      <c r="B412">
        <f t="shared" si="236"/>
        <v>6</v>
      </c>
      <c r="C412">
        <f t="shared" si="214"/>
        <v>300</v>
      </c>
      <c r="D412">
        <f t="shared" si="228"/>
        <v>0</v>
      </c>
      <c r="E412">
        <f t="shared" si="248"/>
        <v>5</v>
      </c>
      <c r="F412">
        <f t="shared" si="215"/>
        <v>360</v>
      </c>
      <c r="G412">
        <f t="shared" si="229"/>
        <v>0</v>
      </c>
      <c r="H412">
        <f t="shared" si="237"/>
        <v>4</v>
      </c>
      <c r="I412">
        <f t="shared" si="216"/>
        <v>360</v>
      </c>
      <c r="J412">
        <f t="shared" si="230"/>
        <v>0</v>
      </c>
      <c r="K412">
        <f t="shared" si="238"/>
        <v>3</v>
      </c>
      <c r="L412">
        <f t="shared" si="217"/>
        <v>360</v>
      </c>
      <c r="M412">
        <f t="shared" si="231"/>
        <v>0</v>
      </c>
      <c r="N412">
        <f t="shared" si="239"/>
        <v>2</v>
      </c>
      <c r="O412">
        <f t="shared" si="218"/>
        <v>300</v>
      </c>
      <c r="P412">
        <f t="shared" si="240"/>
        <v>0</v>
      </c>
      <c r="Q412">
        <f t="shared" si="241"/>
        <v>2</v>
      </c>
      <c r="R412">
        <f t="shared" si="219"/>
        <v>300</v>
      </c>
      <c r="S412">
        <f t="shared" si="242"/>
        <v>0</v>
      </c>
      <c r="T412">
        <f t="shared" si="243"/>
        <v>-1</v>
      </c>
      <c r="U412">
        <f t="shared" si="232"/>
        <v>1</v>
      </c>
      <c r="V412">
        <f t="shared" si="233"/>
        <v>1</v>
      </c>
      <c r="W412">
        <f t="shared" si="220"/>
        <v>0</v>
      </c>
      <c r="X412">
        <f t="shared" si="244"/>
        <v>0</v>
      </c>
      <c r="Y412">
        <f t="shared" si="221"/>
        <v>0</v>
      </c>
      <c r="Z412">
        <f t="shared" si="222"/>
        <v>0</v>
      </c>
      <c r="AA412">
        <f t="shared" si="223"/>
        <v>0</v>
      </c>
      <c r="AB412" s="29">
        <f t="shared" si="224"/>
        <v>0</v>
      </c>
      <c r="AC412" s="25">
        <f t="shared" si="234"/>
        <v>0</v>
      </c>
      <c r="AD412" s="29">
        <f t="shared" si="225"/>
        <v>0</v>
      </c>
      <c r="AE412" s="25">
        <f t="shared" si="235"/>
        <v>0</v>
      </c>
      <c r="AF412" s="25">
        <f t="shared" si="226"/>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7"/>
        <v>-1</v>
      </c>
      <c r="B413">
        <f t="shared" si="236"/>
        <v>6</v>
      </c>
      <c r="C413">
        <f t="shared" si="214"/>
        <v>300</v>
      </c>
      <c r="D413">
        <f t="shared" si="228"/>
        <v>0</v>
      </c>
      <c r="E413">
        <f t="shared" si="248"/>
        <v>5</v>
      </c>
      <c r="F413">
        <f t="shared" si="215"/>
        <v>360</v>
      </c>
      <c r="G413">
        <f t="shared" si="229"/>
        <v>0</v>
      </c>
      <c r="H413">
        <f t="shared" si="237"/>
        <v>4</v>
      </c>
      <c r="I413">
        <f t="shared" si="216"/>
        <v>360</v>
      </c>
      <c r="J413">
        <f t="shared" si="230"/>
        <v>0</v>
      </c>
      <c r="K413">
        <f t="shared" si="238"/>
        <v>3</v>
      </c>
      <c r="L413">
        <f t="shared" si="217"/>
        <v>360</v>
      </c>
      <c r="M413">
        <f t="shared" si="231"/>
        <v>0</v>
      </c>
      <c r="N413">
        <f t="shared" si="239"/>
        <v>2</v>
      </c>
      <c r="O413">
        <f t="shared" si="218"/>
        <v>300</v>
      </c>
      <c r="P413">
        <f t="shared" si="240"/>
        <v>0</v>
      </c>
      <c r="Q413">
        <f t="shared" si="241"/>
        <v>2</v>
      </c>
      <c r="R413">
        <f t="shared" si="219"/>
        <v>300</v>
      </c>
      <c r="S413">
        <f t="shared" si="242"/>
        <v>0</v>
      </c>
      <c r="T413">
        <f t="shared" si="243"/>
        <v>-1</v>
      </c>
      <c r="U413">
        <f t="shared" si="232"/>
        <v>1</v>
      </c>
      <c r="V413">
        <f t="shared" si="233"/>
        <v>1</v>
      </c>
      <c r="W413">
        <f t="shared" si="220"/>
        <v>0</v>
      </c>
      <c r="X413">
        <f t="shared" si="244"/>
        <v>0</v>
      </c>
      <c r="Y413">
        <f t="shared" si="221"/>
        <v>0</v>
      </c>
      <c r="Z413">
        <f t="shared" si="222"/>
        <v>0</v>
      </c>
      <c r="AA413">
        <f t="shared" si="223"/>
        <v>0</v>
      </c>
      <c r="AB413" s="29">
        <f t="shared" si="224"/>
        <v>0</v>
      </c>
      <c r="AC413" s="25">
        <f t="shared" si="234"/>
        <v>0</v>
      </c>
      <c r="AD413" s="29">
        <f t="shared" si="225"/>
        <v>0</v>
      </c>
      <c r="AE413" s="25">
        <f t="shared" si="235"/>
        <v>0</v>
      </c>
      <c r="AF413" s="25">
        <f t="shared" si="226"/>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7"/>
        <v>-1</v>
      </c>
      <c r="B414">
        <f t="shared" si="236"/>
        <v>6</v>
      </c>
      <c r="C414">
        <f t="shared" si="214"/>
        <v>300</v>
      </c>
      <c r="D414">
        <f t="shared" si="228"/>
        <v>0</v>
      </c>
      <c r="E414">
        <f t="shared" si="248"/>
        <v>5</v>
      </c>
      <c r="F414">
        <f t="shared" si="215"/>
        <v>360</v>
      </c>
      <c r="G414">
        <f t="shared" si="229"/>
        <v>0</v>
      </c>
      <c r="H414">
        <f t="shared" si="237"/>
        <v>4</v>
      </c>
      <c r="I414">
        <f t="shared" si="216"/>
        <v>360</v>
      </c>
      <c r="J414">
        <f t="shared" si="230"/>
        <v>0</v>
      </c>
      <c r="K414">
        <f t="shared" si="238"/>
        <v>3</v>
      </c>
      <c r="L414">
        <f t="shared" si="217"/>
        <v>360</v>
      </c>
      <c r="M414">
        <f t="shared" si="231"/>
        <v>0</v>
      </c>
      <c r="N414">
        <f t="shared" si="239"/>
        <v>2</v>
      </c>
      <c r="O414">
        <f t="shared" si="218"/>
        <v>300</v>
      </c>
      <c r="P414">
        <f t="shared" si="240"/>
        <v>0</v>
      </c>
      <c r="Q414">
        <f t="shared" si="241"/>
        <v>2</v>
      </c>
      <c r="R414">
        <f t="shared" si="219"/>
        <v>300</v>
      </c>
      <c r="S414">
        <f t="shared" si="242"/>
        <v>0</v>
      </c>
      <c r="T414">
        <f t="shared" si="243"/>
        <v>-1</v>
      </c>
      <c r="U414">
        <f t="shared" si="232"/>
        <v>1</v>
      </c>
      <c r="V414">
        <f t="shared" si="233"/>
        <v>1</v>
      </c>
      <c r="W414">
        <f t="shared" si="220"/>
        <v>0</v>
      </c>
      <c r="X414">
        <f t="shared" si="244"/>
        <v>0</v>
      </c>
      <c r="Y414">
        <f t="shared" si="221"/>
        <v>0</v>
      </c>
      <c r="Z414">
        <f t="shared" si="222"/>
        <v>0</v>
      </c>
      <c r="AA414">
        <f t="shared" si="223"/>
        <v>0</v>
      </c>
      <c r="AB414" s="29">
        <f t="shared" si="224"/>
        <v>0</v>
      </c>
      <c r="AC414" s="25">
        <f t="shared" si="234"/>
        <v>0</v>
      </c>
      <c r="AD414" s="29">
        <f t="shared" si="225"/>
        <v>0</v>
      </c>
      <c r="AE414" s="25">
        <f t="shared" si="235"/>
        <v>0</v>
      </c>
      <c r="AF414" s="25">
        <f t="shared" si="226"/>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7"/>
        <v>-1</v>
      </c>
      <c r="B415">
        <f t="shared" si="236"/>
        <v>6</v>
      </c>
      <c r="C415">
        <f t="shared" si="214"/>
        <v>300</v>
      </c>
      <c r="D415">
        <f t="shared" si="228"/>
        <v>0</v>
      </c>
      <c r="E415">
        <f t="shared" si="248"/>
        <v>5</v>
      </c>
      <c r="F415">
        <f t="shared" si="215"/>
        <v>360</v>
      </c>
      <c r="G415">
        <f t="shared" si="229"/>
        <v>0</v>
      </c>
      <c r="H415">
        <f t="shared" si="237"/>
        <v>4</v>
      </c>
      <c r="I415">
        <f t="shared" si="216"/>
        <v>360</v>
      </c>
      <c r="J415">
        <f t="shared" si="230"/>
        <v>0</v>
      </c>
      <c r="K415">
        <f t="shared" si="238"/>
        <v>3</v>
      </c>
      <c r="L415">
        <f t="shared" si="217"/>
        <v>360</v>
      </c>
      <c r="M415">
        <f t="shared" si="231"/>
        <v>0</v>
      </c>
      <c r="N415">
        <f t="shared" si="239"/>
        <v>2</v>
      </c>
      <c r="O415">
        <f t="shared" si="218"/>
        <v>300</v>
      </c>
      <c r="P415">
        <f t="shared" si="240"/>
        <v>0</v>
      </c>
      <c r="Q415">
        <f t="shared" si="241"/>
        <v>2</v>
      </c>
      <c r="R415">
        <f t="shared" si="219"/>
        <v>300</v>
      </c>
      <c r="S415">
        <f t="shared" si="242"/>
        <v>0</v>
      </c>
      <c r="T415">
        <f t="shared" si="243"/>
        <v>-1</v>
      </c>
      <c r="U415">
        <f t="shared" si="232"/>
        <v>1</v>
      </c>
      <c r="V415">
        <f t="shared" si="233"/>
        <v>1</v>
      </c>
      <c r="W415">
        <f t="shared" si="220"/>
        <v>0</v>
      </c>
      <c r="X415">
        <f t="shared" si="244"/>
        <v>0</v>
      </c>
      <c r="Y415">
        <f t="shared" si="221"/>
        <v>0</v>
      </c>
      <c r="Z415">
        <f t="shared" si="222"/>
        <v>0</v>
      </c>
      <c r="AA415">
        <f t="shared" si="223"/>
        <v>0</v>
      </c>
      <c r="AB415" s="29">
        <f t="shared" si="224"/>
        <v>0</v>
      </c>
      <c r="AC415" s="25">
        <f t="shared" si="234"/>
        <v>0</v>
      </c>
      <c r="AD415" s="29">
        <f t="shared" si="225"/>
        <v>0</v>
      </c>
      <c r="AE415" s="25">
        <f t="shared" si="235"/>
        <v>0</v>
      </c>
      <c r="AF415" s="25">
        <f t="shared" si="226"/>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7"/>
        <v>-1</v>
      </c>
      <c r="B416">
        <f t="shared" si="236"/>
        <v>6</v>
      </c>
      <c r="C416">
        <f t="shared" si="214"/>
        <v>300</v>
      </c>
      <c r="D416">
        <f t="shared" si="228"/>
        <v>0</v>
      </c>
      <c r="E416">
        <f t="shared" si="248"/>
        <v>5</v>
      </c>
      <c r="F416">
        <f t="shared" si="215"/>
        <v>360</v>
      </c>
      <c r="G416">
        <f t="shared" si="229"/>
        <v>0</v>
      </c>
      <c r="H416">
        <f t="shared" si="237"/>
        <v>4</v>
      </c>
      <c r="I416">
        <f t="shared" si="216"/>
        <v>360</v>
      </c>
      <c r="J416">
        <f t="shared" si="230"/>
        <v>0</v>
      </c>
      <c r="K416">
        <f t="shared" si="238"/>
        <v>3</v>
      </c>
      <c r="L416">
        <f t="shared" si="217"/>
        <v>360</v>
      </c>
      <c r="M416">
        <f t="shared" si="231"/>
        <v>0</v>
      </c>
      <c r="N416">
        <f t="shared" si="239"/>
        <v>2</v>
      </c>
      <c r="O416">
        <f t="shared" si="218"/>
        <v>300</v>
      </c>
      <c r="P416">
        <f t="shared" si="240"/>
        <v>0</v>
      </c>
      <c r="Q416">
        <f t="shared" si="241"/>
        <v>2</v>
      </c>
      <c r="R416">
        <f t="shared" si="219"/>
        <v>300</v>
      </c>
      <c r="S416">
        <f t="shared" si="242"/>
        <v>0</v>
      </c>
      <c r="T416">
        <f t="shared" si="243"/>
        <v>-1</v>
      </c>
      <c r="U416">
        <f t="shared" si="232"/>
        <v>1</v>
      </c>
      <c r="V416">
        <f t="shared" si="233"/>
        <v>1</v>
      </c>
      <c r="W416">
        <f t="shared" si="220"/>
        <v>0</v>
      </c>
      <c r="X416">
        <f t="shared" si="244"/>
        <v>0</v>
      </c>
      <c r="Y416">
        <f t="shared" si="221"/>
        <v>0</v>
      </c>
      <c r="Z416">
        <f t="shared" si="222"/>
        <v>0</v>
      </c>
      <c r="AA416">
        <f t="shared" si="223"/>
        <v>0</v>
      </c>
      <c r="AB416" s="29">
        <f t="shared" si="224"/>
        <v>0</v>
      </c>
      <c r="AC416" s="25">
        <f t="shared" si="234"/>
        <v>0</v>
      </c>
      <c r="AD416" s="29">
        <f t="shared" si="225"/>
        <v>0</v>
      </c>
      <c r="AE416" s="25">
        <f t="shared" si="235"/>
        <v>0</v>
      </c>
      <c r="AF416" s="25">
        <f t="shared" si="226"/>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7"/>
        <v>-1</v>
      </c>
      <c r="B417">
        <f t="shared" si="236"/>
        <v>6</v>
      </c>
      <c r="C417">
        <f t="shared" si="214"/>
        <v>300</v>
      </c>
      <c r="D417">
        <f t="shared" si="228"/>
        <v>0</v>
      </c>
      <c r="E417">
        <f t="shared" si="248"/>
        <v>5</v>
      </c>
      <c r="F417">
        <f t="shared" si="215"/>
        <v>360</v>
      </c>
      <c r="G417">
        <f t="shared" si="229"/>
        <v>0</v>
      </c>
      <c r="H417">
        <f t="shared" si="237"/>
        <v>4</v>
      </c>
      <c r="I417">
        <f t="shared" si="216"/>
        <v>360</v>
      </c>
      <c r="J417">
        <f t="shared" si="230"/>
        <v>0</v>
      </c>
      <c r="K417">
        <f t="shared" si="238"/>
        <v>3</v>
      </c>
      <c r="L417">
        <f t="shared" si="217"/>
        <v>360</v>
      </c>
      <c r="M417">
        <f t="shared" si="231"/>
        <v>0</v>
      </c>
      <c r="N417">
        <f t="shared" si="239"/>
        <v>2</v>
      </c>
      <c r="O417">
        <f t="shared" si="218"/>
        <v>300</v>
      </c>
      <c r="P417">
        <f t="shared" si="240"/>
        <v>0</v>
      </c>
      <c r="Q417">
        <f t="shared" si="241"/>
        <v>2</v>
      </c>
      <c r="R417">
        <f t="shared" si="219"/>
        <v>300</v>
      </c>
      <c r="S417">
        <f t="shared" si="242"/>
        <v>0</v>
      </c>
      <c r="T417">
        <f t="shared" si="243"/>
        <v>-1</v>
      </c>
      <c r="U417">
        <f t="shared" si="232"/>
        <v>1</v>
      </c>
      <c r="V417">
        <f t="shared" si="233"/>
        <v>1</v>
      </c>
      <c r="W417">
        <f t="shared" si="220"/>
        <v>0</v>
      </c>
      <c r="X417">
        <f t="shared" si="244"/>
        <v>0</v>
      </c>
      <c r="Y417">
        <f t="shared" si="221"/>
        <v>0</v>
      </c>
      <c r="Z417">
        <f t="shared" si="222"/>
        <v>0</v>
      </c>
      <c r="AA417">
        <f t="shared" si="223"/>
        <v>0</v>
      </c>
      <c r="AB417" s="29">
        <f t="shared" si="224"/>
        <v>0</v>
      </c>
      <c r="AC417" s="25">
        <f t="shared" si="234"/>
        <v>0</v>
      </c>
      <c r="AD417" s="29">
        <f t="shared" si="225"/>
        <v>0</v>
      </c>
      <c r="AE417" s="25">
        <f t="shared" si="235"/>
        <v>0</v>
      </c>
      <c r="AF417" s="25">
        <f t="shared" si="226"/>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7"/>
        <v>-1</v>
      </c>
      <c r="B418">
        <f t="shared" si="236"/>
        <v>6</v>
      </c>
      <c r="C418">
        <f t="shared" si="214"/>
        <v>300</v>
      </c>
      <c r="D418">
        <f t="shared" si="228"/>
        <v>0</v>
      </c>
      <c r="E418">
        <f t="shared" si="248"/>
        <v>5</v>
      </c>
      <c r="F418">
        <f t="shared" si="215"/>
        <v>360</v>
      </c>
      <c r="G418">
        <f t="shared" si="229"/>
        <v>0</v>
      </c>
      <c r="H418">
        <f t="shared" si="237"/>
        <v>4</v>
      </c>
      <c r="I418">
        <f t="shared" si="216"/>
        <v>360</v>
      </c>
      <c r="J418">
        <f t="shared" si="230"/>
        <v>0</v>
      </c>
      <c r="K418">
        <f t="shared" si="238"/>
        <v>3</v>
      </c>
      <c r="L418">
        <f t="shared" si="217"/>
        <v>360</v>
      </c>
      <c r="M418">
        <f t="shared" si="231"/>
        <v>0</v>
      </c>
      <c r="N418">
        <f t="shared" si="239"/>
        <v>2</v>
      </c>
      <c r="O418">
        <f t="shared" si="218"/>
        <v>300</v>
      </c>
      <c r="P418">
        <f t="shared" si="240"/>
        <v>0</v>
      </c>
      <c r="Q418">
        <f t="shared" si="241"/>
        <v>2</v>
      </c>
      <c r="R418">
        <f t="shared" si="219"/>
        <v>300</v>
      </c>
      <c r="S418">
        <f t="shared" si="242"/>
        <v>0</v>
      </c>
      <c r="T418">
        <f t="shared" si="243"/>
        <v>-1</v>
      </c>
      <c r="U418">
        <f t="shared" si="232"/>
        <v>1</v>
      </c>
      <c r="V418">
        <f t="shared" si="233"/>
        <v>1</v>
      </c>
      <c r="W418">
        <f t="shared" si="220"/>
        <v>0</v>
      </c>
      <c r="X418">
        <f t="shared" si="244"/>
        <v>0</v>
      </c>
      <c r="Y418">
        <f t="shared" si="221"/>
        <v>0</v>
      </c>
      <c r="Z418">
        <f t="shared" si="222"/>
        <v>0</v>
      </c>
      <c r="AA418">
        <f t="shared" si="223"/>
        <v>0</v>
      </c>
      <c r="AB418" s="29">
        <f t="shared" si="224"/>
        <v>0</v>
      </c>
      <c r="AC418" s="25">
        <f t="shared" si="234"/>
        <v>0</v>
      </c>
      <c r="AD418" s="29">
        <f t="shared" si="225"/>
        <v>0</v>
      </c>
      <c r="AE418" s="25">
        <f t="shared" si="235"/>
        <v>0</v>
      </c>
      <c r="AF418" s="25">
        <f t="shared" si="226"/>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7"/>
        <v>-1</v>
      </c>
      <c r="B419">
        <f t="shared" si="236"/>
        <v>6</v>
      </c>
      <c r="C419">
        <f t="shared" si="214"/>
        <v>300</v>
      </c>
      <c r="D419">
        <f t="shared" si="228"/>
        <v>0</v>
      </c>
      <c r="E419">
        <f t="shared" si="248"/>
        <v>5</v>
      </c>
      <c r="F419">
        <f t="shared" si="215"/>
        <v>360</v>
      </c>
      <c r="G419">
        <f t="shared" si="229"/>
        <v>0</v>
      </c>
      <c r="H419">
        <f t="shared" si="237"/>
        <v>4</v>
      </c>
      <c r="I419">
        <f t="shared" si="216"/>
        <v>360</v>
      </c>
      <c r="J419">
        <f t="shared" si="230"/>
        <v>0</v>
      </c>
      <c r="K419">
        <f t="shared" si="238"/>
        <v>3</v>
      </c>
      <c r="L419">
        <f t="shared" si="217"/>
        <v>360</v>
      </c>
      <c r="M419">
        <f t="shared" si="231"/>
        <v>0</v>
      </c>
      <c r="N419">
        <f t="shared" si="239"/>
        <v>2</v>
      </c>
      <c r="O419">
        <f t="shared" si="218"/>
        <v>300</v>
      </c>
      <c r="P419">
        <f t="shared" si="240"/>
        <v>0</v>
      </c>
      <c r="Q419">
        <f t="shared" si="241"/>
        <v>2</v>
      </c>
      <c r="R419">
        <f t="shared" si="219"/>
        <v>300</v>
      </c>
      <c r="S419">
        <f t="shared" si="242"/>
        <v>0</v>
      </c>
      <c r="T419">
        <f t="shared" si="243"/>
        <v>-1</v>
      </c>
      <c r="U419">
        <f t="shared" si="232"/>
        <v>1</v>
      </c>
      <c r="V419">
        <f t="shared" si="233"/>
        <v>1</v>
      </c>
      <c r="W419">
        <f t="shared" si="220"/>
        <v>0</v>
      </c>
      <c r="X419">
        <f t="shared" si="244"/>
        <v>0</v>
      </c>
      <c r="Y419">
        <f t="shared" si="221"/>
        <v>0</v>
      </c>
      <c r="Z419">
        <f t="shared" si="222"/>
        <v>0</v>
      </c>
      <c r="AA419">
        <f t="shared" si="223"/>
        <v>0</v>
      </c>
      <c r="AB419" s="29">
        <f t="shared" si="224"/>
        <v>0</v>
      </c>
      <c r="AC419" s="25">
        <f t="shared" si="234"/>
        <v>0</v>
      </c>
      <c r="AD419" s="29">
        <f t="shared" si="225"/>
        <v>0</v>
      </c>
      <c r="AE419" s="25">
        <f t="shared" si="235"/>
        <v>0</v>
      </c>
      <c r="AF419" s="25">
        <f t="shared" si="226"/>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7"/>
        <v>-1</v>
      </c>
      <c r="B420">
        <f t="shared" si="236"/>
        <v>6</v>
      </c>
      <c r="C420">
        <f t="shared" si="214"/>
        <v>300</v>
      </c>
      <c r="D420">
        <f t="shared" si="228"/>
        <v>0</v>
      </c>
      <c r="E420">
        <f t="shared" si="248"/>
        <v>5</v>
      </c>
      <c r="F420">
        <f t="shared" si="215"/>
        <v>360</v>
      </c>
      <c r="G420">
        <f t="shared" si="229"/>
        <v>0</v>
      </c>
      <c r="H420">
        <f t="shared" si="237"/>
        <v>4</v>
      </c>
      <c r="I420">
        <f t="shared" si="216"/>
        <v>360</v>
      </c>
      <c r="J420">
        <f t="shared" si="230"/>
        <v>0</v>
      </c>
      <c r="K420">
        <f t="shared" si="238"/>
        <v>3</v>
      </c>
      <c r="L420">
        <f t="shared" si="217"/>
        <v>360</v>
      </c>
      <c r="M420">
        <f t="shared" si="231"/>
        <v>0</v>
      </c>
      <c r="N420">
        <f t="shared" si="239"/>
        <v>2</v>
      </c>
      <c r="O420">
        <f t="shared" si="218"/>
        <v>300</v>
      </c>
      <c r="P420">
        <f t="shared" si="240"/>
        <v>0</v>
      </c>
      <c r="Q420">
        <f t="shared" si="241"/>
        <v>2</v>
      </c>
      <c r="R420">
        <f t="shared" si="219"/>
        <v>300</v>
      </c>
      <c r="S420">
        <f t="shared" si="242"/>
        <v>0</v>
      </c>
      <c r="T420">
        <f t="shared" si="243"/>
        <v>-1</v>
      </c>
      <c r="U420">
        <f t="shared" si="232"/>
        <v>1</v>
      </c>
      <c r="V420">
        <f t="shared" si="233"/>
        <v>1</v>
      </c>
      <c r="W420">
        <f t="shared" si="220"/>
        <v>0</v>
      </c>
      <c r="X420">
        <f t="shared" si="244"/>
        <v>0</v>
      </c>
      <c r="Y420">
        <f t="shared" si="221"/>
        <v>0</v>
      </c>
      <c r="Z420">
        <f t="shared" si="222"/>
        <v>0</v>
      </c>
      <c r="AA420">
        <f t="shared" si="223"/>
        <v>0</v>
      </c>
      <c r="AB420" s="29">
        <f t="shared" si="224"/>
        <v>0</v>
      </c>
      <c r="AC420" s="25">
        <f t="shared" si="234"/>
        <v>0</v>
      </c>
      <c r="AD420" s="29">
        <f t="shared" si="225"/>
        <v>0</v>
      </c>
      <c r="AE420" s="25">
        <f t="shared" si="235"/>
        <v>0</v>
      </c>
      <c r="AF420" s="25">
        <f t="shared" si="226"/>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7"/>
        <v>-1</v>
      </c>
      <c r="B421">
        <f t="shared" si="236"/>
        <v>6</v>
      </c>
      <c r="C421">
        <f t="shared" si="214"/>
        <v>300</v>
      </c>
      <c r="D421">
        <f t="shared" si="228"/>
        <v>0</v>
      </c>
      <c r="E421">
        <f t="shared" si="248"/>
        <v>5</v>
      </c>
      <c r="F421">
        <f t="shared" si="215"/>
        <v>360</v>
      </c>
      <c r="G421">
        <f t="shared" si="229"/>
        <v>0</v>
      </c>
      <c r="H421">
        <f t="shared" si="237"/>
        <v>4</v>
      </c>
      <c r="I421">
        <f t="shared" si="216"/>
        <v>360</v>
      </c>
      <c r="J421">
        <f t="shared" si="230"/>
        <v>0</v>
      </c>
      <c r="K421">
        <f t="shared" si="238"/>
        <v>3</v>
      </c>
      <c r="L421">
        <f t="shared" si="217"/>
        <v>360</v>
      </c>
      <c r="M421">
        <f t="shared" si="231"/>
        <v>0</v>
      </c>
      <c r="N421">
        <f t="shared" si="239"/>
        <v>2</v>
      </c>
      <c r="O421">
        <f t="shared" si="218"/>
        <v>300</v>
      </c>
      <c r="P421">
        <f t="shared" si="240"/>
        <v>0</v>
      </c>
      <c r="Q421">
        <f t="shared" si="241"/>
        <v>2</v>
      </c>
      <c r="R421">
        <f t="shared" si="219"/>
        <v>300</v>
      </c>
      <c r="S421">
        <f t="shared" si="242"/>
        <v>0</v>
      </c>
      <c r="T421">
        <f t="shared" si="243"/>
        <v>-1</v>
      </c>
      <c r="U421">
        <f t="shared" si="232"/>
        <v>1</v>
      </c>
      <c r="V421">
        <f t="shared" si="233"/>
        <v>1</v>
      </c>
      <c r="W421">
        <f t="shared" si="220"/>
        <v>0</v>
      </c>
      <c r="X421">
        <f t="shared" si="244"/>
        <v>0</v>
      </c>
      <c r="Y421">
        <f t="shared" si="221"/>
        <v>0</v>
      </c>
      <c r="Z421">
        <f t="shared" si="222"/>
        <v>0</v>
      </c>
      <c r="AA421">
        <f t="shared" si="223"/>
        <v>0</v>
      </c>
      <c r="AB421" s="29">
        <f t="shared" si="224"/>
        <v>0</v>
      </c>
      <c r="AC421" s="25">
        <f t="shared" si="234"/>
        <v>0</v>
      </c>
      <c r="AD421" s="29">
        <f t="shared" si="225"/>
        <v>0</v>
      </c>
      <c r="AE421" s="25">
        <f t="shared" si="235"/>
        <v>0</v>
      </c>
      <c r="AF421" s="25">
        <f t="shared" si="226"/>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7"/>
        <v>-1</v>
      </c>
      <c r="B422">
        <f t="shared" si="236"/>
        <v>6</v>
      </c>
      <c r="C422">
        <f t="shared" si="214"/>
        <v>300</v>
      </c>
      <c r="D422">
        <f t="shared" si="228"/>
        <v>0</v>
      </c>
      <c r="E422">
        <f t="shared" si="248"/>
        <v>5</v>
      </c>
      <c r="F422">
        <f t="shared" si="215"/>
        <v>360</v>
      </c>
      <c r="G422">
        <f t="shared" si="229"/>
        <v>0</v>
      </c>
      <c r="H422">
        <f t="shared" si="237"/>
        <v>4</v>
      </c>
      <c r="I422">
        <f t="shared" si="216"/>
        <v>360</v>
      </c>
      <c r="J422">
        <f t="shared" si="230"/>
        <v>0</v>
      </c>
      <c r="K422">
        <f t="shared" si="238"/>
        <v>3</v>
      </c>
      <c r="L422">
        <f t="shared" si="217"/>
        <v>360</v>
      </c>
      <c r="M422">
        <f t="shared" si="231"/>
        <v>0</v>
      </c>
      <c r="N422">
        <f t="shared" si="239"/>
        <v>2</v>
      </c>
      <c r="O422">
        <f t="shared" si="218"/>
        <v>300</v>
      </c>
      <c r="P422">
        <f t="shared" si="240"/>
        <v>0</v>
      </c>
      <c r="Q422">
        <f t="shared" si="241"/>
        <v>2</v>
      </c>
      <c r="R422">
        <f t="shared" si="219"/>
        <v>300</v>
      </c>
      <c r="S422">
        <f t="shared" si="242"/>
        <v>0</v>
      </c>
      <c r="T422">
        <f t="shared" si="243"/>
        <v>-1</v>
      </c>
      <c r="U422">
        <f t="shared" si="232"/>
        <v>1</v>
      </c>
      <c r="V422">
        <f t="shared" si="233"/>
        <v>1</v>
      </c>
      <c r="W422">
        <f t="shared" si="220"/>
        <v>0</v>
      </c>
      <c r="X422">
        <f t="shared" si="244"/>
        <v>0</v>
      </c>
      <c r="Y422">
        <f t="shared" si="221"/>
        <v>0</v>
      </c>
      <c r="Z422">
        <f t="shared" si="222"/>
        <v>0</v>
      </c>
      <c r="AA422">
        <f t="shared" si="223"/>
        <v>0</v>
      </c>
      <c r="AB422" s="29">
        <f t="shared" si="224"/>
        <v>0</v>
      </c>
      <c r="AC422" s="25">
        <f t="shared" si="234"/>
        <v>0</v>
      </c>
      <c r="AD422" s="29">
        <f t="shared" si="225"/>
        <v>0</v>
      </c>
      <c r="AE422" s="25">
        <f t="shared" si="235"/>
        <v>0</v>
      </c>
      <c r="AF422" s="25">
        <f t="shared" si="226"/>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7"/>
        <v>-1</v>
      </c>
      <c r="B423">
        <f t="shared" si="236"/>
        <v>6</v>
      </c>
      <c r="C423">
        <f t="shared" si="214"/>
        <v>300</v>
      </c>
      <c r="D423">
        <f t="shared" si="228"/>
        <v>0</v>
      </c>
      <c r="E423">
        <f t="shared" si="248"/>
        <v>5</v>
      </c>
      <c r="F423">
        <f t="shared" si="215"/>
        <v>360</v>
      </c>
      <c r="G423">
        <f t="shared" si="229"/>
        <v>0</v>
      </c>
      <c r="H423">
        <f t="shared" si="237"/>
        <v>4</v>
      </c>
      <c r="I423">
        <f t="shared" si="216"/>
        <v>360</v>
      </c>
      <c r="J423">
        <f t="shared" si="230"/>
        <v>0</v>
      </c>
      <c r="K423">
        <f t="shared" si="238"/>
        <v>3</v>
      </c>
      <c r="L423">
        <f t="shared" si="217"/>
        <v>360</v>
      </c>
      <c r="M423">
        <f t="shared" si="231"/>
        <v>0</v>
      </c>
      <c r="N423">
        <f t="shared" si="239"/>
        <v>2</v>
      </c>
      <c r="O423">
        <f t="shared" si="218"/>
        <v>300</v>
      </c>
      <c r="P423">
        <f t="shared" si="240"/>
        <v>0</v>
      </c>
      <c r="Q423">
        <f t="shared" si="241"/>
        <v>2</v>
      </c>
      <c r="R423">
        <f t="shared" si="219"/>
        <v>300</v>
      </c>
      <c r="S423">
        <f t="shared" si="242"/>
        <v>0</v>
      </c>
      <c r="T423">
        <f t="shared" si="243"/>
        <v>-1</v>
      </c>
      <c r="U423">
        <f t="shared" si="232"/>
        <v>1</v>
      </c>
      <c r="V423">
        <f t="shared" si="233"/>
        <v>1</v>
      </c>
      <c r="W423">
        <f t="shared" si="220"/>
        <v>0</v>
      </c>
      <c r="X423">
        <f t="shared" si="244"/>
        <v>0</v>
      </c>
      <c r="Y423">
        <f t="shared" si="221"/>
        <v>0</v>
      </c>
      <c r="Z423">
        <f t="shared" si="222"/>
        <v>0</v>
      </c>
      <c r="AA423">
        <f t="shared" si="223"/>
        <v>0</v>
      </c>
      <c r="AB423" s="29">
        <f t="shared" si="224"/>
        <v>0</v>
      </c>
      <c r="AC423" s="25">
        <f t="shared" si="234"/>
        <v>0</v>
      </c>
      <c r="AD423" s="29">
        <f t="shared" si="225"/>
        <v>0</v>
      </c>
      <c r="AE423" s="25">
        <f t="shared" si="235"/>
        <v>0</v>
      </c>
      <c r="AF423" s="25">
        <f t="shared" si="226"/>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7"/>
        <v>-1</v>
      </c>
      <c r="B424">
        <f t="shared" si="236"/>
        <v>6</v>
      </c>
      <c r="C424">
        <f t="shared" si="214"/>
        <v>300</v>
      </c>
      <c r="D424">
        <f t="shared" si="228"/>
        <v>0</v>
      </c>
      <c r="E424">
        <f t="shared" si="248"/>
        <v>5</v>
      </c>
      <c r="F424">
        <f t="shared" si="215"/>
        <v>360</v>
      </c>
      <c r="G424">
        <f t="shared" si="229"/>
        <v>0</v>
      </c>
      <c r="H424">
        <f t="shared" si="237"/>
        <v>4</v>
      </c>
      <c r="I424">
        <f t="shared" si="216"/>
        <v>360</v>
      </c>
      <c r="J424">
        <f t="shared" si="230"/>
        <v>0</v>
      </c>
      <c r="K424">
        <f t="shared" si="238"/>
        <v>3</v>
      </c>
      <c r="L424">
        <f t="shared" si="217"/>
        <v>360</v>
      </c>
      <c r="M424">
        <f t="shared" si="231"/>
        <v>0</v>
      </c>
      <c r="N424">
        <f t="shared" si="239"/>
        <v>2</v>
      </c>
      <c r="O424">
        <f t="shared" si="218"/>
        <v>300</v>
      </c>
      <c r="P424">
        <f t="shared" si="240"/>
        <v>0</v>
      </c>
      <c r="Q424">
        <f t="shared" si="241"/>
        <v>2</v>
      </c>
      <c r="R424">
        <f t="shared" si="219"/>
        <v>300</v>
      </c>
      <c r="S424">
        <f t="shared" si="242"/>
        <v>0</v>
      </c>
      <c r="T424">
        <f t="shared" si="243"/>
        <v>-1</v>
      </c>
      <c r="U424">
        <f t="shared" si="232"/>
        <v>1</v>
      </c>
      <c r="V424">
        <f t="shared" si="233"/>
        <v>1</v>
      </c>
      <c r="W424">
        <f t="shared" si="220"/>
        <v>0</v>
      </c>
      <c r="X424">
        <f t="shared" si="244"/>
        <v>0</v>
      </c>
      <c r="Y424">
        <f t="shared" si="221"/>
        <v>0</v>
      </c>
      <c r="Z424">
        <f t="shared" si="222"/>
        <v>0</v>
      </c>
      <c r="AA424">
        <f t="shared" si="223"/>
        <v>0</v>
      </c>
      <c r="AB424" s="29">
        <f t="shared" si="224"/>
        <v>0</v>
      </c>
      <c r="AC424" s="25">
        <f t="shared" si="234"/>
        <v>0</v>
      </c>
      <c r="AD424" s="29">
        <f t="shared" si="225"/>
        <v>0</v>
      </c>
      <c r="AE424" s="25">
        <f t="shared" si="235"/>
        <v>0</v>
      </c>
      <c r="AF424" s="25">
        <f t="shared" si="226"/>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7"/>
        <v>-1</v>
      </c>
      <c r="B425">
        <f t="shared" si="236"/>
        <v>6</v>
      </c>
      <c r="C425">
        <f t="shared" si="214"/>
        <v>300</v>
      </c>
      <c r="D425">
        <f t="shared" si="228"/>
        <v>0</v>
      </c>
      <c r="E425">
        <f t="shared" si="248"/>
        <v>5</v>
      </c>
      <c r="F425">
        <f t="shared" si="215"/>
        <v>360</v>
      </c>
      <c r="G425">
        <f t="shared" si="229"/>
        <v>0</v>
      </c>
      <c r="H425">
        <f t="shared" si="237"/>
        <v>4</v>
      </c>
      <c r="I425">
        <f t="shared" si="216"/>
        <v>360</v>
      </c>
      <c r="J425">
        <f t="shared" si="230"/>
        <v>0</v>
      </c>
      <c r="K425">
        <f t="shared" si="238"/>
        <v>3</v>
      </c>
      <c r="L425">
        <f t="shared" si="217"/>
        <v>360</v>
      </c>
      <c r="M425">
        <f t="shared" si="231"/>
        <v>0</v>
      </c>
      <c r="N425">
        <f t="shared" si="239"/>
        <v>2</v>
      </c>
      <c r="O425">
        <f t="shared" si="218"/>
        <v>300</v>
      </c>
      <c r="P425">
        <f t="shared" si="240"/>
        <v>0</v>
      </c>
      <c r="Q425">
        <f t="shared" si="241"/>
        <v>2</v>
      </c>
      <c r="R425">
        <f t="shared" si="219"/>
        <v>300</v>
      </c>
      <c r="S425">
        <f t="shared" si="242"/>
        <v>0</v>
      </c>
      <c r="T425">
        <f t="shared" si="243"/>
        <v>-1</v>
      </c>
      <c r="U425">
        <f t="shared" si="232"/>
        <v>1</v>
      </c>
      <c r="V425">
        <f t="shared" si="233"/>
        <v>1</v>
      </c>
      <c r="W425">
        <f t="shared" si="220"/>
        <v>0</v>
      </c>
      <c r="X425">
        <f t="shared" si="244"/>
        <v>0</v>
      </c>
      <c r="Y425">
        <f t="shared" si="221"/>
        <v>0</v>
      </c>
      <c r="Z425">
        <f t="shared" si="222"/>
        <v>0</v>
      </c>
      <c r="AA425">
        <f t="shared" si="223"/>
        <v>0</v>
      </c>
      <c r="AB425" s="29">
        <f t="shared" si="224"/>
        <v>0</v>
      </c>
      <c r="AC425" s="25">
        <f t="shared" si="234"/>
        <v>0</v>
      </c>
      <c r="AD425" s="29">
        <f t="shared" si="225"/>
        <v>0</v>
      </c>
      <c r="AE425" s="25">
        <f t="shared" si="235"/>
        <v>0</v>
      </c>
      <c r="AF425" s="25">
        <f t="shared" si="226"/>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7"/>
        <v>-1</v>
      </c>
      <c r="B426">
        <f t="shared" si="236"/>
        <v>6</v>
      </c>
      <c r="C426">
        <f t="shared" si="214"/>
        <v>300</v>
      </c>
      <c r="D426">
        <f t="shared" si="228"/>
        <v>0</v>
      </c>
      <c r="E426">
        <f t="shared" si="248"/>
        <v>5</v>
      </c>
      <c r="F426">
        <f t="shared" si="215"/>
        <v>360</v>
      </c>
      <c r="G426">
        <f t="shared" si="229"/>
        <v>0</v>
      </c>
      <c r="H426">
        <f t="shared" si="237"/>
        <v>4</v>
      </c>
      <c r="I426">
        <f t="shared" si="216"/>
        <v>360</v>
      </c>
      <c r="J426">
        <f t="shared" si="230"/>
        <v>0</v>
      </c>
      <c r="K426">
        <f t="shared" si="238"/>
        <v>3</v>
      </c>
      <c r="L426">
        <f t="shared" si="217"/>
        <v>360</v>
      </c>
      <c r="M426">
        <f t="shared" si="231"/>
        <v>0</v>
      </c>
      <c r="N426">
        <f t="shared" si="239"/>
        <v>2</v>
      </c>
      <c r="O426">
        <f t="shared" si="218"/>
        <v>300</v>
      </c>
      <c r="P426">
        <f t="shared" si="240"/>
        <v>0</v>
      </c>
      <c r="Q426">
        <f t="shared" si="241"/>
        <v>2</v>
      </c>
      <c r="R426">
        <f t="shared" si="219"/>
        <v>300</v>
      </c>
      <c r="S426">
        <f t="shared" si="242"/>
        <v>0</v>
      </c>
      <c r="T426">
        <f t="shared" si="243"/>
        <v>-1</v>
      </c>
      <c r="U426">
        <f t="shared" si="232"/>
        <v>1</v>
      </c>
      <c r="V426">
        <f t="shared" si="233"/>
        <v>1</v>
      </c>
      <c r="W426">
        <f t="shared" si="220"/>
        <v>0</v>
      </c>
      <c r="X426">
        <f t="shared" si="244"/>
        <v>0</v>
      </c>
      <c r="Y426">
        <f t="shared" si="221"/>
        <v>0</v>
      </c>
      <c r="Z426">
        <f t="shared" si="222"/>
        <v>0</v>
      </c>
      <c r="AA426">
        <f t="shared" si="223"/>
        <v>0</v>
      </c>
      <c r="AB426" s="29">
        <f t="shared" si="224"/>
        <v>0</v>
      </c>
      <c r="AC426" s="25">
        <f t="shared" si="234"/>
        <v>0</v>
      </c>
      <c r="AD426" s="29">
        <f t="shared" si="225"/>
        <v>0</v>
      </c>
      <c r="AE426" s="25">
        <f t="shared" si="235"/>
        <v>0</v>
      </c>
      <c r="AF426" s="25">
        <f t="shared" si="226"/>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7"/>
        <v>-1</v>
      </c>
      <c r="B427">
        <f t="shared" si="236"/>
        <v>6</v>
      </c>
      <c r="C427">
        <f t="shared" si="214"/>
        <v>300</v>
      </c>
      <c r="D427">
        <f t="shared" si="228"/>
        <v>0</v>
      </c>
      <c r="E427">
        <f t="shared" si="248"/>
        <v>5</v>
      </c>
      <c r="F427">
        <f t="shared" si="215"/>
        <v>360</v>
      </c>
      <c r="G427">
        <f t="shared" si="229"/>
        <v>0</v>
      </c>
      <c r="H427">
        <f t="shared" si="237"/>
        <v>4</v>
      </c>
      <c r="I427">
        <f t="shared" si="216"/>
        <v>360</v>
      </c>
      <c r="J427">
        <f t="shared" si="230"/>
        <v>0</v>
      </c>
      <c r="K427">
        <f t="shared" si="238"/>
        <v>3</v>
      </c>
      <c r="L427">
        <f t="shared" si="217"/>
        <v>360</v>
      </c>
      <c r="M427">
        <f t="shared" si="231"/>
        <v>0</v>
      </c>
      <c r="N427">
        <f t="shared" si="239"/>
        <v>2</v>
      </c>
      <c r="O427">
        <f t="shared" si="218"/>
        <v>300</v>
      </c>
      <c r="P427">
        <f t="shared" si="240"/>
        <v>0</v>
      </c>
      <c r="Q427">
        <f t="shared" si="241"/>
        <v>2</v>
      </c>
      <c r="R427">
        <f t="shared" si="219"/>
        <v>300</v>
      </c>
      <c r="S427">
        <f t="shared" si="242"/>
        <v>0</v>
      </c>
      <c r="T427">
        <f t="shared" si="243"/>
        <v>-1</v>
      </c>
      <c r="U427">
        <f t="shared" si="232"/>
        <v>1</v>
      </c>
      <c r="V427">
        <f t="shared" si="233"/>
        <v>1</v>
      </c>
      <c r="W427">
        <f t="shared" si="220"/>
        <v>0</v>
      </c>
      <c r="X427">
        <f t="shared" si="244"/>
        <v>0</v>
      </c>
      <c r="Y427">
        <f t="shared" si="221"/>
        <v>0</v>
      </c>
      <c r="Z427">
        <f t="shared" si="222"/>
        <v>0</v>
      </c>
      <c r="AA427">
        <f t="shared" si="223"/>
        <v>0</v>
      </c>
      <c r="AB427" s="29">
        <f t="shared" si="224"/>
        <v>0</v>
      </c>
      <c r="AC427" s="25">
        <f t="shared" si="234"/>
        <v>0</v>
      </c>
      <c r="AD427" s="29">
        <f t="shared" si="225"/>
        <v>0</v>
      </c>
      <c r="AE427" s="25">
        <f t="shared" si="235"/>
        <v>0</v>
      </c>
      <c r="AF427" s="25">
        <f t="shared" si="226"/>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7"/>
        <v>-1</v>
      </c>
      <c r="B428">
        <f t="shared" si="236"/>
        <v>6</v>
      </c>
      <c r="C428">
        <f t="shared" si="214"/>
        <v>300</v>
      </c>
      <c r="D428">
        <f t="shared" si="228"/>
        <v>0</v>
      </c>
      <c r="E428">
        <f t="shared" si="248"/>
        <v>5</v>
      </c>
      <c r="F428">
        <f t="shared" si="215"/>
        <v>360</v>
      </c>
      <c r="G428">
        <f t="shared" si="229"/>
        <v>0</v>
      </c>
      <c r="H428">
        <f t="shared" si="237"/>
        <v>4</v>
      </c>
      <c r="I428">
        <f t="shared" si="216"/>
        <v>360</v>
      </c>
      <c r="J428">
        <f t="shared" si="230"/>
        <v>0</v>
      </c>
      <c r="K428">
        <f t="shared" si="238"/>
        <v>3</v>
      </c>
      <c r="L428">
        <f t="shared" si="217"/>
        <v>360</v>
      </c>
      <c r="M428">
        <f t="shared" si="231"/>
        <v>0</v>
      </c>
      <c r="N428">
        <f t="shared" si="239"/>
        <v>2</v>
      </c>
      <c r="O428">
        <f t="shared" si="218"/>
        <v>300</v>
      </c>
      <c r="P428">
        <f t="shared" si="240"/>
        <v>0</v>
      </c>
      <c r="Q428">
        <f t="shared" si="241"/>
        <v>2</v>
      </c>
      <c r="R428">
        <f t="shared" si="219"/>
        <v>300</v>
      </c>
      <c r="S428">
        <f t="shared" si="242"/>
        <v>0</v>
      </c>
      <c r="T428">
        <f t="shared" si="243"/>
        <v>-1</v>
      </c>
      <c r="U428">
        <f t="shared" si="232"/>
        <v>1</v>
      </c>
      <c r="V428">
        <f t="shared" si="233"/>
        <v>1</v>
      </c>
      <c r="W428">
        <f t="shared" si="220"/>
        <v>0</v>
      </c>
      <c r="X428">
        <f t="shared" si="244"/>
        <v>0</v>
      </c>
      <c r="Y428">
        <f t="shared" si="221"/>
        <v>0</v>
      </c>
      <c r="Z428">
        <f t="shared" si="222"/>
        <v>0</v>
      </c>
      <c r="AA428">
        <f t="shared" si="223"/>
        <v>0</v>
      </c>
      <c r="AB428" s="29">
        <f t="shared" si="224"/>
        <v>0</v>
      </c>
      <c r="AC428" s="25">
        <f t="shared" si="234"/>
        <v>0</v>
      </c>
      <c r="AD428" s="29">
        <f t="shared" si="225"/>
        <v>0</v>
      </c>
      <c r="AE428" s="25">
        <f t="shared" si="235"/>
        <v>0</v>
      </c>
      <c r="AF428" s="25">
        <f t="shared" si="226"/>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7"/>
        <v>-1</v>
      </c>
      <c r="B429">
        <f t="shared" si="236"/>
        <v>6</v>
      </c>
      <c r="C429">
        <f t="shared" si="214"/>
        <v>300</v>
      </c>
      <c r="D429">
        <f t="shared" si="228"/>
        <v>0</v>
      </c>
      <c r="E429">
        <f t="shared" si="248"/>
        <v>5</v>
      </c>
      <c r="F429">
        <f t="shared" si="215"/>
        <v>360</v>
      </c>
      <c r="G429">
        <f t="shared" si="229"/>
        <v>0</v>
      </c>
      <c r="H429">
        <f t="shared" si="237"/>
        <v>4</v>
      </c>
      <c r="I429">
        <f t="shared" si="216"/>
        <v>360</v>
      </c>
      <c r="J429">
        <f t="shared" si="230"/>
        <v>0</v>
      </c>
      <c r="K429">
        <f t="shared" si="238"/>
        <v>3</v>
      </c>
      <c r="L429">
        <f t="shared" si="217"/>
        <v>360</v>
      </c>
      <c r="M429">
        <f t="shared" si="231"/>
        <v>0</v>
      </c>
      <c r="N429">
        <f t="shared" si="239"/>
        <v>2</v>
      </c>
      <c r="O429">
        <f t="shared" si="218"/>
        <v>300</v>
      </c>
      <c r="P429">
        <f t="shared" si="240"/>
        <v>0</v>
      </c>
      <c r="Q429">
        <f t="shared" si="241"/>
        <v>2</v>
      </c>
      <c r="R429">
        <f t="shared" si="219"/>
        <v>300</v>
      </c>
      <c r="S429">
        <f t="shared" si="242"/>
        <v>0</v>
      </c>
      <c r="T429">
        <f t="shared" si="243"/>
        <v>-1</v>
      </c>
      <c r="U429">
        <f t="shared" si="232"/>
        <v>1</v>
      </c>
      <c r="V429">
        <f t="shared" si="233"/>
        <v>1</v>
      </c>
      <c r="W429">
        <f t="shared" si="220"/>
        <v>0</v>
      </c>
      <c r="X429">
        <f t="shared" si="244"/>
        <v>0</v>
      </c>
      <c r="Y429">
        <f t="shared" si="221"/>
        <v>0</v>
      </c>
      <c r="Z429">
        <f t="shared" si="222"/>
        <v>0</v>
      </c>
      <c r="AA429">
        <f t="shared" si="223"/>
        <v>0</v>
      </c>
      <c r="AB429" s="29">
        <f t="shared" si="224"/>
        <v>0</v>
      </c>
      <c r="AC429" s="25">
        <f t="shared" si="234"/>
        <v>0</v>
      </c>
      <c r="AD429" s="29">
        <f t="shared" si="225"/>
        <v>0</v>
      </c>
      <c r="AE429" s="25">
        <f t="shared" si="235"/>
        <v>0</v>
      </c>
      <c r="AF429" s="25">
        <f t="shared" si="226"/>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7"/>
        <v>-1</v>
      </c>
      <c r="B430">
        <f t="shared" si="236"/>
        <v>6</v>
      </c>
      <c r="C430">
        <f t="shared" si="214"/>
        <v>300</v>
      </c>
      <c r="D430">
        <f t="shared" si="228"/>
        <v>0</v>
      </c>
      <c r="E430">
        <f t="shared" si="248"/>
        <v>5</v>
      </c>
      <c r="F430">
        <f t="shared" si="215"/>
        <v>360</v>
      </c>
      <c r="G430">
        <f t="shared" si="229"/>
        <v>0</v>
      </c>
      <c r="H430">
        <f t="shared" si="237"/>
        <v>4</v>
      </c>
      <c r="I430">
        <f t="shared" si="216"/>
        <v>360</v>
      </c>
      <c r="J430">
        <f t="shared" si="230"/>
        <v>0</v>
      </c>
      <c r="K430">
        <f t="shared" si="238"/>
        <v>3</v>
      </c>
      <c r="L430">
        <f t="shared" si="217"/>
        <v>360</v>
      </c>
      <c r="M430">
        <f t="shared" si="231"/>
        <v>0</v>
      </c>
      <c r="N430">
        <f t="shared" si="239"/>
        <v>2</v>
      </c>
      <c r="O430">
        <f t="shared" si="218"/>
        <v>300</v>
      </c>
      <c r="P430">
        <f t="shared" si="240"/>
        <v>0</v>
      </c>
      <c r="Q430">
        <f t="shared" si="241"/>
        <v>2</v>
      </c>
      <c r="R430">
        <f t="shared" si="219"/>
        <v>300</v>
      </c>
      <c r="S430">
        <f t="shared" si="242"/>
        <v>0</v>
      </c>
      <c r="T430">
        <f t="shared" si="243"/>
        <v>-1</v>
      </c>
      <c r="U430">
        <f t="shared" si="232"/>
        <v>1</v>
      </c>
      <c r="V430">
        <f t="shared" si="233"/>
        <v>1</v>
      </c>
      <c r="W430">
        <f t="shared" si="220"/>
        <v>0</v>
      </c>
      <c r="X430">
        <f t="shared" si="244"/>
        <v>0</v>
      </c>
      <c r="Y430">
        <f t="shared" si="221"/>
        <v>0</v>
      </c>
      <c r="Z430">
        <f t="shared" si="222"/>
        <v>0</v>
      </c>
      <c r="AA430">
        <f t="shared" si="223"/>
        <v>0</v>
      </c>
      <c r="AB430" s="29">
        <f t="shared" si="224"/>
        <v>0</v>
      </c>
      <c r="AC430" s="25">
        <f t="shared" si="234"/>
        <v>0</v>
      </c>
      <c r="AD430" s="29">
        <f t="shared" si="225"/>
        <v>0</v>
      </c>
      <c r="AE430" s="25">
        <f t="shared" si="235"/>
        <v>0</v>
      </c>
      <c r="AF430" s="25">
        <f t="shared" si="226"/>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7"/>
        <v>-1</v>
      </c>
      <c r="B431">
        <f t="shared" si="236"/>
        <v>6</v>
      </c>
      <c r="C431">
        <f t="shared" si="214"/>
        <v>300</v>
      </c>
      <c r="D431">
        <f t="shared" si="228"/>
        <v>0</v>
      </c>
      <c r="E431">
        <f t="shared" si="248"/>
        <v>5</v>
      </c>
      <c r="F431">
        <f t="shared" si="215"/>
        <v>360</v>
      </c>
      <c r="G431">
        <f t="shared" si="229"/>
        <v>0</v>
      </c>
      <c r="H431">
        <f t="shared" si="237"/>
        <v>4</v>
      </c>
      <c r="I431">
        <f t="shared" si="216"/>
        <v>360</v>
      </c>
      <c r="J431">
        <f t="shared" si="230"/>
        <v>0</v>
      </c>
      <c r="K431">
        <f t="shared" si="238"/>
        <v>3</v>
      </c>
      <c r="L431">
        <f t="shared" si="217"/>
        <v>360</v>
      </c>
      <c r="M431">
        <f t="shared" si="231"/>
        <v>0</v>
      </c>
      <c r="N431">
        <f t="shared" si="239"/>
        <v>2</v>
      </c>
      <c r="O431">
        <f t="shared" si="218"/>
        <v>300</v>
      </c>
      <c r="P431">
        <f t="shared" si="240"/>
        <v>0</v>
      </c>
      <c r="Q431">
        <f t="shared" si="241"/>
        <v>2</v>
      </c>
      <c r="R431">
        <f t="shared" si="219"/>
        <v>300</v>
      </c>
      <c r="S431">
        <f t="shared" si="242"/>
        <v>0</v>
      </c>
      <c r="T431">
        <f t="shared" si="243"/>
        <v>-1</v>
      </c>
      <c r="U431">
        <f t="shared" si="232"/>
        <v>1</v>
      </c>
      <c r="V431">
        <f t="shared" si="233"/>
        <v>1</v>
      </c>
      <c r="W431">
        <f t="shared" si="220"/>
        <v>0</v>
      </c>
      <c r="X431">
        <f t="shared" si="244"/>
        <v>0</v>
      </c>
      <c r="Y431">
        <f t="shared" si="221"/>
        <v>0</v>
      </c>
      <c r="Z431">
        <f t="shared" si="222"/>
        <v>0</v>
      </c>
      <c r="AA431">
        <f t="shared" si="223"/>
        <v>0</v>
      </c>
      <c r="AB431" s="29">
        <f t="shared" si="224"/>
        <v>0</v>
      </c>
      <c r="AC431" s="25">
        <f t="shared" si="234"/>
        <v>0</v>
      </c>
      <c r="AD431" s="29">
        <f t="shared" si="225"/>
        <v>0</v>
      </c>
      <c r="AE431" s="25">
        <f t="shared" si="235"/>
        <v>0</v>
      </c>
      <c r="AF431" s="25">
        <f t="shared" si="226"/>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7"/>
        <v>-1</v>
      </c>
      <c r="B432">
        <f t="shared" si="236"/>
        <v>6</v>
      </c>
      <c r="C432">
        <f t="shared" si="214"/>
        <v>300</v>
      </c>
      <c r="D432">
        <f t="shared" si="228"/>
        <v>0</v>
      </c>
      <c r="E432">
        <f t="shared" si="248"/>
        <v>5</v>
      </c>
      <c r="F432">
        <f t="shared" si="215"/>
        <v>360</v>
      </c>
      <c r="G432">
        <f t="shared" si="229"/>
        <v>0</v>
      </c>
      <c r="H432">
        <f t="shared" si="237"/>
        <v>4</v>
      </c>
      <c r="I432">
        <f t="shared" si="216"/>
        <v>360</v>
      </c>
      <c r="J432">
        <f t="shared" si="230"/>
        <v>0</v>
      </c>
      <c r="K432">
        <f t="shared" si="238"/>
        <v>3</v>
      </c>
      <c r="L432">
        <f t="shared" si="217"/>
        <v>360</v>
      </c>
      <c r="M432">
        <f t="shared" si="231"/>
        <v>0</v>
      </c>
      <c r="N432">
        <f t="shared" si="239"/>
        <v>2</v>
      </c>
      <c r="O432">
        <f t="shared" si="218"/>
        <v>300</v>
      </c>
      <c r="P432">
        <f t="shared" si="240"/>
        <v>0</v>
      </c>
      <c r="Q432">
        <f t="shared" si="241"/>
        <v>2</v>
      </c>
      <c r="R432">
        <f t="shared" si="219"/>
        <v>300</v>
      </c>
      <c r="S432">
        <f t="shared" si="242"/>
        <v>0</v>
      </c>
      <c r="T432">
        <f t="shared" si="243"/>
        <v>-1</v>
      </c>
      <c r="U432">
        <f t="shared" si="232"/>
        <v>1</v>
      </c>
      <c r="V432">
        <f t="shared" si="233"/>
        <v>1</v>
      </c>
      <c r="W432">
        <f t="shared" si="220"/>
        <v>0</v>
      </c>
      <c r="X432">
        <f t="shared" si="244"/>
        <v>0</v>
      </c>
      <c r="Y432">
        <f t="shared" si="221"/>
        <v>0</v>
      </c>
      <c r="Z432">
        <f t="shared" si="222"/>
        <v>0</v>
      </c>
      <c r="AA432">
        <f t="shared" si="223"/>
        <v>0</v>
      </c>
      <c r="AB432" s="29">
        <f t="shared" si="224"/>
        <v>0</v>
      </c>
      <c r="AC432" s="25">
        <f t="shared" si="234"/>
        <v>0</v>
      </c>
      <c r="AD432" s="29">
        <f t="shared" si="225"/>
        <v>0</v>
      </c>
      <c r="AE432" s="25">
        <f t="shared" si="235"/>
        <v>0</v>
      </c>
      <c r="AF432" s="25">
        <f t="shared" si="226"/>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7"/>
        <v>-1</v>
      </c>
      <c r="B433">
        <f t="shared" si="236"/>
        <v>6</v>
      </c>
      <c r="C433">
        <f t="shared" si="214"/>
        <v>300</v>
      </c>
      <c r="D433">
        <f t="shared" si="228"/>
        <v>0</v>
      </c>
      <c r="E433">
        <f t="shared" si="248"/>
        <v>5</v>
      </c>
      <c r="F433">
        <f t="shared" si="215"/>
        <v>360</v>
      </c>
      <c r="G433">
        <f t="shared" si="229"/>
        <v>0</v>
      </c>
      <c r="H433">
        <f t="shared" si="237"/>
        <v>4</v>
      </c>
      <c r="I433">
        <f t="shared" si="216"/>
        <v>360</v>
      </c>
      <c r="J433">
        <f t="shared" si="230"/>
        <v>0</v>
      </c>
      <c r="K433">
        <f t="shared" si="238"/>
        <v>3</v>
      </c>
      <c r="L433">
        <f t="shared" si="217"/>
        <v>360</v>
      </c>
      <c r="M433">
        <f t="shared" si="231"/>
        <v>0</v>
      </c>
      <c r="N433">
        <f t="shared" si="239"/>
        <v>2</v>
      </c>
      <c r="O433">
        <f t="shared" si="218"/>
        <v>300</v>
      </c>
      <c r="P433">
        <f t="shared" si="240"/>
        <v>0</v>
      </c>
      <c r="Q433">
        <f t="shared" si="241"/>
        <v>2</v>
      </c>
      <c r="R433">
        <f t="shared" si="219"/>
        <v>300</v>
      </c>
      <c r="S433">
        <f t="shared" si="242"/>
        <v>0</v>
      </c>
      <c r="T433">
        <f t="shared" si="243"/>
        <v>-1</v>
      </c>
      <c r="U433">
        <f t="shared" si="232"/>
        <v>1</v>
      </c>
      <c r="V433">
        <f t="shared" si="233"/>
        <v>1</v>
      </c>
      <c r="W433">
        <f t="shared" si="220"/>
        <v>0</v>
      </c>
      <c r="X433">
        <f t="shared" si="244"/>
        <v>0</v>
      </c>
      <c r="Y433">
        <f t="shared" si="221"/>
        <v>0</v>
      </c>
      <c r="Z433">
        <f t="shared" si="222"/>
        <v>0</v>
      </c>
      <c r="AA433">
        <f t="shared" si="223"/>
        <v>0</v>
      </c>
      <c r="AB433" s="29">
        <f t="shared" si="224"/>
        <v>0</v>
      </c>
      <c r="AC433" s="25">
        <f t="shared" si="234"/>
        <v>0</v>
      </c>
      <c r="AD433" s="29">
        <f t="shared" si="225"/>
        <v>0</v>
      </c>
      <c r="AE433" s="25">
        <f t="shared" si="235"/>
        <v>0</v>
      </c>
      <c r="AF433" s="25">
        <f t="shared" si="226"/>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7"/>
        <v>-1</v>
      </c>
      <c r="B434">
        <f t="shared" si="236"/>
        <v>6</v>
      </c>
      <c r="C434">
        <f t="shared" si="214"/>
        <v>300</v>
      </c>
      <c r="D434">
        <f t="shared" si="228"/>
        <v>0</v>
      </c>
      <c r="E434">
        <f t="shared" si="248"/>
        <v>5</v>
      </c>
      <c r="F434">
        <f t="shared" si="215"/>
        <v>360</v>
      </c>
      <c r="G434">
        <f t="shared" si="229"/>
        <v>0</v>
      </c>
      <c r="H434">
        <f t="shared" si="237"/>
        <v>4</v>
      </c>
      <c r="I434">
        <f t="shared" si="216"/>
        <v>360</v>
      </c>
      <c r="J434">
        <f t="shared" si="230"/>
        <v>0</v>
      </c>
      <c r="K434">
        <f t="shared" si="238"/>
        <v>3</v>
      </c>
      <c r="L434">
        <f t="shared" si="217"/>
        <v>360</v>
      </c>
      <c r="M434">
        <f t="shared" si="231"/>
        <v>0</v>
      </c>
      <c r="N434">
        <f t="shared" si="239"/>
        <v>2</v>
      </c>
      <c r="O434">
        <f t="shared" si="218"/>
        <v>300</v>
      </c>
      <c r="P434">
        <f t="shared" si="240"/>
        <v>0</v>
      </c>
      <c r="Q434">
        <f t="shared" si="241"/>
        <v>2</v>
      </c>
      <c r="R434">
        <f t="shared" si="219"/>
        <v>300</v>
      </c>
      <c r="S434">
        <f t="shared" si="242"/>
        <v>0</v>
      </c>
      <c r="T434">
        <f t="shared" si="243"/>
        <v>-1</v>
      </c>
      <c r="U434">
        <f t="shared" si="232"/>
        <v>1</v>
      </c>
      <c r="V434">
        <f t="shared" si="233"/>
        <v>1</v>
      </c>
      <c r="W434">
        <f t="shared" si="220"/>
        <v>0</v>
      </c>
      <c r="X434">
        <f t="shared" si="244"/>
        <v>0</v>
      </c>
      <c r="Y434">
        <f t="shared" si="221"/>
        <v>0</v>
      </c>
      <c r="Z434">
        <f t="shared" si="222"/>
        <v>0</v>
      </c>
      <c r="AA434">
        <f t="shared" si="223"/>
        <v>0</v>
      </c>
      <c r="AB434" s="29">
        <f t="shared" si="224"/>
        <v>0</v>
      </c>
      <c r="AC434" s="25">
        <f t="shared" si="234"/>
        <v>0</v>
      </c>
      <c r="AD434" s="29">
        <f t="shared" si="225"/>
        <v>0</v>
      </c>
      <c r="AE434" s="25">
        <f t="shared" si="235"/>
        <v>0</v>
      </c>
      <c r="AF434" s="25">
        <f t="shared" si="226"/>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7"/>
        <v>-1</v>
      </c>
      <c r="B435">
        <f t="shared" si="236"/>
        <v>6</v>
      </c>
      <c r="C435">
        <f t="shared" si="214"/>
        <v>300</v>
      </c>
      <c r="D435">
        <f t="shared" si="228"/>
        <v>0</v>
      </c>
      <c r="E435">
        <f t="shared" si="248"/>
        <v>5</v>
      </c>
      <c r="F435">
        <f t="shared" si="215"/>
        <v>360</v>
      </c>
      <c r="G435">
        <f t="shared" si="229"/>
        <v>0</v>
      </c>
      <c r="H435">
        <f t="shared" si="237"/>
        <v>4</v>
      </c>
      <c r="I435">
        <f t="shared" si="216"/>
        <v>360</v>
      </c>
      <c r="J435">
        <f t="shared" si="230"/>
        <v>0</v>
      </c>
      <c r="K435">
        <f t="shared" si="238"/>
        <v>3</v>
      </c>
      <c r="L435">
        <f t="shared" si="217"/>
        <v>360</v>
      </c>
      <c r="M435">
        <f t="shared" si="231"/>
        <v>0</v>
      </c>
      <c r="N435">
        <f t="shared" si="239"/>
        <v>2</v>
      </c>
      <c r="O435">
        <f t="shared" si="218"/>
        <v>300</v>
      </c>
      <c r="P435">
        <f t="shared" si="240"/>
        <v>0</v>
      </c>
      <c r="Q435">
        <f t="shared" si="241"/>
        <v>2</v>
      </c>
      <c r="R435">
        <f t="shared" si="219"/>
        <v>300</v>
      </c>
      <c r="S435">
        <f t="shared" si="242"/>
        <v>0</v>
      </c>
      <c r="T435">
        <f t="shared" si="243"/>
        <v>-1</v>
      </c>
      <c r="U435">
        <f t="shared" si="232"/>
        <v>1</v>
      </c>
      <c r="V435">
        <f t="shared" si="233"/>
        <v>1</v>
      </c>
      <c r="W435">
        <f t="shared" si="220"/>
        <v>0</v>
      </c>
      <c r="X435">
        <f t="shared" si="244"/>
        <v>0</v>
      </c>
      <c r="Y435">
        <f t="shared" si="221"/>
        <v>0</v>
      </c>
      <c r="Z435">
        <f t="shared" si="222"/>
        <v>0</v>
      </c>
      <c r="AA435">
        <f t="shared" si="223"/>
        <v>0</v>
      </c>
      <c r="AB435" s="29">
        <f t="shared" si="224"/>
        <v>0</v>
      </c>
      <c r="AC435" s="25">
        <f t="shared" si="234"/>
        <v>0</v>
      </c>
      <c r="AD435" s="29">
        <f t="shared" si="225"/>
        <v>0</v>
      </c>
      <c r="AE435" s="25">
        <f t="shared" si="235"/>
        <v>0</v>
      </c>
      <c r="AF435" s="25">
        <f t="shared" si="226"/>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7"/>
        <v>-1</v>
      </c>
      <c r="B436">
        <f t="shared" si="236"/>
        <v>6</v>
      </c>
      <c r="C436">
        <f t="shared" si="214"/>
        <v>300</v>
      </c>
      <c r="D436">
        <f t="shared" si="228"/>
        <v>0</v>
      </c>
      <c r="E436">
        <f t="shared" si="248"/>
        <v>5</v>
      </c>
      <c r="F436">
        <f t="shared" si="215"/>
        <v>360</v>
      </c>
      <c r="G436">
        <f t="shared" si="229"/>
        <v>0</v>
      </c>
      <c r="H436">
        <f t="shared" si="237"/>
        <v>4</v>
      </c>
      <c r="I436">
        <f t="shared" si="216"/>
        <v>360</v>
      </c>
      <c r="J436">
        <f t="shared" si="230"/>
        <v>0</v>
      </c>
      <c r="K436">
        <f t="shared" si="238"/>
        <v>3</v>
      </c>
      <c r="L436">
        <f t="shared" si="217"/>
        <v>360</v>
      </c>
      <c r="M436">
        <f t="shared" si="231"/>
        <v>0</v>
      </c>
      <c r="N436">
        <f t="shared" si="239"/>
        <v>2</v>
      </c>
      <c r="O436">
        <f t="shared" si="218"/>
        <v>300</v>
      </c>
      <c r="P436">
        <f t="shared" si="240"/>
        <v>0</v>
      </c>
      <c r="Q436">
        <f t="shared" si="241"/>
        <v>2</v>
      </c>
      <c r="R436">
        <f t="shared" si="219"/>
        <v>300</v>
      </c>
      <c r="S436">
        <f t="shared" si="242"/>
        <v>0</v>
      </c>
      <c r="T436">
        <f t="shared" si="243"/>
        <v>-1</v>
      </c>
      <c r="U436">
        <f t="shared" si="232"/>
        <v>1</v>
      </c>
      <c r="V436">
        <f t="shared" si="233"/>
        <v>1</v>
      </c>
      <c r="W436">
        <f t="shared" si="220"/>
        <v>0</v>
      </c>
      <c r="X436">
        <f t="shared" si="244"/>
        <v>0</v>
      </c>
      <c r="Y436">
        <f t="shared" si="221"/>
        <v>0</v>
      </c>
      <c r="Z436">
        <f t="shared" si="222"/>
        <v>0</v>
      </c>
      <c r="AA436">
        <f t="shared" si="223"/>
        <v>0</v>
      </c>
      <c r="AB436" s="29">
        <f t="shared" si="224"/>
        <v>0</v>
      </c>
      <c r="AC436" s="25">
        <f t="shared" si="234"/>
        <v>0</v>
      </c>
      <c r="AD436" s="29">
        <f t="shared" si="225"/>
        <v>0</v>
      </c>
      <c r="AE436" s="25">
        <f t="shared" si="235"/>
        <v>0</v>
      </c>
      <c r="AF436" s="25">
        <f t="shared" si="226"/>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7"/>
        <v>-1</v>
      </c>
      <c r="B437">
        <f t="shared" si="236"/>
        <v>6</v>
      </c>
      <c r="C437">
        <f t="shared" si="214"/>
        <v>300</v>
      </c>
      <c r="D437">
        <f t="shared" si="228"/>
        <v>0</v>
      </c>
      <c r="E437">
        <f t="shared" si="248"/>
        <v>5</v>
      </c>
      <c r="F437">
        <f t="shared" si="215"/>
        <v>360</v>
      </c>
      <c r="G437">
        <f t="shared" si="229"/>
        <v>0</v>
      </c>
      <c r="H437">
        <f t="shared" si="237"/>
        <v>4</v>
      </c>
      <c r="I437">
        <f t="shared" si="216"/>
        <v>360</v>
      </c>
      <c r="J437">
        <f t="shared" si="230"/>
        <v>0</v>
      </c>
      <c r="K437">
        <f t="shared" si="238"/>
        <v>3</v>
      </c>
      <c r="L437">
        <f t="shared" si="217"/>
        <v>360</v>
      </c>
      <c r="M437">
        <f t="shared" si="231"/>
        <v>0</v>
      </c>
      <c r="N437">
        <f t="shared" si="239"/>
        <v>2</v>
      </c>
      <c r="O437">
        <f t="shared" si="218"/>
        <v>300</v>
      </c>
      <c r="P437">
        <f t="shared" si="240"/>
        <v>0</v>
      </c>
      <c r="Q437">
        <f t="shared" si="241"/>
        <v>2</v>
      </c>
      <c r="R437">
        <f t="shared" si="219"/>
        <v>300</v>
      </c>
      <c r="S437">
        <f t="shared" si="242"/>
        <v>0</v>
      </c>
      <c r="T437">
        <f t="shared" si="243"/>
        <v>-1</v>
      </c>
      <c r="U437">
        <f t="shared" si="232"/>
        <v>1</v>
      </c>
      <c r="V437">
        <f t="shared" si="233"/>
        <v>1</v>
      </c>
      <c r="W437">
        <f t="shared" si="220"/>
        <v>0</v>
      </c>
      <c r="X437">
        <f t="shared" si="244"/>
        <v>0</v>
      </c>
      <c r="Y437">
        <f t="shared" si="221"/>
        <v>0</v>
      </c>
      <c r="Z437">
        <f t="shared" si="222"/>
        <v>0</v>
      </c>
      <c r="AA437">
        <f t="shared" si="223"/>
        <v>0</v>
      </c>
      <c r="AB437" s="29">
        <f t="shared" si="224"/>
        <v>0</v>
      </c>
      <c r="AC437" s="25">
        <f t="shared" si="234"/>
        <v>0</v>
      </c>
      <c r="AD437" s="29">
        <f t="shared" si="225"/>
        <v>0</v>
      </c>
      <c r="AE437" s="25">
        <f t="shared" si="235"/>
        <v>0</v>
      </c>
      <c r="AF437" s="25">
        <f t="shared" si="226"/>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7"/>
        <v>-1</v>
      </c>
      <c r="B438">
        <f t="shared" si="236"/>
        <v>6</v>
      </c>
      <c r="C438">
        <f t="shared" si="214"/>
        <v>300</v>
      </c>
      <c r="D438">
        <f t="shared" si="228"/>
        <v>0</v>
      </c>
      <c r="E438">
        <f t="shared" si="248"/>
        <v>5</v>
      </c>
      <c r="F438">
        <f t="shared" si="215"/>
        <v>360</v>
      </c>
      <c r="G438">
        <f t="shared" si="229"/>
        <v>0</v>
      </c>
      <c r="H438">
        <f t="shared" si="237"/>
        <v>4</v>
      </c>
      <c r="I438">
        <f t="shared" si="216"/>
        <v>360</v>
      </c>
      <c r="J438">
        <f t="shared" si="230"/>
        <v>0</v>
      </c>
      <c r="K438">
        <f t="shared" si="238"/>
        <v>3</v>
      </c>
      <c r="L438">
        <f t="shared" si="217"/>
        <v>360</v>
      </c>
      <c r="M438">
        <f t="shared" si="231"/>
        <v>0</v>
      </c>
      <c r="N438">
        <f t="shared" si="239"/>
        <v>2</v>
      </c>
      <c r="O438">
        <f t="shared" si="218"/>
        <v>300</v>
      </c>
      <c r="P438">
        <f t="shared" si="240"/>
        <v>0</v>
      </c>
      <c r="Q438">
        <f t="shared" si="241"/>
        <v>2</v>
      </c>
      <c r="R438">
        <f t="shared" si="219"/>
        <v>300</v>
      </c>
      <c r="S438">
        <f t="shared" si="242"/>
        <v>0</v>
      </c>
      <c r="T438">
        <f t="shared" si="243"/>
        <v>-1</v>
      </c>
      <c r="U438">
        <f t="shared" si="232"/>
        <v>1</v>
      </c>
      <c r="V438">
        <f t="shared" si="233"/>
        <v>1</v>
      </c>
      <c r="W438">
        <f t="shared" si="220"/>
        <v>0</v>
      </c>
      <c r="X438">
        <f t="shared" si="244"/>
        <v>0</v>
      </c>
      <c r="Y438">
        <f t="shared" si="221"/>
        <v>0</v>
      </c>
      <c r="Z438">
        <f t="shared" si="222"/>
        <v>0</v>
      </c>
      <c r="AA438">
        <f t="shared" si="223"/>
        <v>0</v>
      </c>
      <c r="AB438" s="29">
        <f t="shared" si="224"/>
        <v>0</v>
      </c>
      <c r="AC438" s="25">
        <f t="shared" si="234"/>
        <v>0</v>
      </c>
      <c r="AD438" s="29">
        <f t="shared" si="225"/>
        <v>0</v>
      </c>
      <c r="AE438" s="25">
        <f t="shared" si="235"/>
        <v>0</v>
      </c>
      <c r="AF438" s="25">
        <f t="shared" si="226"/>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7"/>
        <v>-1</v>
      </c>
      <c r="B439">
        <f t="shared" si="236"/>
        <v>6</v>
      </c>
      <c r="C439">
        <f t="shared" si="214"/>
        <v>300</v>
      </c>
      <c r="D439">
        <f t="shared" si="228"/>
        <v>0</v>
      </c>
      <c r="E439">
        <f t="shared" si="248"/>
        <v>5</v>
      </c>
      <c r="F439">
        <f t="shared" si="215"/>
        <v>360</v>
      </c>
      <c r="G439">
        <f t="shared" si="229"/>
        <v>0</v>
      </c>
      <c r="H439">
        <f t="shared" si="237"/>
        <v>4</v>
      </c>
      <c r="I439">
        <f t="shared" si="216"/>
        <v>360</v>
      </c>
      <c r="J439">
        <f t="shared" si="230"/>
        <v>0</v>
      </c>
      <c r="K439">
        <f t="shared" si="238"/>
        <v>3</v>
      </c>
      <c r="L439">
        <f t="shared" si="217"/>
        <v>360</v>
      </c>
      <c r="M439">
        <f t="shared" si="231"/>
        <v>0</v>
      </c>
      <c r="N439">
        <f t="shared" si="239"/>
        <v>2</v>
      </c>
      <c r="O439">
        <f t="shared" si="218"/>
        <v>300</v>
      </c>
      <c r="P439">
        <f t="shared" si="240"/>
        <v>0</v>
      </c>
      <c r="Q439">
        <f t="shared" si="241"/>
        <v>2</v>
      </c>
      <c r="R439">
        <f t="shared" si="219"/>
        <v>300</v>
      </c>
      <c r="S439">
        <f t="shared" si="242"/>
        <v>0</v>
      </c>
      <c r="T439">
        <f t="shared" si="243"/>
        <v>-1</v>
      </c>
      <c r="U439">
        <f t="shared" si="232"/>
        <v>1</v>
      </c>
      <c r="V439">
        <f t="shared" si="233"/>
        <v>1</v>
      </c>
      <c r="W439">
        <f t="shared" si="220"/>
        <v>0</v>
      </c>
      <c r="X439">
        <f t="shared" si="244"/>
        <v>0</v>
      </c>
      <c r="Y439">
        <f t="shared" si="221"/>
        <v>0</v>
      </c>
      <c r="Z439">
        <f t="shared" si="222"/>
        <v>0</v>
      </c>
      <c r="AA439">
        <f t="shared" si="223"/>
        <v>0</v>
      </c>
      <c r="AB439" s="29">
        <f t="shared" si="224"/>
        <v>0</v>
      </c>
      <c r="AC439" s="25">
        <f t="shared" si="234"/>
        <v>0</v>
      </c>
      <c r="AD439" s="29">
        <f t="shared" si="225"/>
        <v>0</v>
      </c>
      <c r="AE439" s="25">
        <f t="shared" si="235"/>
        <v>0</v>
      </c>
      <c r="AF439" s="25">
        <f t="shared" si="226"/>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7"/>
        <v>-1</v>
      </c>
      <c r="B440">
        <f t="shared" si="236"/>
        <v>6</v>
      </c>
      <c r="C440">
        <f t="shared" si="214"/>
        <v>300</v>
      </c>
      <c r="D440">
        <f t="shared" si="228"/>
        <v>0</v>
      </c>
      <c r="E440">
        <f t="shared" si="248"/>
        <v>5</v>
      </c>
      <c r="F440">
        <f t="shared" si="215"/>
        <v>360</v>
      </c>
      <c r="G440">
        <f t="shared" si="229"/>
        <v>0</v>
      </c>
      <c r="H440">
        <f t="shared" si="237"/>
        <v>4</v>
      </c>
      <c r="I440">
        <f t="shared" si="216"/>
        <v>360</v>
      </c>
      <c r="J440">
        <f t="shared" si="230"/>
        <v>0</v>
      </c>
      <c r="K440">
        <f t="shared" si="238"/>
        <v>3</v>
      </c>
      <c r="L440">
        <f t="shared" si="217"/>
        <v>360</v>
      </c>
      <c r="M440">
        <f t="shared" si="231"/>
        <v>0</v>
      </c>
      <c r="N440">
        <f t="shared" si="239"/>
        <v>2</v>
      </c>
      <c r="O440">
        <f t="shared" si="218"/>
        <v>300</v>
      </c>
      <c r="P440">
        <f t="shared" si="240"/>
        <v>0</v>
      </c>
      <c r="Q440">
        <f t="shared" si="241"/>
        <v>2</v>
      </c>
      <c r="R440">
        <f t="shared" si="219"/>
        <v>300</v>
      </c>
      <c r="S440">
        <f t="shared" si="242"/>
        <v>0</v>
      </c>
      <c r="T440">
        <f t="shared" si="243"/>
        <v>-1</v>
      </c>
      <c r="U440">
        <f t="shared" si="232"/>
        <v>1</v>
      </c>
      <c r="V440">
        <f t="shared" si="233"/>
        <v>1</v>
      </c>
      <c r="W440">
        <f t="shared" si="220"/>
        <v>0</v>
      </c>
      <c r="X440">
        <f t="shared" si="244"/>
        <v>0</v>
      </c>
      <c r="Y440">
        <f t="shared" si="221"/>
        <v>0</v>
      </c>
      <c r="Z440">
        <f t="shared" si="222"/>
        <v>0</v>
      </c>
      <c r="AA440">
        <f t="shared" si="223"/>
        <v>0</v>
      </c>
      <c r="AB440" s="29">
        <f t="shared" si="224"/>
        <v>0</v>
      </c>
      <c r="AC440" s="25">
        <f t="shared" si="234"/>
        <v>0</v>
      </c>
      <c r="AD440" s="29">
        <f t="shared" si="225"/>
        <v>0</v>
      </c>
      <c r="AE440" s="25">
        <f t="shared" si="235"/>
        <v>0</v>
      </c>
      <c r="AF440" s="25">
        <f t="shared" si="226"/>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7"/>
        <v>-1</v>
      </c>
      <c r="B441">
        <f t="shared" si="236"/>
        <v>6</v>
      </c>
      <c r="C441">
        <f t="shared" si="214"/>
        <v>300</v>
      </c>
      <c r="D441">
        <f t="shared" si="228"/>
        <v>0</v>
      </c>
      <c r="E441">
        <f t="shared" si="248"/>
        <v>5</v>
      </c>
      <c r="F441">
        <f t="shared" si="215"/>
        <v>360</v>
      </c>
      <c r="G441">
        <f t="shared" si="229"/>
        <v>0</v>
      </c>
      <c r="H441">
        <f t="shared" si="237"/>
        <v>4</v>
      </c>
      <c r="I441">
        <f t="shared" si="216"/>
        <v>360</v>
      </c>
      <c r="J441">
        <f t="shared" si="230"/>
        <v>0</v>
      </c>
      <c r="K441">
        <f t="shared" si="238"/>
        <v>3</v>
      </c>
      <c r="L441">
        <f t="shared" si="217"/>
        <v>360</v>
      </c>
      <c r="M441">
        <f t="shared" si="231"/>
        <v>0</v>
      </c>
      <c r="N441">
        <f t="shared" si="239"/>
        <v>2</v>
      </c>
      <c r="O441">
        <f t="shared" si="218"/>
        <v>300</v>
      </c>
      <c r="P441">
        <f t="shared" si="240"/>
        <v>0</v>
      </c>
      <c r="Q441">
        <f t="shared" si="241"/>
        <v>2</v>
      </c>
      <c r="R441">
        <f t="shared" si="219"/>
        <v>300</v>
      </c>
      <c r="S441">
        <f t="shared" si="242"/>
        <v>0</v>
      </c>
      <c r="T441">
        <f t="shared" si="243"/>
        <v>-1</v>
      </c>
      <c r="U441">
        <f t="shared" si="232"/>
        <v>1</v>
      </c>
      <c r="V441">
        <f t="shared" si="233"/>
        <v>1</v>
      </c>
      <c r="W441">
        <f t="shared" si="220"/>
        <v>0</v>
      </c>
      <c r="X441">
        <f t="shared" si="244"/>
        <v>0</v>
      </c>
      <c r="Y441">
        <f t="shared" si="221"/>
        <v>0</v>
      </c>
      <c r="Z441">
        <f t="shared" si="222"/>
        <v>0</v>
      </c>
      <c r="AA441">
        <f t="shared" si="223"/>
        <v>0</v>
      </c>
      <c r="AB441" s="29">
        <f t="shared" si="224"/>
        <v>0</v>
      </c>
      <c r="AC441" s="25">
        <f t="shared" si="234"/>
        <v>0</v>
      </c>
      <c r="AD441" s="29">
        <f t="shared" si="225"/>
        <v>0</v>
      </c>
      <c r="AE441" s="25">
        <f t="shared" si="235"/>
        <v>0</v>
      </c>
      <c r="AF441" s="25">
        <f t="shared" si="226"/>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7"/>
        <v>-1</v>
      </c>
      <c r="B442">
        <f t="shared" si="236"/>
        <v>6</v>
      </c>
      <c r="C442">
        <f t="shared" si="214"/>
        <v>300</v>
      </c>
      <c r="D442">
        <f t="shared" si="228"/>
        <v>0</v>
      </c>
      <c r="E442">
        <f t="shared" si="248"/>
        <v>5</v>
      </c>
      <c r="F442">
        <f t="shared" si="215"/>
        <v>360</v>
      </c>
      <c r="G442">
        <f t="shared" si="229"/>
        <v>0</v>
      </c>
      <c r="H442">
        <f t="shared" si="237"/>
        <v>4</v>
      </c>
      <c r="I442">
        <f t="shared" si="216"/>
        <v>360</v>
      </c>
      <c r="J442">
        <f t="shared" si="230"/>
        <v>0</v>
      </c>
      <c r="K442">
        <f t="shared" si="238"/>
        <v>3</v>
      </c>
      <c r="L442">
        <f t="shared" si="217"/>
        <v>360</v>
      </c>
      <c r="M442">
        <f t="shared" si="231"/>
        <v>0</v>
      </c>
      <c r="N442">
        <f t="shared" si="239"/>
        <v>2</v>
      </c>
      <c r="O442">
        <f t="shared" si="218"/>
        <v>300</v>
      </c>
      <c r="P442">
        <f t="shared" si="240"/>
        <v>0</v>
      </c>
      <c r="Q442">
        <f t="shared" si="241"/>
        <v>2</v>
      </c>
      <c r="R442">
        <f t="shared" si="219"/>
        <v>300</v>
      </c>
      <c r="S442">
        <f t="shared" si="242"/>
        <v>0</v>
      </c>
      <c r="T442">
        <f t="shared" si="243"/>
        <v>-1</v>
      </c>
      <c r="U442">
        <f t="shared" si="232"/>
        <v>1</v>
      </c>
      <c r="V442">
        <f t="shared" si="233"/>
        <v>1</v>
      </c>
      <c r="W442">
        <f t="shared" si="220"/>
        <v>0</v>
      </c>
      <c r="X442">
        <f t="shared" si="244"/>
        <v>0</v>
      </c>
      <c r="Y442">
        <f t="shared" si="221"/>
        <v>0</v>
      </c>
      <c r="Z442">
        <f t="shared" si="222"/>
        <v>0</v>
      </c>
      <c r="AA442">
        <f t="shared" si="223"/>
        <v>0</v>
      </c>
      <c r="AB442" s="29">
        <f t="shared" si="224"/>
        <v>0</v>
      </c>
      <c r="AC442" s="25">
        <f t="shared" si="234"/>
        <v>0</v>
      </c>
      <c r="AD442" s="29">
        <f t="shared" si="225"/>
        <v>0</v>
      </c>
      <c r="AE442" s="25">
        <f t="shared" si="235"/>
        <v>0</v>
      </c>
      <c r="AF442" s="25">
        <f t="shared" si="226"/>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7"/>
        <v>-1</v>
      </c>
      <c r="B443">
        <f t="shared" si="236"/>
        <v>6</v>
      </c>
      <c r="C443">
        <f t="shared" si="214"/>
        <v>300</v>
      </c>
      <c r="D443">
        <f t="shared" si="228"/>
        <v>0</v>
      </c>
      <c r="E443">
        <f t="shared" si="248"/>
        <v>5</v>
      </c>
      <c r="F443">
        <f t="shared" si="215"/>
        <v>360</v>
      </c>
      <c r="G443">
        <f t="shared" si="229"/>
        <v>0</v>
      </c>
      <c r="H443">
        <f t="shared" si="237"/>
        <v>4</v>
      </c>
      <c r="I443">
        <f t="shared" si="216"/>
        <v>360</v>
      </c>
      <c r="J443">
        <f t="shared" si="230"/>
        <v>0</v>
      </c>
      <c r="K443">
        <f t="shared" si="238"/>
        <v>3</v>
      </c>
      <c r="L443">
        <f t="shared" si="217"/>
        <v>360</v>
      </c>
      <c r="M443">
        <f t="shared" si="231"/>
        <v>0</v>
      </c>
      <c r="N443">
        <f t="shared" si="239"/>
        <v>2</v>
      </c>
      <c r="O443">
        <f t="shared" si="218"/>
        <v>300</v>
      </c>
      <c r="P443">
        <f t="shared" si="240"/>
        <v>0</v>
      </c>
      <c r="Q443">
        <f t="shared" si="241"/>
        <v>2</v>
      </c>
      <c r="R443">
        <f t="shared" si="219"/>
        <v>300</v>
      </c>
      <c r="S443">
        <f t="shared" si="242"/>
        <v>0</v>
      </c>
      <c r="T443">
        <f t="shared" si="243"/>
        <v>-1</v>
      </c>
      <c r="U443">
        <f t="shared" si="232"/>
        <v>1</v>
      </c>
      <c r="V443">
        <f t="shared" si="233"/>
        <v>1</v>
      </c>
      <c r="W443">
        <f t="shared" si="220"/>
        <v>0</v>
      </c>
      <c r="X443">
        <f t="shared" si="244"/>
        <v>0</v>
      </c>
      <c r="Y443">
        <f t="shared" si="221"/>
        <v>0</v>
      </c>
      <c r="Z443">
        <f t="shared" si="222"/>
        <v>0</v>
      </c>
      <c r="AA443">
        <f t="shared" si="223"/>
        <v>0</v>
      </c>
      <c r="AB443" s="29">
        <f t="shared" si="224"/>
        <v>0</v>
      </c>
      <c r="AC443" s="25">
        <f t="shared" si="234"/>
        <v>0</v>
      </c>
      <c r="AD443" s="29">
        <f t="shared" si="225"/>
        <v>0</v>
      </c>
      <c r="AE443" s="25">
        <f t="shared" si="235"/>
        <v>0</v>
      </c>
      <c r="AF443" s="25">
        <f t="shared" si="226"/>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7"/>
        <v>-1</v>
      </c>
      <c r="B444">
        <f t="shared" si="236"/>
        <v>6</v>
      </c>
      <c r="C444">
        <f t="shared" si="214"/>
        <v>300</v>
      </c>
      <c r="D444">
        <f t="shared" si="228"/>
        <v>0</v>
      </c>
      <c r="E444">
        <f t="shared" si="248"/>
        <v>5</v>
      </c>
      <c r="F444">
        <f t="shared" si="215"/>
        <v>360</v>
      </c>
      <c r="G444">
        <f t="shared" si="229"/>
        <v>0</v>
      </c>
      <c r="H444">
        <f t="shared" si="237"/>
        <v>4</v>
      </c>
      <c r="I444">
        <f t="shared" si="216"/>
        <v>360</v>
      </c>
      <c r="J444">
        <f t="shared" si="230"/>
        <v>0</v>
      </c>
      <c r="K444">
        <f t="shared" si="238"/>
        <v>3</v>
      </c>
      <c r="L444">
        <f t="shared" si="217"/>
        <v>360</v>
      </c>
      <c r="M444">
        <f t="shared" si="231"/>
        <v>0</v>
      </c>
      <c r="N444">
        <f t="shared" si="239"/>
        <v>2</v>
      </c>
      <c r="O444">
        <f t="shared" si="218"/>
        <v>300</v>
      </c>
      <c r="P444">
        <f t="shared" si="240"/>
        <v>0</v>
      </c>
      <c r="Q444">
        <f t="shared" si="241"/>
        <v>2</v>
      </c>
      <c r="R444">
        <f t="shared" si="219"/>
        <v>300</v>
      </c>
      <c r="S444">
        <f t="shared" si="242"/>
        <v>0</v>
      </c>
      <c r="T444">
        <f t="shared" si="243"/>
        <v>-1</v>
      </c>
      <c r="U444">
        <f t="shared" si="232"/>
        <v>1</v>
      </c>
      <c r="V444">
        <f t="shared" si="233"/>
        <v>1</v>
      </c>
      <c r="W444">
        <f t="shared" si="220"/>
        <v>0</v>
      </c>
      <c r="X444">
        <f t="shared" si="244"/>
        <v>0</v>
      </c>
      <c r="Y444">
        <f t="shared" si="221"/>
        <v>0</v>
      </c>
      <c r="Z444">
        <f t="shared" si="222"/>
        <v>0</v>
      </c>
      <c r="AA444">
        <f t="shared" si="223"/>
        <v>0</v>
      </c>
      <c r="AB444" s="29">
        <f t="shared" si="224"/>
        <v>0</v>
      </c>
      <c r="AC444" s="25">
        <f t="shared" si="234"/>
        <v>0</v>
      </c>
      <c r="AD444" s="29">
        <f t="shared" si="225"/>
        <v>0</v>
      </c>
      <c r="AE444" s="25">
        <f t="shared" si="235"/>
        <v>0</v>
      </c>
      <c r="AF444" s="25">
        <f t="shared" si="226"/>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7"/>
        <v>-1</v>
      </c>
      <c r="B445">
        <f t="shared" si="236"/>
        <v>6</v>
      </c>
      <c r="C445">
        <f t="shared" si="214"/>
        <v>300</v>
      </c>
      <c r="D445">
        <f t="shared" si="228"/>
        <v>0</v>
      </c>
      <c r="E445">
        <f t="shared" si="248"/>
        <v>5</v>
      </c>
      <c r="F445">
        <f t="shared" si="215"/>
        <v>360</v>
      </c>
      <c r="G445">
        <f t="shared" si="229"/>
        <v>0</v>
      </c>
      <c r="H445">
        <f t="shared" si="237"/>
        <v>4</v>
      </c>
      <c r="I445">
        <f t="shared" si="216"/>
        <v>360</v>
      </c>
      <c r="J445">
        <f t="shared" si="230"/>
        <v>0</v>
      </c>
      <c r="K445">
        <f t="shared" si="238"/>
        <v>3</v>
      </c>
      <c r="L445">
        <f t="shared" si="217"/>
        <v>360</v>
      </c>
      <c r="M445">
        <f t="shared" si="231"/>
        <v>0</v>
      </c>
      <c r="N445">
        <f t="shared" si="239"/>
        <v>2</v>
      </c>
      <c r="O445">
        <f t="shared" si="218"/>
        <v>300</v>
      </c>
      <c r="P445">
        <f t="shared" si="240"/>
        <v>0</v>
      </c>
      <c r="Q445">
        <f t="shared" si="241"/>
        <v>2</v>
      </c>
      <c r="R445">
        <f t="shared" si="219"/>
        <v>300</v>
      </c>
      <c r="S445">
        <f t="shared" si="242"/>
        <v>0</v>
      </c>
      <c r="T445">
        <f t="shared" si="243"/>
        <v>-1</v>
      </c>
      <c r="U445">
        <f t="shared" si="232"/>
        <v>1</v>
      </c>
      <c r="V445">
        <f t="shared" si="233"/>
        <v>1</v>
      </c>
      <c r="W445">
        <f t="shared" si="220"/>
        <v>0</v>
      </c>
      <c r="X445">
        <f t="shared" si="244"/>
        <v>0</v>
      </c>
      <c r="Y445">
        <f t="shared" si="221"/>
        <v>0</v>
      </c>
      <c r="Z445">
        <f t="shared" si="222"/>
        <v>0</v>
      </c>
      <c r="AA445">
        <f t="shared" si="223"/>
        <v>0</v>
      </c>
      <c r="AB445" s="29">
        <f t="shared" si="224"/>
        <v>0</v>
      </c>
      <c r="AC445" s="25">
        <f t="shared" si="234"/>
        <v>0</v>
      </c>
      <c r="AD445" s="29">
        <f t="shared" si="225"/>
        <v>0</v>
      </c>
      <c r="AE445" s="25">
        <f t="shared" si="235"/>
        <v>0</v>
      </c>
      <c r="AF445" s="25">
        <f t="shared" si="226"/>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7"/>
        <v>-1</v>
      </c>
      <c r="B446">
        <f t="shared" si="236"/>
        <v>6</v>
      </c>
      <c r="C446">
        <f t="shared" si="214"/>
        <v>300</v>
      </c>
      <c r="D446">
        <f t="shared" si="228"/>
        <v>0</v>
      </c>
      <c r="E446">
        <f t="shared" si="248"/>
        <v>5</v>
      </c>
      <c r="F446">
        <f t="shared" si="215"/>
        <v>360</v>
      </c>
      <c r="G446">
        <f t="shared" si="229"/>
        <v>0</v>
      </c>
      <c r="H446">
        <f t="shared" si="237"/>
        <v>4</v>
      </c>
      <c r="I446">
        <f t="shared" si="216"/>
        <v>360</v>
      </c>
      <c r="J446">
        <f t="shared" si="230"/>
        <v>0</v>
      </c>
      <c r="K446">
        <f t="shared" si="238"/>
        <v>3</v>
      </c>
      <c r="L446">
        <f t="shared" si="217"/>
        <v>360</v>
      </c>
      <c r="M446">
        <f t="shared" si="231"/>
        <v>0</v>
      </c>
      <c r="N446">
        <f t="shared" si="239"/>
        <v>2</v>
      </c>
      <c r="O446">
        <f t="shared" si="218"/>
        <v>300</v>
      </c>
      <c r="P446">
        <f t="shared" si="240"/>
        <v>0</v>
      </c>
      <c r="Q446">
        <f t="shared" si="241"/>
        <v>2</v>
      </c>
      <c r="R446">
        <f t="shared" si="219"/>
        <v>300</v>
      </c>
      <c r="S446">
        <f t="shared" si="242"/>
        <v>0</v>
      </c>
      <c r="T446">
        <f t="shared" si="243"/>
        <v>-1</v>
      </c>
      <c r="U446">
        <f t="shared" si="232"/>
        <v>1</v>
      </c>
      <c r="V446">
        <f t="shared" si="233"/>
        <v>1</v>
      </c>
      <c r="W446">
        <f t="shared" si="220"/>
        <v>0</v>
      </c>
      <c r="X446">
        <f t="shared" si="244"/>
        <v>0</v>
      </c>
      <c r="Y446">
        <f t="shared" si="221"/>
        <v>0</v>
      </c>
      <c r="Z446">
        <f t="shared" si="222"/>
        <v>0</v>
      </c>
      <c r="AA446">
        <f t="shared" si="223"/>
        <v>0</v>
      </c>
      <c r="AB446" s="29">
        <f t="shared" si="224"/>
        <v>0</v>
      </c>
      <c r="AC446" s="25">
        <f t="shared" si="234"/>
        <v>0</v>
      </c>
      <c r="AD446" s="29">
        <f t="shared" si="225"/>
        <v>0</v>
      </c>
      <c r="AE446" s="25">
        <f t="shared" si="235"/>
        <v>0</v>
      </c>
      <c r="AF446" s="25">
        <f t="shared" si="226"/>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7"/>
        <v>-1</v>
      </c>
      <c r="B447">
        <f t="shared" si="236"/>
        <v>6</v>
      </c>
      <c r="C447">
        <f t="shared" si="214"/>
        <v>300</v>
      </c>
      <c r="D447">
        <f t="shared" si="228"/>
        <v>0</v>
      </c>
      <c r="E447">
        <f t="shared" si="248"/>
        <v>5</v>
      </c>
      <c r="F447">
        <f t="shared" si="215"/>
        <v>360</v>
      </c>
      <c r="G447">
        <f t="shared" si="229"/>
        <v>0</v>
      </c>
      <c r="H447">
        <f t="shared" si="237"/>
        <v>4</v>
      </c>
      <c r="I447">
        <f t="shared" si="216"/>
        <v>360</v>
      </c>
      <c r="J447">
        <f t="shared" si="230"/>
        <v>0</v>
      </c>
      <c r="K447">
        <f t="shared" si="238"/>
        <v>3</v>
      </c>
      <c r="L447">
        <f t="shared" si="217"/>
        <v>360</v>
      </c>
      <c r="M447">
        <f t="shared" si="231"/>
        <v>0</v>
      </c>
      <c r="N447">
        <f t="shared" si="239"/>
        <v>2</v>
      </c>
      <c r="O447">
        <f t="shared" si="218"/>
        <v>300</v>
      </c>
      <c r="P447">
        <f t="shared" si="240"/>
        <v>0</v>
      </c>
      <c r="Q447">
        <f t="shared" si="241"/>
        <v>2</v>
      </c>
      <c r="R447">
        <f t="shared" si="219"/>
        <v>300</v>
      </c>
      <c r="S447">
        <f t="shared" si="242"/>
        <v>0</v>
      </c>
      <c r="T447">
        <f t="shared" si="243"/>
        <v>-1</v>
      </c>
      <c r="U447">
        <f t="shared" si="232"/>
        <v>1</v>
      </c>
      <c r="V447">
        <f t="shared" si="233"/>
        <v>1</v>
      </c>
      <c r="W447">
        <f t="shared" si="220"/>
        <v>0</v>
      </c>
      <c r="X447">
        <f t="shared" si="244"/>
        <v>0</v>
      </c>
      <c r="Y447">
        <f t="shared" si="221"/>
        <v>0</v>
      </c>
      <c r="Z447">
        <f t="shared" si="222"/>
        <v>0</v>
      </c>
      <c r="AA447">
        <f t="shared" si="223"/>
        <v>0</v>
      </c>
      <c r="AB447" s="29">
        <f t="shared" si="224"/>
        <v>0</v>
      </c>
      <c r="AC447" s="25">
        <f t="shared" si="234"/>
        <v>0</v>
      </c>
      <c r="AD447" s="29">
        <f t="shared" si="225"/>
        <v>0</v>
      </c>
      <c r="AE447" s="25">
        <f t="shared" si="235"/>
        <v>0</v>
      </c>
      <c r="AF447" s="25">
        <f t="shared" si="226"/>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7"/>
        <v>-1</v>
      </c>
      <c r="B448">
        <f t="shared" si="236"/>
        <v>6</v>
      </c>
      <c r="C448">
        <f t="shared" si="214"/>
        <v>300</v>
      </c>
      <c r="D448">
        <f t="shared" si="228"/>
        <v>0</v>
      </c>
      <c r="E448">
        <f t="shared" si="248"/>
        <v>5</v>
      </c>
      <c r="F448">
        <f t="shared" si="215"/>
        <v>360</v>
      </c>
      <c r="G448">
        <f t="shared" si="229"/>
        <v>0</v>
      </c>
      <c r="H448">
        <f t="shared" si="237"/>
        <v>4</v>
      </c>
      <c r="I448">
        <f t="shared" si="216"/>
        <v>360</v>
      </c>
      <c r="J448">
        <f t="shared" si="230"/>
        <v>0</v>
      </c>
      <c r="K448">
        <f t="shared" si="238"/>
        <v>3</v>
      </c>
      <c r="L448">
        <f t="shared" si="217"/>
        <v>360</v>
      </c>
      <c r="M448">
        <f t="shared" si="231"/>
        <v>0</v>
      </c>
      <c r="N448">
        <f t="shared" si="239"/>
        <v>2</v>
      </c>
      <c r="O448">
        <f t="shared" si="218"/>
        <v>300</v>
      </c>
      <c r="P448">
        <f t="shared" si="240"/>
        <v>0</v>
      </c>
      <c r="Q448">
        <f t="shared" si="241"/>
        <v>2</v>
      </c>
      <c r="R448">
        <f t="shared" si="219"/>
        <v>300</v>
      </c>
      <c r="S448">
        <f t="shared" si="242"/>
        <v>0</v>
      </c>
      <c r="T448">
        <f t="shared" si="243"/>
        <v>-1</v>
      </c>
      <c r="U448">
        <f t="shared" si="232"/>
        <v>1</v>
      </c>
      <c r="V448">
        <f t="shared" si="233"/>
        <v>1</v>
      </c>
      <c r="W448">
        <f t="shared" si="220"/>
        <v>0</v>
      </c>
      <c r="X448">
        <f t="shared" si="244"/>
        <v>0</v>
      </c>
      <c r="Y448">
        <f t="shared" si="221"/>
        <v>0</v>
      </c>
      <c r="Z448">
        <f t="shared" si="222"/>
        <v>0</v>
      </c>
      <c r="AA448">
        <f t="shared" si="223"/>
        <v>0</v>
      </c>
      <c r="AB448" s="29">
        <f t="shared" si="224"/>
        <v>0</v>
      </c>
      <c r="AC448" s="25">
        <f t="shared" si="234"/>
        <v>0</v>
      </c>
      <c r="AD448" s="29">
        <f t="shared" si="225"/>
        <v>0</v>
      </c>
      <c r="AE448" s="25">
        <f t="shared" si="235"/>
        <v>0</v>
      </c>
      <c r="AF448" s="25">
        <f t="shared" si="226"/>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7"/>
        <v>-1</v>
      </c>
      <c r="B449">
        <f t="shared" si="236"/>
        <v>6</v>
      </c>
      <c r="C449">
        <f t="shared" si="214"/>
        <v>300</v>
      </c>
      <c r="D449">
        <f t="shared" si="228"/>
        <v>0</v>
      </c>
      <c r="E449">
        <f t="shared" si="248"/>
        <v>5</v>
      </c>
      <c r="F449">
        <f t="shared" si="215"/>
        <v>360</v>
      </c>
      <c r="G449">
        <f t="shared" si="229"/>
        <v>0</v>
      </c>
      <c r="H449">
        <f t="shared" si="237"/>
        <v>4</v>
      </c>
      <c r="I449">
        <f t="shared" si="216"/>
        <v>360</v>
      </c>
      <c r="J449">
        <f t="shared" si="230"/>
        <v>0</v>
      </c>
      <c r="K449">
        <f t="shared" si="238"/>
        <v>3</v>
      </c>
      <c r="L449">
        <f t="shared" si="217"/>
        <v>360</v>
      </c>
      <c r="M449">
        <f t="shared" si="231"/>
        <v>0</v>
      </c>
      <c r="N449">
        <f t="shared" si="239"/>
        <v>2</v>
      </c>
      <c r="O449">
        <f t="shared" si="218"/>
        <v>300</v>
      </c>
      <c r="P449">
        <f t="shared" si="240"/>
        <v>0</v>
      </c>
      <c r="Q449">
        <f t="shared" si="241"/>
        <v>2</v>
      </c>
      <c r="R449">
        <f t="shared" si="219"/>
        <v>300</v>
      </c>
      <c r="S449">
        <f t="shared" si="242"/>
        <v>0</v>
      </c>
      <c r="T449">
        <f t="shared" si="243"/>
        <v>-1</v>
      </c>
      <c r="U449">
        <f t="shared" si="232"/>
        <v>1</v>
      </c>
      <c r="V449">
        <f t="shared" si="233"/>
        <v>1</v>
      </c>
      <c r="W449">
        <f t="shared" si="220"/>
        <v>0</v>
      </c>
      <c r="X449">
        <f t="shared" si="244"/>
        <v>0</v>
      </c>
      <c r="Y449">
        <f t="shared" si="221"/>
        <v>0</v>
      </c>
      <c r="Z449">
        <f t="shared" si="222"/>
        <v>0</v>
      </c>
      <c r="AA449">
        <f t="shared" si="223"/>
        <v>0</v>
      </c>
      <c r="AB449" s="29">
        <f t="shared" si="224"/>
        <v>0</v>
      </c>
      <c r="AC449" s="25">
        <f t="shared" si="234"/>
        <v>0</v>
      </c>
      <c r="AD449" s="29">
        <f t="shared" si="225"/>
        <v>0</v>
      </c>
      <c r="AE449" s="25">
        <f t="shared" si="235"/>
        <v>0</v>
      </c>
      <c r="AF449" s="25">
        <f t="shared" si="226"/>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7"/>
        <v>-1</v>
      </c>
      <c r="B450">
        <f t="shared" si="236"/>
        <v>6</v>
      </c>
      <c r="C450">
        <f t="shared" si="214"/>
        <v>300</v>
      </c>
      <c r="D450">
        <f t="shared" si="228"/>
        <v>0</v>
      </c>
      <c r="E450">
        <f t="shared" si="248"/>
        <v>5</v>
      </c>
      <c r="F450">
        <f t="shared" si="215"/>
        <v>360</v>
      </c>
      <c r="G450">
        <f t="shared" si="229"/>
        <v>0</v>
      </c>
      <c r="H450">
        <f t="shared" si="237"/>
        <v>4</v>
      </c>
      <c r="I450">
        <f t="shared" si="216"/>
        <v>360</v>
      </c>
      <c r="J450">
        <f t="shared" si="230"/>
        <v>0</v>
      </c>
      <c r="K450">
        <f t="shared" si="238"/>
        <v>3</v>
      </c>
      <c r="L450">
        <f t="shared" si="217"/>
        <v>360</v>
      </c>
      <c r="M450">
        <f t="shared" si="231"/>
        <v>0</v>
      </c>
      <c r="N450">
        <f t="shared" si="239"/>
        <v>2</v>
      </c>
      <c r="O450">
        <f t="shared" si="218"/>
        <v>300</v>
      </c>
      <c r="P450">
        <f t="shared" si="240"/>
        <v>0</v>
      </c>
      <c r="Q450">
        <f t="shared" si="241"/>
        <v>2</v>
      </c>
      <c r="R450">
        <f t="shared" si="219"/>
        <v>300</v>
      </c>
      <c r="S450">
        <f t="shared" si="242"/>
        <v>0</v>
      </c>
      <c r="T450">
        <f t="shared" si="243"/>
        <v>-1</v>
      </c>
      <c r="U450">
        <f t="shared" si="232"/>
        <v>1</v>
      </c>
      <c r="V450">
        <f t="shared" si="233"/>
        <v>1</v>
      </c>
      <c r="W450">
        <f t="shared" si="220"/>
        <v>0</v>
      </c>
      <c r="X450">
        <f t="shared" si="244"/>
        <v>0</v>
      </c>
      <c r="Y450">
        <f t="shared" si="221"/>
        <v>0</v>
      </c>
      <c r="Z450">
        <f t="shared" si="222"/>
        <v>0</v>
      </c>
      <c r="AA450">
        <f t="shared" si="223"/>
        <v>0</v>
      </c>
      <c r="AB450" s="29">
        <f t="shared" si="224"/>
        <v>0</v>
      </c>
      <c r="AC450" s="25">
        <f t="shared" si="234"/>
        <v>0</v>
      </c>
      <c r="AD450" s="29">
        <f t="shared" si="225"/>
        <v>0</v>
      </c>
      <c r="AE450" s="25">
        <f t="shared" si="235"/>
        <v>0</v>
      </c>
      <c r="AF450" s="25">
        <f t="shared" si="226"/>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7"/>
        <v>-1</v>
      </c>
      <c r="B451">
        <f t="shared" si="236"/>
        <v>6</v>
      </c>
      <c r="C451">
        <f t="shared" ref="C451:C514" si="249">IF(AND(cdspec60,cdspec60plus),CHOOSE($B451,cdspec601,cdspec602,cdspec603,cdspec604,cdspec605,cdspec606,cdspec607,cdspec608,cdspec609,cdspec6010),($B451-1)*60+IF(cdspec60,cdspec601,0))</f>
        <v>300</v>
      </c>
      <c r="D451">
        <f t="shared" si="228"/>
        <v>0</v>
      </c>
      <c r="E451">
        <f t="shared" si="248"/>
        <v>5</v>
      </c>
      <c r="F451">
        <f t="shared" ref="F451:F514" si="250">IF(AND(cdspec90,cdspec90plus),CHOOSE(E451,cdspec901,cdspec902,cdspec903,cdspec904,cdspec905,cdspec906),(E451-1)*IF(cdtreat90as120,120,90)+IF(cdspec90,cdspec901,0))</f>
        <v>360</v>
      </c>
      <c r="G451">
        <f t="shared" si="229"/>
        <v>0</v>
      </c>
      <c r="H451">
        <f t="shared" si="237"/>
        <v>4</v>
      </c>
      <c r="I451">
        <f t="shared" ref="I451:I514" si="251">IF(AND(cdspec120,cdspec120plus),CHOOSE(H451,cdspec1201,cdspec1202,cdspec1203,cdspec1204,cdspec1205),(H451-1)*120+IF(cdspec120,cdspec1201,0))</f>
        <v>360</v>
      </c>
      <c r="J451">
        <f t="shared" si="230"/>
        <v>0</v>
      </c>
      <c r="K451">
        <f t="shared" si="238"/>
        <v>3</v>
      </c>
      <c r="L451">
        <f t="shared" ref="L451:L514" si="252">IF(AND(cdspec180,cdspec180plus),CHOOSE(K451,cdspec1801,cdspec1802,cdspec1803,cdspec1804),(K451-1)*IF(cdtreat180as240,240,180)+IF(cdspec180,cdspec1801,0))</f>
        <v>360</v>
      </c>
      <c r="M451">
        <f t="shared" si="231"/>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2"/>
        <v>1</v>
      </c>
      <c r="V451">
        <f t="shared" si="233"/>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si="234"/>
        <v>0</v>
      </c>
      <c r="AD451" s="29">
        <f t="shared" ref="AD451:AD514" si="260">IF($A451&lt;0,0,(1+$AC451/(hasterate*100))*(1+$AS$26/100*AND($J451&gt;0,$J451&lt;=$AT$26))*(1+$AS$35/100*AND($M451&gt;0,$M451&lt;=$AT$35))*(1+0.3*($X451&gt;0)))</f>
        <v>0</v>
      </c>
      <c r="AE451" s="25">
        <f t="shared" si="235"/>
        <v>0</v>
      </c>
      <c r="AF451" s="25">
        <f t="shared" ref="AF451:AF514" si="261">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2">IF(A451&lt;0,-1,IF(A451+1&gt;=time,-1,A451+1))</f>
        <v>-1</v>
      </c>
      <c r="B452">
        <f t="shared" si="236"/>
        <v>6</v>
      </c>
      <c r="C452">
        <f t="shared" si="249"/>
        <v>300</v>
      </c>
      <c r="D452">
        <f t="shared" ref="D452:D515" si="263">IF($A452=$C452,1,IF(AND($D451&gt;0,$D451&lt;30),$D451+1,0))</f>
        <v>0</v>
      </c>
      <c r="E452">
        <f t="shared" si="248"/>
        <v>5</v>
      </c>
      <c r="F452">
        <f t="shared" si="250"/>
        <v>360</v>
      </c>
      <c r="G452">
        <f t="shared" ref="G452:G515" si="264">IF($A452=F452,1,IF(AND(G451&gt;0,G451&lt;30),G451+1,0))</f>
        <v>0</v>
      </c>
      <c r="H452">
        <f t="shared" si="237"/>
        <v>4</v>
      </c>
      <c r="I452">
        <f t="shared" si="251"/>
        <v>360</v>
      </c>
      <c r="J452">
        <f t="shared" ref="J452:J515" si="265">IF($A452=I452,1,IF(AND(J451&gt;0,J451&lt;30),J451+1,0))</f>
        <v>0</v>
      </c>
      <c r="K452">
        <f t="shared" si="238"/>
        <v>3</v>
      </c>
      <c r="L452">
        <f t="shared" si="252"/>
        <v>360</v>
      </c>
      <c r="M452">
        <f t="shared" ref="M452:M515" si="266">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7">IF($A452=T452,1,IF(AND(U451&gt;0,U451&lt;$AT$3),U451+1,0))</f>
        <v>1</v>
      </c>
      <c r="V452">
        <f t="shared" ref="V452:V515" si="268">MIN(IF(X451=1,V451+1,V451),blustcount)</f>
        <v>1</v>
      </c>
      <c r="W452">
        <f t="shared" si="255"/>
        <v>0</v>
      </c>
      <c r="X452">
        <f t="shared" si="244"/>
        <v>0</v>
      </c>
      <c r="Y452">
        <f t="shared" si="256"/>
        <v>0</v>
      </c>
      <c r="Z452">
        <f t="shared" si="257"/>
        <v>0</v>
      </c>
      <c r="AA452">
        <f t="shared" si="258"/>
        <v>0</v>
      </c>
      <c r="AB452" s="29">
        <f t="shared" si="259"/>
        <v>0</v>
      </c>
      <c r="AC452" s="25">
        <f t="shared" ref="AC452:AC515" si="269">IF($A452&lt;0,0,$AN$43+IF($J452=0, 0, $AR$15*($J452&lt;=$AT$15)+$AR$22*($J452&lt;=$AT$22)+$AR$28*($J452&lt;=$AT$28)+$AR$29*($J452&lt;=$AT$29)-IF($AW$14, $AR$3*($J452&lt;=$AT$3)))+IF($U452=0,0,$AR$3))</f>
        <v>0</v>
      </c>
      <c r="AD452" s="29">
        <f t="shared" si="260"/>
        <v>0</v>
      </c>
      <c r="AE452" s="25">
        <f t="shared" ref="AE452:AE515" si="270">IF($A452&lt;0,0,$AN$45+IF($P452&gt;0,$AN$37*$AL$37,0)+$S452*(60-IF(CharLevel&gt;60,(CharLevel-60)*2,0))*$AL$38+IF($J452=1,$AL$26*-25+IF($AL$39, 30, 0),0)+IF($M452=1,$AL$35*-10,0)+IF(AE451&gt;instcost,AE451-instcost,0))</f>
        <v>0</v>
      </c>
      <c r="AF452" s="25">
        <f t="shared" si="261"/>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2"/>
        <v>-1</v>
      </c>
      <c r="B453">
        <f t="shared" ref="B453:B516" si="271">MIN(IF(D452=1,B452+1,B452),10)</f>
        <v>6</v>
      </c>
      <c r="C453">
        <f t="shared" si="249"/>
        <v>300</v>
      </c>
      <c r="D453">
        <f t="shared" si="263"/>
        <v>0</v>
      </c>
      <c r="E453">
        <f t="shared" si="248"/>
        <v>5</v>
      </c>
      <c r="F453">
        <f t="shared" si="250"/>
        <v>360</v>
      </c>
      <c r="G453">
        <f t="shared" si="264"/>
        <v>0</v>
      </c>
      <c r="H453">
        <f t="shared" ref="H453:H516" si="272">MIN(IF(J452=1,H452+1,H452),5)</f>
        <v>4</v>
      </c>
      <c r="I453">
        <f t="shared" si="251"/>
        <v>360</v>
      </c>
      <c r="J453">
        <f t="shared" si="265"/>
        <v>0</v>
      </c>
      <c r="K453">
        <f t="shared" ref="K453:K516" si="273">MIN(IF(M452=1,K452+1,K452),4)</f>
        <v>3</v>
      </c>
      <c r="L453">
        <f t="shared" si="252"/>
        <v>360</v>
      </c>
      <c r="M453">
        <f t="shared" si="266"/>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7"/>
        <v>1</v>
      </c>
      <c r="V453">
        <f t="shared" si="268"/>
        <v>1</v>
      </c>
      <c r="W453">
        <f t="shared" si="255"/>
        <v>0</v>
      </c>
      <c r="X453">
        <f t="shared" ref="X453:X516" si="279">IF($A453=W453,1,IF(AND(X452&gt;0,X452&lt;40),X452+1,0))</f>
        <v>0</v>
      </c>
      <c r="Y453">
        <f t="shared" si="256"/>
        <v>0</v>
      </c>
      <c r="Z453">
        <f t="shared" si="257"/>
        <v>0</v>
      </c>
      <c r="AA453">
        <f t="shared" si="258"/>
        <v>0</v>
      </c>
      <c r="AB453" s="29">
        <f t="shared" si="259"/>
        <v>0</v>
      </c>
      <c r="AC453" s="25">
        <f t="shared" si="269"/>
        <v>0</v>
      </c>
      <c r="AD453" s="29">
        <f t="shared" si="260"/>
        <v>0</v>
      </c>
      <c r="AE453" s="25">
        <f t="shared" si="270"/>
        <v>0</v>
      </c>
      <c r="AF453" s="25">
        <f t="shared" si="261"/>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2"/>
        <v>-1</v>
      </c>
      <c r="B454">
        <f t="shared" si="271"/>
        <v>6</v>
      </c>
      <c r="C454">
        <f t="shared" si="249"/>
        <v>300</v>
      </c>
      <c r="D454">
        <f t="shared" si="263"/>
        <v>0</v>
      </c>
      <c r="E454">
        <f t="shared" ref="E454:E517" si="283">MIN(IF(G453=1,E453+1,E453),6)</f>
        <v>5</v>
      </c>
      <c r="F454">
        <f t="shared" si="250"/>
        <v>360</v>
      </c>
      <c r="G454">
        <f t="shared" si="264"/>
        <v>0</v>
      </c>
      <c r="H454">
        <f t="shared" si="272"/>
        <v>4</v>
      </c>
      <c r="I454">
        <f t="shared" si="251"/>
        <v>360</v>
      </c>
      <c r="J454">
        <f t="shared" si="265"/>
        <v>0</v>
      </c>
      <c r="K454">
        <f t="shared" si="273"/>
        <v>3</v>
      </c>
      <c r="L454">
        <f t="shared" si="252"/>
        <v>360</v>
      </c>
      <c r="M454">
        <f t="shared" si="266"/>
        <v>0</v>
      </c>
      <c r="N454">
        <f t="shared" si="274"/>
        <v>2</v>
      </c>
      <c r="O454">
        <f t="shared" si="253"/>
        <v>300</v>
      </c>
      <c r="P454">
        <f t="shared" si="275"/>
        <v>0</v>
      </c>
      <c r="Q454">
        <f t="shared" si="276"/>
        <v>2</v>
      </c>
      <c r="R454">
        <f t="shared" si="254"/>
        <v>300</v>
      </c>
      <c r="S454">
        <f t="shared" si="277"/>
        <v>0</v>
      </c>
      <c r="T454">
        <f t="shared" si="278"/>
        <v>-1</v>
      </c>
      <c r="U454">
        <f t="shared" si="267"/>
        <v>1</v>
      </c>
      <c r="V454">
        <f t="shared" si="268"/>
        <v>1</v>
      </c>
      <c r="W454">
        <f t="shared" si="255"/>
        <v>0</v>
      </c>
      <c r="X454">
        <f t="shared" si="279"/>
        <v>0</v>
      </c>
      <c r="Y454">
        <f t="shared" si="256"/>
        <v>0</v>
      </c>
      <c r="Z454">
        <f t="shared" si="257"/>
        <v>0</v>
      </c>
      <c r="AA454">
        <f t="shared" si="258"/>
        <v>0</v>
      </c>
      <c r="AB454" s="29">
        <f t="shared" si="259"/>
        <v>0</v>
      </c>
      <c r="AC454" s="25">
        <f t="shared" si="269"/>
        <v>0</v>
      </c>
      <c r="AD454" s="29">
        <f t="shared" si="260"/>
        <v>0</v>
      </c>
      <c r="AE454" s="25">
        <f t="shared" si="270"/>
        <v>0</v>
      </c>
      <c r="AF454" s="25">
        <f t="shared" si="261"/>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2"/>
        <v>-1</v>
      </c>
      <c r="B455">
        <f t="shared" si="271"/>
        <v>6</v>
      </c>
      <c r="C455">
        <f t="shared" si="249"/>
        <v>300</v>
      </c>
      <c r="D455">
        <f t="shared" si="263"/>
        <v>0</v>
      </c>
      <c r="E455">
        <f t="shared" si="283"/>
        <v>5</v>
      </c>
      <c r="F455">
        <f t="shared" si="250"/>
        <v>360</v>
      </c>
      <c r="G455">
        <f t="shared" si="264"/>
        <v>0</v>
      </c>
      <c r="H455">
        <f t="shared" si="272"/>
        <v>4</v>
      </c>
      <c r="I455">
        <f t="shared" si="251"/>
        <v>360</v>
      </c>
      <c r="J455">
        <f t="shared" si="265"/>
        <v>0</v>
      </c>
      <c r="K455">
        <f t="shared" si="273"/>
        <v>3</v>
      </c>
      <c r="L455">
        <f t="shared" si="252"/>
        <v>360</v>
      </c>
      <c r="M455">
        <f t="shared" si="266"/>
        <v>0</v>
      </c>
      <c r="N455">
        <f t="shared" si="274"/>
        <v>2</v>
      </c>
      <c r="O455">
        <f t="shared" si="253"/>
        <v>300</v>
      </c>
      <c r="P455">
        <f t="shared" si="275"/>
        <v>0</v>
      </c>
      <c r="Q455">
        <f t="shared" si="276"/>
        <v>2</v>
      </c>
      <c r="R455">
        <f t="shared" si="254"/>
        <v>300</v>
      </c>
      <c r="S455">
        <f t="shared" si="277"/>
        <v>0</v>
      </c>
      <c r="T455">
        <f t="shared" si="278"/>
        <v>-1</v>
      </c>
      <c r="U455">
        <f t="shared" si="267"/>
        <v>1</v>
      </c>
      <c r="V455">
        <f t="shared" si="268"/>
        <v>1</v>
      </c>
      <c r="W455">
        <f t="shared" si="255"/>
        <v>0</v>
      </c>
      <c r="X455">
        <f t="shared" si="279"/>
        <v>0</v>
      </c>
      <c r="Y455">
        <f t="shared" si="256"/>
        <v>0</v>
      </c>
      <c r="Z455">
        <f t="shared" si="257"/>
        <v>0</v>
      </c>
      <c r="AA455">
        <f t="shared" si="258"/>
        <v>0</v>
      </c>
      <c r="AB455" s="29">
        <f t="shared" si="259"/>
        <v>0</v>
      </c>
      <c r="AC455" s="25">
        <f t="shared" si="269"/>
        <v>0</v>
      </c>
      <c r="AD455" s="29">
        <f t="shared" si="260"/>
        <v>0</v>
      </c>
      <c r="AE455" s="25">
        <f t="shared" si="270"/>
        <v>0</v>
      </c>
      <c r="AF455" s="25">
        <f t="shared" si="261"/>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2"/>
        <v>-1</v>
      </c>
      <c r="B456">
        <f t="shared" si="271"/>
        <v>6</v>
      </c>
      <c r="C456">
        <f t="shared" si="249"/>
        <v>300</v>
      </c>
      <c r="D456">
        <f t="shared" si="263"/>
        <v>0</v>
      </c>
      <c r="E456">
        <f t="shared" si="283"/>
        <v>5</v>
      </c>
      <c r="F456">
        <f t="shared" si="250"/>
        <v>360</v>
      </c>
      <c r="G456">
        <f t="shared" si="264"/>
        <v>0</v>
      </c>
      <c r="H456">
        <f t="shared" si="272"/>
        <v>4</v>
      </c>
      <c r="I456">
        <f t="shared" si="251"/>
        <v>360</v>
      </c>
      <c r="J456">
        <f t="shared" si="265"/>
        <v>0</v>
      </c>
      <c r="K456">
        <f t="shared" si="273"/>
        <v>3</v>
      </c>
      <c r="L456">
        <f t="shared" si="252"/>
        <v>360</v>
      </c>
      <c r="M456">
        <f t="shared" si="266"/>
        <v>0</v>
      </c>
      <c r="N456">
        <f t="shared" si="274"/>
        <v>2</v>
      </c>
      <c r="O456">
        <f t="shared" si="253"/>
        <v>300</v>
      </c>
      <c r="P456">
        <f t="shared" si="275"/>
        <v>0</v>
      </c>
      <c r="Q456">
        <f t="shared" si="276"/>
        <v>2</v>
      </c>
      <c r="R456">
        <f t="shared" si="254"/>
        <v>300</v>
      </c>
      <c r="S456">
        <f t="shared" si="277"/>
        <v>0</v>
      </c>
      <c r="T456">
        <f t="shared" si="278"/>
        <v>-1</v>
      </c>
      <c r="U456">
        <f t="shared" si="267"/>
        <v>1</v>
      </c>
      <c r="V456">
        <f t="shared" si="268"/>
        <v>1</v>
      </c>
      <c r="W456">
        <f t="shared" si="255"/>
        <v>0</v>
      </c>
      <c r="X456">
        <f t="shared" si="279"/>
        <v>0</v>
      </c>
      <c r="Y456">
        <f t="shared" si="256"/>
        <v>0</v>
      </c>
      <c r="Z456">
        <f t="shared" si="257"/>
        <v>0</v>
      </c>
      <c r="AA456">
        <f t="shared" si="258"/>
        <v>0</v>
      </c>
      <c r="AB456" s="29">
        <f t="shared" si="259"/>
        <v>0</v>
      </c>
      <c r="AC456" s="25">
        <f t="shared" si="269"/>
        <v>0</v>
      </c>
      <c r="AD456" s="29">
        <f t="shared" si="260"/>
        <v>0</v>
      </c>
      <c r="AE456" s="25">
        <f t="shared" si="270"/>
        <v>0</v>
      </c>
      <c r="AF456" s="25">
        <f t="shared" si="261"/>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2"/>
        <v>-1</v>
      </c>
      <c r="B457">
        <f t="shared" si="271"/>
        <v>6</v>
      </c>
      <c r="C457">
        <f t="shared" si="249"/>
        <v>300</v>
      </c>
      <c r="D457">
        <f t="shared" si="263"/>
        <v>0</v>
      </c>
      <c r="E457">
        <f t="shared" si="283"/>
        <v>5</v>
      </c>
      <c r="F457">
        <f t="shared" si="250"/>
        <v>360</v>
      </c>
      <c r="G457">
        <f t="shared" si="264"/>
        <v>0</v>
      </c>
      <c r="H457">
        <f t="shared" si="272"/>
        <v>4</v>
      </c>
      <c r="I457">
        <f t="shared" si="251"/>
        <v>360</v>
      </c>
      <c r="J457">
        <f t="shared" si="265"/>
        <v>0</v>
      </c>
      <c r="K457">
        <f t="shared" si="273"/>
        <v>3</v>
      </c>
      <c r="L457">
        <f t="shared" si="252"/>
        <v>360</v>
      </c>
      <c r="M457">
        <f t="shared" si="266"/>
        <v>0</v>
      </c>
      <c r="N457">
        <f t="shared" si="274"/>
        <v>2</v>
      </c>
      <c r="O457">
        <f t="shared" si="253"/>
        <v>300</v>
      </c>
      <c r="P457">
        <f t="shared" si="275"/>
        <v>0</v>
      </c>
      <c r="Q457">
        <f t="shared" si="276"/>
        <v>2</v>
      </c>
      <c r="R457">
        <f t="shared" si="254"/>
        <v>300</v>
      </c>
      <c r="S457">
        <f t="shared" si="277"/>
        <v>0</v>
      </c>
      <c r="T457">
        <f t="shared" si="278"/>
        <v>-1</v>
      </c>
      <c r="U457">
        <f t="shared" si="267"/>
        <v>1</v>
      </c>
      <c r="V457">
        <f t="shared" si="268"/>
        <v>1</v>
      </c>
      <c r="W457">
        <f t="shared" si="255"/>
        <v>0</v>
      </c>
      <c r="X457">
        <f t="shared" si="279"/>
        <v>0</v>
      </c>
      <c r="Y457">
        <f t="shared" si="256"/>
        <v>0</v>
      </c>
      <c r="Z457">
        <f t="shared" si="257"/>
        <v>0</v>
      </c>
      <c r="AA457">
        <f t="shared" si="258"/>
        <v>0</v>
      </c>
      <c r="AB457" s="29">
        <f t="shared" si="259"/>
        <v>0</v>
      </c>
      <c r="AC457" s="25">
        <f t="shared" si="269"/>
        <v>0</v>
      </c>
      <c r="AD457" s="29">
        <f t="shared" si="260"/>
        <v>0</v>
      </c>
      <c r="AE457" s="25">
        <f t="shared" si="270"/>
        <v>0</v>
      </c>
      <c r="AF457" s="25">
        <f t="shared" si="261"/>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2"/>
        <v>-1</v>
      </c>
      <c r="B458">
        <f t="shared" si="271"/>
        <v>6</v>
      </c>
      <c r="C458">
        <f t="shared" si="249"/>
        <v>300</v>
      </c>
      <c r="D458">
        <f t="shared" si="263"/>
        <v>0</v>
      </c>
      <c r="E458">
        <f t="shared" si="283"/>
        <v>5</v>
      </c>
      <c r="F458">
        <f t="shared" si="250"/>
        <v>360</v>
      </c>
      <c r="G458">
        <f t="shared" si="264"/>
        <v>0</v>
      </c>
      <c r="H458">
        <f t="shared" si="272"/>
        <v>4</v>
      </c>
      <c r="I458">
        <f t="shared" si="251"/>
        <v>360</v>
      </c>
      <c r="J458">
        <f t="shared" si="265"/>
        <v>0</v>
      </c>
      <c r="K458">
        <f t="shared" si="273"/>
        <v>3</v>
      </c>
      <c r="L458">
        <f t="shared" si="252"/>
        <v>360</v>
      </c>
      <c r="M458">
        <f t="shared" si="266"/>
        <v>0</v>
      </c>
      <c r="N458">
        <f t="shared" si="274"/>
        <v>2</v>
      </c>
      <c r="O458">
        <f t="shared" si="253"/>
        <v>300</v>
      </c>
      <c r="P458">
        <f t="shared" si="275"/>
        <v>0</v>
      </c>
      <c r="Q458">
        <f t="shared" si="276"/>
        <v>2</v>
      </c>
      <c r="R458">
        <f t="shared" si="254"/>
        <v>300</v>
      </c>
      <c r="S458">
        <f t="shared" si="277"/>
        <v>0</v>
      </c>
      <c r="T458">
        <f t="shared" si="278"/>
        <v>-1</v>
      </c>
      <c r="U458">
        <f t="shared" si="267"/>
        <v>1</v>
      </c>
      <c r="V458">
        <f t="shared" si="268"/>
        <v>1</v>
      </c>
      <c r="W458">
        <f t="shared" si="255"/>
        <v>0</v>
      </c>
      <c r="X458">
        <f t="shared" si="279"/>
        <v>0</v>
      </c>
      <c r="Y458">
        <f t="shared" si="256"/>
        <v>0</v>
      </c>
      <c r="Z458">
        <f t="shared" si="257"/>
        <v>0</v>
      </c>
      <c r="AA458">
        <f t="shared" si="258"/>
        <v>0</v>
      </c>
      <c r="AB458" s="29">
        <f t="shared" si="259"/>
        <v>0</v>
      </c>
      <c r="AC458" s="25">
        <f t="shared" si="269"/>
        <v>0</v>
      </c>
      <c r="AD458" s="29">
        <f t="shared" si="260"/>
        <v>0</v>
      </c>
      <c r="AE458" s="25">
        <f t="shared" si="270"/>
        <v>0</v>
      </c>
      <c r="AF458" s="25">
        <f t="shared" si="261"/>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2"/>
        <v>-1</v>
      </c>
      <c r="B459">
        <f t="shared" si="271"/>
        <v>6</v>
      </c>
      <c r="C459">
        <f t="shared" si="249"/>
        <v>300</v>
      </c>
      <c r="D459">
        <f t="shared" si="263"/>
        <v>0</v>
      </c>
      <c r="E459">
        <f t="shared" si="283"/>
        <v>5</v>
      </c>
      <c r="F459">
        <f t="shared" si="250"/>
        <v>360</v>
      </c>
      <c r="G459">
        <f t="shared" si="264"/>
        <v>0</v>
      </c>
      <c r="H459">
        <f t="shared" si="272"/>
        <v>4</v>
      </c>
      <c r="I459">
        <f t="shared" si="251"/>
        <v>360</v>
      </c>
      <c r="J459">
        <f t="shared" si="265"/>
        <v>0</v>
      </c>
      <c r="K459">
        <f t="shared" si="273"/>
        <v>3</v>
      </c>
      <c r="L459">
        <f t="shared" si="252"/>
        <v>360</v>
      </c>
      <c r="M459">
        <f t="shared" si="266"/>
        <v>0</v>
      </c>
      <c r="N459">
        <f t="shared" si="274"/>
        <v>2</v>
      </c>
      <c r="O459">
        <f t="shared" si="253"/>
        <v>300</v>
      </c>
      <c r="P459">
        <f t="shared" si="275"/>
        <v>0</v>
      </c>
      <c r="Q459">
        <f t="shared" si="276"/>
        <v>2</v>
      </c>
      <c r="R459">
        <f t="shared" si="254"/>
        <v>300</v>
      </c>
      <c r="S459">
        <f t="shared" si="277"/>
        <v>0</v>
      </c>
      <c r="T459">
        <f t="shared" si="278"/>
        <v>-1</v>
      </c>
      <c r="U459">
        <f t="shared" si="267"/>
        <v>1</v>
      </c>
      <c r="V459">
        <f t="shared" si="268"/>
        <v>1</v>
      </c>
      <c r="W459">
        <f t="shared" si="255"/>
        <v>0</v>
      </c>
      <c r="X459">
        <f t="shared" si="279"/>
        <v>0</v>
      </c>
      <c r="Y459">
        <f t="shared" si="256"/>
        <v>0</v>
      </c>
      <c r="Z459">
        <f t="shared" si="257"/>
        <v>0</v>
      </c>
      <c r="AA459">
        <f t="shared" si="258"/>
        <v>0</v>
      </c>
      <c r="AB459" s="29">
        <f t="shared" si="259"/>
        <v>0</v>
      </c>
      <c r="AC459" s="25">
        <f t="shared" si="269"/>
        <v>0</v>
      </c>
      <c r="AD459" s="29">
        <f t="shared" si="260"/>
        <v>0</v>
      </c>
      <c r="AE459" s="25">
        <f t="shared" si="270"/>
        <v>0</v>
      </c>
      <c r="AF459" s="25">
        <f t="shared" si="261"/>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2"/>
        <v>-1</v>
      </c>
      <c r="B460">
        <f t="shared" si="271"/>
        <v>6</v>
      </c>
      <c r="C460">
        <f t="shared" si="249"/>
        <v>300</v>
      </c>
      <c r="D460">
        <f t="shared" si="263"/>
        <v>0</v>
      </c>
      <c r="E460">
        <f t="shared" si="283"/>
        <v>5</v>
      </c>
      <c r="F460">
        <f t="shared" si="250"/>
        <v>360</v>
      </c>
      <c r="G460">
        <f t="shared" si="264"/>
        <v>0</v>
      </c>
      <c r="H460">
        <f t="shared" si="272"/>
        <v>4</v>
      </c>
      <c r="I460">
        <f t="shared" si="251"/>
        <v>360</v>
      </c>
      <c r="J460">
        <f t="shared" si="265"/>
        <v>0</v>
      </c>
      <c r="K460">
        <f t="shared" si="273"/>
        <v>3</v>
      </c>
      <c r="L460">
        <f t="shared" si="252"/>
        <v>360</v>
      </c>
      <c r="M460">
        <f t="shared" si="266"/>
        <v>0</v>
      </c>
      <c r="N460">
        <f t="shared" si="274"/>
        <v>2</v>
      </c>
      <c r="O460">
        <f t="shared" si="253"/>
        <v>300</v>
      </c>
      <c r="P460">
        <f t="shared" si="275"/>
        <v>0</v>
      </c>
      <c r="Q460">
        <f t="shared" si="276"/>
        <v>2</v>
      </c>
      <c r="R460">
        <f t="shared" si="254"/>
        <v>300</v>
      </c>
      <c r="S460">
        <f t="shared" si="277"/>
        <v>0</v>
      </c>
      <c r="T460">
        <f t="shared" si="278"/>
        <v>-1</v>
      </c>
      <c r="U460">
        <f t="shared" si="267"/>
        <v>1</v>
      </c>
      <c r="V460">
        <f t="shared" si="268"/>
        <v>1</v>
      </c>
      <c r="W460">
        <f t="shared" si="255"/>
        <v>0</v>
      </c>
      <c r="X460">
        <f t="shared" si="279"/>
        <v>0</v>
      </c>
      <c r="Y460">
        <f t="shared" si="256"/>
        <v>0</v>
      </c>
      <c r="Z460">
        <f t="shared" si="257"/>
        <v>0</v>
      </c>
      <c r="AA460">
        <f t="shared" si="258"/>
        <v>0</v>
      </c>
      <c r="AB460" s="29">
        <f t="shared" si="259"/>
        <v>0</v>
      </c>
      <c r="AC460" s="25">
        <f t="shared" si="269"/>
        <v>0</v>
      </c>
      <c r="AD460" s="29">
        <f t="shared" si="260"/>
        <v>0</v>
      </c>
      <c r="AE460" s="25">
        <f t="shared" si="270"/>
        <v>0</v>
      </c>
      <c r="AF460" s="25">
        <f t="shared" si="261"/>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2"/>
        <v>-1</v>
      </c>
      <c r="B461">
        <f t="shared" si="271"/>
        <v>6</v>
      </c>
      <c r="C461">
        <f t="shared" si="249"/>
        <v>300</v>
      </c>
      <c r="D461">
        <f t="shared" si="263"/>
        <v>0</v>
      </c>
      <c r="E461">
        <f t="shared" si="283"/>
        <v>5</v>
      </c>
      <c r="F461">
        <f t="shared" si="250"/>
        <v>360</v>
      </c>
      <c r="G461">
        <f t="shared" si="264"/>
        <v>0</v>
      </c>
      <c r="H461">
        <f t="shared" si="272"/>
        <v>4</v>
      </c>
      <c r="I461">
        <f t="shared" si="251"/>
        <v>360</v>
      </c>
      <c r="J461">
        <f t="shared" si="265"/>
        <v>0</v>
      </c>
      <c r="K461">
        <f t="shared" si="273"/>
        <v>3</v>
      </c>
      <c r="L461">
        <f t="shared" si="252"/>
        <v>360</v>
      </c>
      <c r="M461">
        <f t="shared" si="266"/>
        <v>0</v>
      </c>
      <c r="N461">
        <f t="shared" si="274"/>
        <v>2</v>
      </c>
      <c r="O461">
        <f t="shared" si="253"/>
        <v>300</v>
      </c>
      <c r="P461">
        <f t="shared" si="275"/>
        <v>0</v>
      </c>
      <c r="Q461">
        <f t="shared" si="276"/>
        <v>2</v>
      </c>
      <c r="R461">
        <f t="shared" si="254"/>
        <v>300</v>
      </c>
      <c r="S461">
        <f t="shared" si="277"/>
        <v>0</v>
      </c>
      <c r="T461">
        <f t="shared" si="278"/>
        <v>-1</v>
      </c>
      <c r="U461">
        <f t="shared" si="267"/>
        <v>1</v>
      </c>
      <c r="V461">
        <f t="shared" si="268"/>
        <v>1</v>
      </c>
      <c r="W461">
        <f t="shared" si="255"/>
        <v>0</v>
      </c>
      <c r="X461">
        <f t="shared" si="279"/>
        <v>0</v>
      </c>
      <c r="Y461">
        <f t="shared" si="256"/>
        <v>0</v>
      </c>
      <c r="Z461">
        <f t="shared" si="257"/>
        <v>0</v>
      </c>
      <c r="AA461">
        <f t="shared" si="258"/>
        <v>0</v>
      </c>
      <c r="AB461" s="29">
        <f t="shared" si="259"/>
        <v>0</v>
      </c>
      <c r="AC461" s="25">
        <f t="shared" si="269"/>
        <v>0</v>
      </c>
      <c r="AD461" s="29">
        <f t="shared" si="260"/>
        <v>0</v>
      </c>
      <c r="AE461" s="25">
        <f t="shared" si="270"/>
        <v>0</v>
      </c>
      <c r="AF461" s="25">
        <f t="shared" si="261"/>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2"/>
        <v>-1</v>
      </c>
      <c r="B462">
        <f t="shared" si="271"/>
        <v>6</v>
      </c>
      <c r="C462">
        <f t="shared" si="249"/>
        <v>300</v>
      </c>
      <c r="D462">
        <f t="shared" si="263"/>
        <v>0</v>
      </c>
      <c r="E462">
        <f t="shared" si="283"/>
        <v>5</v>
      </c>
      <c r="F462">
        <f t="shared" si="250"/>
        <v>360</v>
      </c>
      <c r="G462">
        <f t="shared" si="264"/>
        <v>0</v>
      </c>
      <c r="H462">
        <f t="shared" si="272"/>
        <v>4</v>
      </c>
      <c r="I462">
        <f t="shared" si="251"/>
        <v>360</v>
      </c>
      <c r="J462">
        <f t="shared" si="265"/>
        <v>0</v>
      </c>
      <c r="K462">
        <f t="shared" si="273"/>
        <v>3</v>
      </c>
      <c r="L462">
        <f t="shared" si="252"/>
        <v>360</v>
      </c>
      <c r="M462">
        <f t="shared" si="266"/>
        <v>0</v>
      </c>
      <c r="N462">
        <f t="shared" si="274"/>
        <v>2</v>
      </c>
      <c r="O462">
        <f t="shared" si="253"/>
        <v>300</v>
      </c>
      <c r="P462">
        <f t="shared" si="275"/>
        <v>0</v>
      </c>
      <c r="Q462">
        <f t="shared" si="276"/>
        <v>2</v>
      </c>
      <c r="R462">
        <f t="shared" si="254"/>
        <v>300</v>
      </c>
      <c r="S462">
        <f t="shared" si="277"/>
        <v>0</v>
      </c>
      <c r="T462">
        <f t="shared" si="278"/>
        <v>-1</v>
      </c>
      <c r="U462">
        <f t="shared" si="267"/>
        <v>1</v>
      </c>
      <c r="V462">
        <f t="shared" si="268"/>
        <v>1</v>
      </c>
      <c r="W462">
        <f t="shared" si="255"/>
        <v>0</v>
      </c>
      <c r="X462">
        <f t="shared" si="279"/>
        <v>0</v>
      </c>
      <c r="Y462">
        <f t="shared" si="256"/>
        <v>0</v>
      </c>
      <c r="Z462">
        <f t="shared" si="257"/>
        <v>0</v>
      </c>
      <c r="AA462">
        <f t="shared" si="258"/>
        <v>0</v>
      </c>
      <c r="AB462" s="29">
        <f t="shared" si="259"/>
        <v>0</v>
      </c>
      <c r="AC462" s="25">
        <f t="shared" si="269"/>
        <v>0</v>
      </c>
      <c r="AD462" s="29">
        <f t="shared" si="260"/>
        <v>0</v>
      </c>
      <c r="AE462" s="25">
        <f t="shared" si="270"/>
        <v>0</v>
      </c>
      <c r="AF462" s="25">
        <f t="shared" si="261"/>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2"/>
        <v>-1</v>
      </c>
      <c r="B463">
        <f t="shared" si="271"/>
        <v>6</v>
      </c>
      <c r="C463">
        <f t="shared" si="249"/>
        <v>300</v>
      </c>
      <c r="D463">
        <f t="shared" si="263"/>
        <v>0</v>
      </c>
      <c r="E463">
        <f t="shared" si="283"/>
        <v>5</v>
      </c>
      <c r="F463">
        <f t="shared" si="250"/>
        <v>360</v>
      </c>
      <c r="G463">
        <f t="shared" si="264"/>
        <v>0</v>
      </c>
      <c r="H463">
        <f t="shared" si="272"/>
        <v>4</v>
      </c>
      <c r="I463">
        <f t="shared" si="251"/>
        <v>360</v>
      </c>
      <c r="J463">
        <f t="shared" si="265"/>
        <v>0</v>
      </c>
      <c r="K463">
        <f t="shared" si="273"/>
        <v>3</v>
      </c>
      <c r="L463">
        <f t="shared" si="252"/>
        <v>360</v>
      </c>
      <c r="M463">
        <f t="shared" si="266"/>
        <v>0</v>
      </c>
      <c r="N463">
        <f t="shared" si="274"/>
        <v>2</v>
      </c>
      <c r="O463">
        <f t="shared" si="253"/>
        <v>300</v>
      </c>
      <c r="P463">
        <f t="shared" si="275"/>
        <v>0</v>
      </c>
      <c r="Q463">
        <f t="shared" si="276"/>
        <v>2</v>
      </c>
      <c r="R463">
        <f t="shared" si="254"/>
        <v>300</v>
      </c>
      <c r="S463">
        <f t="shared" si="277"/>
        <v>0</v>
      </c>
      <c r="T463">
        <f t="shared" si="278"/>
        <v>-1</v>
      </c>
      <c r="U463">
        <f t="shared" si="267"/>
        <v>1</v>
      </c>
      <c r="V463">
        <f t="shared" si="268"/>
        <v>1</v>
      </c>
      <c r="W463">
        <f t="shared" si="255"/>
        <v>0</v>
      </c>
      <c r="X463">
        <f t="shared" si="279"/>
        <v>0</v>
      </c>
      <c r="Y463">
        <f t="shared" si="256"/>
        <v>0</v>
      </c>
      <c r="Z463">
        <f t="shared" si="257"/>
        <v>0</v>
      </c>
      <c r="AA463">
        <f t="shared" si="258"/>
        <v>0</v>
      </c>
      <c r="AB463" s="29">
        <f t="shared" si="259"/>
        <v>0</v>
      </c>
      <c r="AC463" s="25">
        <f t="shared" si="269"/>
        <v>0</v>
      </c>
      <c r="AD463" s="29">
        <f t="shared" si="260"/>
        <v>0</v>
      </c>
      <c r="AE463" s="25">
        <f t="shared" si="270"/>
        <v>0</v>
      </c>
      <c r="AF463" s="25">
        <f t="shared" si="261"/>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2"/>
        <v>-1</v>
      </c>
      <c r="B464">
        <f t="shared" si="271"/>
        <v>6</v>
      </c>
      <c r="C464">
        <f t="shared" si="249"/>
        <v>300</v>
      </c>
      <c r="D464">
        <f t="shared" si="263"/>
        <v>0</v>
      </c>
      <c r="E464">
        <f t="shared" si="283"/>
        <v>5</v>
      </c>
      <c r="F464">
        <f t="shared" si="250"/>
        <v>360</v>
      </c>
      <c r="G464">
        <f t="shared" si="264"/>
        <v>0</v>
      </c>
      <c r="H464">
        <f t="shared" si="272"/>
        <v>4</v>
      </c>
      <c r="I464">
        <f t="shared" si="251"/>
        <v>360</v>
      </c>
      <c r="J464">
        <f t="shared" si="265"/>
        <v>0</v>
      </c>
      <c r="K464">
        <f t="shared" si="273"/>
        <v>3</v>
      </c>
      <c r="L464">
        <f t="shared" si="252"/>
        <v>360</v>
      </c>
      <c r="M464">
        <f t="shared" si="266"/>
        <v>0</v>
      </c>
      <c r="N464">
        <f t="shared" si="274"/>
        <v>2</v>
      </c>
      <c r="O464">
        <f t="shared" si="253"/>
        <v>300</v>
      </c>
      <c r="P464">
        <f t="shared" si="275"/>
        <v>0</v>
      </c>
      <c r="Q464">
        <f t="shared" si="276"/>
        <v>2</v>
      </c>
      <c r="R464">
        <f t="shared" si="254"/>
        <v>300</v>
      </c>
      <c r="S464">
        <f t="shared" si="277"/>
        <v>0</v>
      </c>
      <c r="T464">
        <f t="shared" si="278"/>
        <v>-1</v>
      </c>
      <c r="U464">
        <f t="shared" si="267"/>
        <v>1</v>
      </c>
      <c r="V464">
        <f t="shared" si="268"/>
        <v>1</v>
      </c>
      <c r="W464">
        <f t="shared" si="255"/>
        <v>0</v>
      </c>
      <c r="X464">
        <f t="shared" si="279"/>
        <v>0</v>
      </c>
      <c r="Y464">
        <f t="shared" si="256"/>
        <v>0</v>
      </c>
      <c r="Z464">
        <f t="shared" si="257"/>
        <v>0</v>
      </c>
      <c r="AA464">
        <f t="shared" si="258"/>
        <v>0</v>
      </c>
      <c r="AB464" s="29">
        <f t="shared" si="259"/>
        <v>0</v>
      </c>
      <c r="AC464" s="25">
        <f t="shared" si="269"/>
        <v>0</v>
      </c>
      <c r="AD464" s="29">
        <f t="shared" si="260"/>
        <v>0</v>
      </c>
      <c r="AE464" s="25">
        <f t="shared" si="270"/>
        <v>0</v>
      </c>
      <c r="AF464" s="25">
        <f t="shared" si="261"/>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2"/>
        <v>-1</v>
      </c>
      <c r="B465">
        <f t="shared" si="271"/>
        <v>6</v>
      </c>
      <c r="C465">
        <f t="shared" si="249"/>
        <v>300</v>
      </c>
      <c r="D465">
        <f t="shared" si="263"/>
        <v>0</v>
      </c>
      <c r="E465">
        <f t="shared" si="283"/>
        <v>5</v>
      </c>
      <c r="F465">
        <f t="shared" si="250"/>
        <v>360</v>
      </c>
      <c r="G465">
        <f t="shared" si="264"/>
        <v>0</v>
      </c>
      <c r="H465">
        <f t="shared" si="272"/>
        <v>4</v>
      </c>
      <c r="I465">
        <f t="shared" si="251"/>
        <v>360</v>
      </c>
      <c r="J465">
        <f t="shared" si="265"/>
        <v>0</v>
      </c>
      <c r="K465">
        <f t="shared" si="273"/>
        <v>3</v>
      </c>
      <c r="L465">
        <f t="shared" si="252"/>
        <v>360</v>
      </c>
      <c r="M465">
        <f t="shared" si="266"/>
        <v>0</v>
      </c>
      <c r="N465">
        <f t="shared" si="274"/>
        <v>2</v>
      </c>
      <c r="O465">
        <f t="shared" si="253"/>
        <v>300</v>
      </c>
      <c r="P465">
        <f t="shared" si="275"/>
        <v>0</v>
      </c>
      <c r="Q465">
        <f t="shared" si="276"/>
        <v>2</v>
      </c>
      <c r="R465">
        <f t="shared" si="254"/>
        <v>300</v>
      </c>
      <c r="S465">
        <f t="shared" si="277"/>
        <v>0</v>
      </c>
      <c r="T465">
        <f t="shared" si="278"/>
        <v>-1</v>
      </c>
      <c r="U465">
        <f t="shared" si="267"/>
        <v>1</v>
      </c>
      <c r="V465">
        <f t="shared" si="268"/>
        <v>1</v>
      </c>
      <c r="W465">
        <f t="shared" si="255"/>
        <v>0</v>
      </c>
      <c r="X465">
        <f t="shared" si="279"/>
        <v>0</v>
      </c>
      <c r="Y465">
        <f t="shared" si="256"/>
        <v>0</v>
      </c>
      <c r="Z465">
        <f t="shared" si="257"/>
        <v>0</v>
      </c>
      <c r="AA465">
        <f t="shared" si="258"/>
        <v>0</v>
      </c>
      <c r="AB465" s="29">
        <f t="shared" si="259"/>
        <v>0</v>
      </c>
      <c r="AC465" s="25">
        <f t="shared" si="269"/>
        <v>0</v>
      </c>
      <c r="AD465" s="29">
        <f t="shared" si="260"/>
        <v>0</v>
      </c>
      <c r="AE465" s="25">
        <f t="shared" si="270"/>
        <v>0</v>
      </c>
      <c r="AF465" s="25">
        <f t="shared" si="261"/>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2"/>
        <v>-1</v>
      </c>
      <c r="B466">
        <f t="shared" si="271"/>
        <v>6</v>
      </c>
      <c r="C466">
        <f t="shared" si="249"/>
        <v>300</v>
      </c>
      <c r="D466">
        <f t="shared" si="263"/>
        <v>0</v>
      </c>
      <c r="E466">
        <f t="shared" si="283"/>
        <v>5</v>
      </c>
      <c r="F466">
        <f t="shared" si="250"/>
        <v>360</v>
      </c>
      <c r="G466">
        <f t="shared" si="264"/>
        <v>0</v>
      </c>
      <c r="H466">
        <f t="shared" si="272"/>
        <v>4</v>
      </c>
      <c r="I466">
        <f t="shared" si="251"/>
        <v>360</v>
      </c>
      <c r="J466">
        <f t="shared" si="265"/>
        <v>0</v>
      </c>
      <c r="K466">
        <f t="shared" si="273"/>
        <v>3</v>
      </c>
      <c r="L466">
        <f t="shared" si="252"/>
        <v>360</v>
      </c>
      <c r="M466">
        <f t="shared" si="266"/>
        <v>0</v>
      </c>
      <c r="N466">
        <f t="shared" si="274"/>
        <v>2</v>
      </c>
      <c r="O466">
        <f t="shared" si="253"/>
        <v>300</v>
      </c>
      <c r="P466">
        <f t="shared" si="275"/>
        <v>0</v>
      </c>
      <c r="Q466">
        <f t="shared" si="276"/>
        <v>2</v>
      </c>
      <c r="R466">
        <f t="shared" si="254"/>
        <v>300</v>
      </c>
      <c r="S466">
        <f t="shared" si="277"/>
        <v>0</v>
      </c>
      <c r="T466">
        <f t="shared" si="278"/>
        <v>-1</v>
      </c>
      <c r="U466">
        <f t="shared" si="267"/>
        <v>1</v>
      </c>
      <c r="V466">
        <f t="shared" si="268"/>
        <v>1</v>
      </c>
      <c r="W466">
        <f t="shared" si="255"/>
        <v>0</v>
      </c>
      <c r="X466">
        <f t="shared" si="279"/>
        <v>0</v>
      </c>
      <c r="Y466">
        <f t="shared" si="256"/>
        <v>0</v>
      </c>
      <c r="Z466">
        <f t="shared" si="257"/>
        <v>0</v>
      </c>
      <c r="AA466">
        <f t="shared" si="258"/>
        <v>0</v>
      </c>
      <c r="AB466" s="29">
        <f t="shared" si="259"/>
        <v>0</v>
      </c>
      <c r="AC466" s="25">
        <f t="shared" si="269"/>
        <v>0</v>
      </c>
      <c r="AD466" s="29">
        <f t="shared" si="260"/>
        <v>0</v>
      </c>
      <c r="AE466" s="25">
        <f t="shared" si="270"/>
        <v>0</v>
      </c>
      <c r="AF466" s="25">
        <f t="shared" si="261"/>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2"/>
        <v>-1</v>
      </c>
      <c r="B467">
        <f t="shared" si="271"/>
        <v>6</v>
      </c>
      <c r="C467">
        <f t="shared" si="249"/>
        <v>300</v>
      </c>
      <c r="D467">
        <f t="shared" si="263"/>
        <v>0</v>
      </c>
      <c r="E467">
        <f t="shared" si="283"/>
        <v>5</v>
      </c>
      <c r="F467">
        <f t="shared" si="250"/>
        <v>360</v>
      </c>
      <c r="G467">
        <f t="shared" si="264"/>
        <v>0</v>
      </c>
      <c r="H467">
        <f t="shared" si="272"/>
        <v>4</v>
      </c>
      <c r="I467">
        <f t="shared" si="251"/>
        <v>360</v>
      </c>
      <c r="J467">
        <f t="shared" si="265"/>
        <v>0</v>
      </c>
      <c r="K467">
        <f t="shared" si="273"/>
        <v>3</v>
      </c>
      <c r="L467">
        <f t="shared" si="252"/>
        <v>360</v>
      </c>
      <c r="M467">
        <f t="shared" si="266"/>
        <v>0</v>
      </c>
      <c r="N467">
        <f t="shared" si="274"/>
        <v>2</v>
      </c>
      <c r="O467">
        <f t="shared" si="253"/>
        <v>300</v>
      </c>
      <c r="P467">
        <f t="shared" si="275"/>
        <v>0</v>
      </c>
      <c r="Q467">
        <f t="shared" si="276"/>
        <v>2</v>
      </c>
      <c r="R467">
        <f t="shared" si="254"/>
        <v>300</v>
      </c>
      <c r="S467">
        <f t="shared" si="277"/>
        <v>0</v>
      </c>
      <c r="T467">
        <f t="shared" si="278"/>
        <v>-1</v>
      </c>
      <c r="U467">
        <f t="shared" si="267"/>
        <v>1</v>
      </c>
      <c r="V467">
        <f t="shared" si="268"/>
        <v>1</v>
      </c>
      <c r="W467">
        <f t="shared" si="255"/>
        <v>0</v>
      </c>
      <c r="X467">
        <f t="shared" si="279"/>
        <v>0</v>
      </c>
      <c r="Y467">
        <f t="shared" si="256"/>
        <v>0</v>
      </c>
      <c r="Z467">
        <f t="shared" si="257"/>
        <v>0</v>
      </c>
      <c r="AA467">
        <f t="shared" si="258"/>
        <v>0</v>
      </c>
      <c r="AB467" s="29">
        <f t="shared" si="259"/>
        <v>0</v>
      </c>
      <c r="AC467" s="25">
        <f t="shared" si="269"/>
        <v>0</v>
      </c>
      <c r="AD467" s="29">
        <f t="shared" si="260"/>
        <v>0</v>
      </c>
      <c r="AE467" s="25">
        <f t="shared" si="270"/>
        <v>0</v>
      </c>
      <c r="AF467" s="25">
        <f t="shared" si="261"/>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2"/>
        <v>-1</v>
      </c>
      <c r="B468">
        <f t="shared" si="271"/>
        <v>6</v>
      </c>
      <c r="C468">
        <f t="shared" si="249"/>
        <v>300</v>
      </c>
      <c r="D468">
        <f t="shared" si="263"/>
        <v>0</v>
      </c>
      <c r="E468">
        <f t="shared" si="283"/>
        <v>5</v>
      </c>
      <c r="F468">
        <f t="shared" si="250"/>
        <v>360</v>
      </c>
      <c r="G468">
        <f t="shared" si="264"/>
        <v>0</v>
      </c>
      <c r="H468">
        <f t="shared" si="272"/>
        <v>4</v>
      </c>
      <c r="I468">
        <f t="shared" si="251"/>
        <v>360</v>
      </c>
      <c r="J468">
        <f t="shared" si="265"/>
        <v>0</v>
      </c>
      <c r="K468">
        <f t="shared" si="273"/>
        <v>3</v>
      </c>
      <c r="L468">
        <f t="shared" si="252"/>
        <v>360</v>
      </c>
      <c r="M468">
        <f t="shared" si="266"/>
        <v>0</v>
      </c>
      <c r="N468">
        <f t="shared" si="274"/>
        <v>2</v>
      </c>
      <c r="O468">
        <f t="shared" si="253"/>
        <v>300</v>
      </c>
      <c r="P468">
        <f t="shared" si="275"/>
        <v>0</v>
      </c>
      <c r="Q468">
        <f t="shared" si="276"/>
        <v>2</v>
      </c>
      <c r="R468">
        <f t="shared" si="254"/>
        <v>300</v>
      </c>
      <c r="S468">
        <f t="shared" si="277"/>
        <v>0</v>
      </c>
      <c r="T468">
        <f t="shared" si="278"/>
        <v>-1</v>
      </c>
      <c r="U468">
        <f t="shared" si="267"/>
        <v>1</v>
      </c>
      <c r="V468">
        <f t="shared" si="268"/>
        <v>1</v>
      </c>
      <c r="W468">
        <f t="shared" si="255"/>
        <v>0</v>
      </c>
      <c r="X468">
        <f t="shared" si="279"/>
        <v>0</v>
      </c>
      <c r="Y468">
        <f t="shared" si="256"/>
        <v>0</v>
      </c>
      <c r="Z468">
        <f t="shared" si="257"/>
        <v>0</v>
      </c>
      <c r="AA468">
        <f t="shared" si="258"/>
        <v>0</v>
      </c>
      <c r="AB468" s="29">
        <f t="shared" si="259"/>
        <v>0</v>
      </c>
      <c r="AC468" s="25">
        <f t="shared" si="269"/>
        <v>0</v>
      </c>
      <c r="AD468" s="29">
        <f t="shared" si="260"/>
        <v>0</v>
      </c>
      <c r="AE468" s="25">
        <f t="shared" si="270"/>
        <v>0</v>
      </c>
      <c r="AF468" s="25">
        <f t="shared" si="261"/>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2"/>
        <v>-1</v>
      </c>
      <c r="B469">
        <f t="shared" si="271"/>
        <v>6</v>
      </c>
      <c r="C469">
        <f t="shared" si="249"/>
        <v>300</v>
      </c>
      <c r="D469">
        <f t="shared" si="263"/>
        <v>0</v>
      </c>
      <c r="E469">
        <f t="shared" si="283"/>
        <v>5</v>
      </c>
      <c r="F469">
        <f t="shared" si="250"/>
        <v>360</v>
      </c>
      <c r="G469">
        <f t="shared" si="264"/>
        <v>0</v>
      </c>
      <c r="H469">
        <f t="shared" si="272"/>
        <v>4</v>
      </c>
      <c r="I469">
        <f t="shared" si="251"/>
        <v>360</v>
      </c>
      <c r="J469">
        <f t="shared" si="265"/>
        <v>0</v>
      </c>
      <c r="K469">
        <f t="shared" si="273"/>
        <v>3</v>
      </c>
      <c r="L469">
        <f t="shared" si="252"/>
        <v>360</v>
      </c>
      <c r="M469">
        <f t="shared" si="266"/>
        <v>0</v>
      </c>
      <c r="N469">
        <f t="shared" si="274"/>
        <v>2</v>
      </c>
      <c r="O469">
        <f t="shared" si="253"/>
        <v>300</v>
      </c>
      <c r="P469">
        <f t="shared" si="275"/>
        <v>0</v>
      </c>
      <c r="Q469">
        <f t="shared" si="276"/>
        <v>2</v>
      </c>
      <c r="R469">
        <f t="shared" si="254"/>
        <v>300</v>
      </c>
      <c r="S469">
        <f t="shared" si="277"/>
        <v>0</v>
      </c>
      <c r="T469">
        <f t="shared" si="278"/>
        <v>-1</v>
      </c>
      <c r="U469">
        <f t="shared" si="267"/>
        <v>1</v>
      </c>
      <c r="V469">
        <f t="shared" si="268"/>
        <v>1</v>
      </c>
      <c r="W469">
        <f t="shared" si="255"/>
        <v>0</v>
      </c>
      <c r="X469">
        <f t="shared" si="279"/>
        <v>0</v>
      </c>
      <c r="Y469">
        <f t="shared" si="256"/>
        <v>0</v>
      </c>
      <c r="Z469">
        <f t="shared" si="257"/>
        <v>0</v>
      </c>
      <c r="AA469">
        <f t="shared" si="258"/>
        <v>0</v>
      </c>
      <c r="AB469" s="29">
        <f t="shared" si="259"/>
        <v>0</v>
      </c>
      <c r="AC469" s="25">
        <f t="shared" si="269"/>
        <v>0</v>
      </c>
      <c r="AD469" s="29">
        <f t="shared" si="260"/>
        <v>0</v>
      </c>
      <c r="AE469" s="25">
        <f t="shared" si="270"/>
        <v>0</v>
      </c>
      <c r="AF469" s="25">
        <f t="shared" si="261"/>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2"/>
        <v>-1</v>
      </c>
      <c r="B470">
        <f t="shared" si="271"/>
        <v>6</v>
      </c>
      <c r="C470">
        <f t="shared" si="249"/>
        <v>300</v>
      </c>
      <c r="D470">
        <f t="shared" si="263"/>
        <v>0</v>
      </c>
      <c r="E470">
        <f t="shared" si="283"/>
        <v>5</v>
      </c>
      <c r="F470">
        <f t="shared" si="250"/>
        <v>360</v>
      </c>
      <c r="G470">
        <f t="shared" si="264"/>
        <v>0</v>
      </c>
      <c r="H470">
        <f t="shared" si="272"/>
        <v>4</v>
      </c>
      <c r="I470">
        <f t="shared" si="251"/>
        <v>360</v>
      </c>
      <c r="J470">
        <f t="shared" si="265"/>
        <v>0</v>
      </c>
      <c r="K470">
        <f t="shared" si="273"/>
        <v>3</v>
      </c>
      <c r="L470">
        <f t="shared" si="252"/>
        <v>360</v>
      </c>
      <c r="M470">
        <f t="shared" si="266"/>
        <v>0</v>
      </c>
      <c r="N470">
        <f t="shared" si="274"/>
        <v>2</v>
      </c>
      <c r="O470">
        <f t="shared" si="253"/>
        <v>300</v>
      </c>
      <c r="P470">
        <f t="shared" si="275"/>
        <v>0</v>
      </c>
      <c r="Q470">
        <f t="shared" si="276"/>
        <v>2</v>
      </c>
      <c r="R470">
        <f t="shared" si="254"/>
        <v>300</v>
      </c>
      <c r="S470">
        <f t="shared" si="277"/>
        <v>0</v>
      </c>
      <c r="T470">
        <f t="shared" si="278"/>
        <v>-1</v>
      </c>
      <c r="U470">
        <f t="shared" si="267"/>
        <v>1</v>
      </c>
      <c r="V470">
        <f t="shared" si="268"/>
        <v>1</v>
      </c>
      <c r="W470">
        <f t="shared" si="255"/>
        <v>0</v>
      </c>
      <c r="X470">
        <f t="shared" si="279"/>
        <v>0</v>
      </c>
      <c r="Y470">
        <f t="shared" si="256"/>
        <v>0</v>
      </c>
      <c r="Z470">
        <f t="shared" si="257"/>
        <v>0</v>
      </c>
      <c r="AA470">
        <f t="shared" si="258"/>
        <v>0</v>
      </c>
      <c r="AB470" s="29">
        <f t="shared" si="259"/>
        <v>0</v>
      </c>
      <c r="AC470" s="25">
        <f t="shared" si="269"/>
        <v>0</v>
      </c>
      <c r="AD470" s="29">
        <f t="shared" si="260"/>
        <v>0</v>
      </c>
      <c r="AE470" s="25">
        <f t="shared" si="270"/>
        <v>0</v>
      </c>
      <c r="AF470" s="25">
        <f t="shared" si="261"/>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2"/>
        <v>-1</v>
      </c>
      <c r="B471">
        <f t="shared" si="271"/>
        <v>6</v>
      </c>
      <c r="C471">
        <f t="shared" si="249"/>
        <v>300</v>
      </c>
      <c r="D471">
        <f t="shared" si="263"/>
        <v>0</v>
      </c>
      <c r="E471">
        <f t="shared" si="283"/>
        <v>5</v>
      </c>
      <c r="F471">
        <f t="shared" si="250"/>
        <v>360</v>
      </c>
      <c r="G471">
        <f t="shared" si="264"/>
        <v>0</v>
      </c>
      <c r="H471">
        <f t="shared" si="272"/>
        <v>4</v>
      </c>
      <c r="I471">
        <f t="shared" si="251"/>
        <v>360</v>
      </c>
      <c r="J471">
        <f t="shared" si="265"/>
        <v>0</v>
      </c>
      <c r="K471">
        <f t="shared" si="273"/>
        <v>3</v>
      </c>
      <c r="L471">
        <f t="shared" si="252"/>
        <v>360</v>
      </c>
      <c r="M471">
        <f t="shared" si="266"/>
        <v>0</v>
      </c>
      <c r="N471">
        <f t="shared" si="274"/>
        <v>2</v>
      </c>
      <c r="O471">
        <f t="shared" si="253"/>
        <v>300</v>
      </c>
      <c r="P471">
        <f t="shared" si="275"/>
        <v>0</v>
      </c>
      <c r="Q471">
        <f t="shared" si="276"/>
        <v>2</v>
      </c>
      <c r="R471">
        <f t="shared" si="254"/>
        <v>300</v>
      </c>
      <c r="S471">
        <f t="shared" si="277"/>
        <v>0</v>
      </c>
      <c r="T471">
        <f t="shared" si="278"/>
        <v>-1</v>
      </c>
      <c r="U471">
        <f t="shared" si="267"/>
        <v>1</v>
      </c>
      <c r="V471">
        <f t="shared" si="268"/>
        <v>1</v>
      </c>
      <c r="W471">
        <f t="shared" si="255"/>
        <v>0</v>
      </c>
      <c r="X471">
        <f t="shared" si="279"/>
        <v>0</v>
      </c>
      <c r="Y471">
        <f t="shared" si="256"/>
        <v>0</v>
      </c>
      <c r="Z471">
        <f t="shared" si="257"/>
        <v>0</v>
      </c>
      <c r="AA471">
        <f t="shared" si="258"/>
        <v>0</v>
      </c>
      <c r="AB471" s="29">
        <f t="shared" si="259"/>
        <v>0</v>
      </c>
      <c r="AC471" s="25">
        <f t="shared" si="269"/>
        <v>0</v>
      </c>
      <c r="AD471" s="29">
        <f t="shared" si="260"/>
        <v>0</v>
      </c>
      <c r="AE471" s="25">
        <f t="shared" si="270"/>
        <v>0</v>
      </c>
      <c r="AF471" s="25">
        <f t="shared" si="261"/>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2"/>
        <v>-1</v>
      </c>
      <c r="B472">
        <f t="shared" si="271"/>
        <v>6</v>
      </c>
      <c r="C472">
        <f t="shared" si="249"/>
        <v>300</v>
      </c>
      <c r="D472">
        <f t="shared" si="263"/>
        <v>0</v>
      </c>
      <c r="E472">
        <f t="shared" si="283"/>
        <v>5</v>
      </c>
      <c r="F472">
        <f t="shared" si="250"/>
        <v>360</v>
      </c>
      <c r="G472">
        <f t="shared" si="264"/>
        <v>0</v>
      </c>
      <c r="H472">
        <f t="shared" si="272"/>
        <v>4</v>
      </c>
      <c r="I472">
        <f t="shared" si="251"/>
        <v>360</v>
      </c>
      <c r="J472">
        <f t="shared" si="265"/>
        <v>0</v>
      </c>
      <c r="K472">
        <f t="shared" si="273"/>
        <v>3</v>
      </c>
      <c r="L472">
        <f t="shared" si="252"/>
        <v>360</v>
      </c>
      <c r="M472">
        <f t="shared" si="266"/>
        <v>0</v>
      </c>
      <c r="N472">
        <f t="shared" si="274"/>
        <v>2</v>
      </c>
      <c r="O472">
        <f t="shared" si="253"/>
        <v>300</v>
      </c>
      <c r="P472">
        <f t="shared" si="275"/>
        <v>0</v>
      </c>
      <c r="Q472">
        <f t="shared" si="276"/>
        <v>2</v>
      </c>
      <c r="R472">
        <f t="shared" si="254"/>
        <v>300</v>
      </c>
      <c r="S472">
        <f t="shared" si="277"/>
        <v>0</v>
      </c>
      <c r="T472">
        <f t="shared" si="278"/>
        <v>-1</v>
      </c>
      <c r="U472">
        <f t="shared" si="267"/>
        <v>1</v>
      </c>
      <c r="V472">
        <f t="shared" si="268"/>
        <v>1</v>
      </c>
      <c r="W472">
        <f t="shared" si="255"/>
        <v>0</v>
      </c>
      <c r="X472">
        <f t="shared" si="279"/>
        <v>0</v>
      </c>
      <c r="Y472">
        <f t="shared" si="256"/>
        <v>0</v>
      </c>
      <c r="Z472">
        <f t="shared" si="257"/>
        <v>0</v>
      </c>
      <c r="AA472">
        <f t="shared" si="258"/>
        <v>0</v>
      </c>
      <c r="AB472" s="29">
        <f t="shared" si="259"/>
        <v>0</v>
      </c>
      <c r="AC472" s="25">
        <f t="shared" si="269"/>
        <v>0</v>
      </c>
      <c r="AD472" s="29">
        <f t="shared" si="260"/>
        <v>0</v>
      </c>
      <c r="AE472" s="25">
        <f t="shared" si="270"/>
        <v>0</v>
      </c>
      <c r="AF472" s="25">
        <f t="shared" si="261"/>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2"/>
        <v>-1</v>
      </c>
      <c r="B473">
        <f t="shared" si="271"/>
        <v>6</v>
      </c>
      <c r="C473">
        <f t="shared" si="249"/>
        <v>300</v>
      </c>
      <c r="D473">
        <f t="shared" si="263"/>
        <v>0</v>
      </c>
      <c r="E473">
        <f t="shared" si="283"/>
        <v>5</v>
      </c>
      <c r="F473">
        <f t="shared" si="250"/>
        <v>360</v>
      </c>
      <c r="G473">
        <f t="shared" si="264"/>
        <v>0</v>
      </c>
      <c r="H473">
        <f t="shared" si="272"/>
        <v>4</v>
      </c>
      <c r="I473">
        <f t="shared" si="251"/>
        <v>360</v>
      </c>
      <c r="J473">
        <f t="shared" si="265"/>
        <v>0</v>
      </c>
      <c r="K473">
        <f t="shared" si="273"/>
        <v>3</v>
      </c>
      <c r="L473">
        <f t="shared" si="252"/>
        <v>360</v>
      </c>
      <c r="M473">
        <f t="shared" si="266"/>
        <v>0</v>
      </c>
      <c r="N473">
        <f t="shared" si="274"/>
        <v>2</v>
      </c>
      <c r="O473">
        <f t="shared" si="253"/>
        <v>300</v>
      </c>
      <c r="P473">
        <f t="shared" si="275"/>
        <v>0</v>
      </c>
      <c r="Q473">
        <f t="shared" si="276"/>
        <v>2</v>
      </c>
      <c r="R473">
        <f t="shared" si="254"/>
        <v>300</v>
      </c>
      <c r="S473">
        <f t="shared" si="277"/>
        <v>0</v>
      </c>
      <c r="T473">
        <f t="shared" si="278"/>
        <v>-1</v>
      </c>
      <c r="U473">
        <f t="shared" si="267"/>
        <v>1</v>
      </c>
      <c r="V473">
        <f t="shared" si="268"/>
        <v>1</v>
      </c>
      <c r="W473">
        <f t="shared" si="255"/>
        <v>0</v>
      </c>
      <c r="X473">
        <f t="shared" si="279"/>
        <v>0</v>
      </c>
      <c r="Y473">
        <f t="shared" si="256"/>
        <v>0</v>
      </c>
      <c r="Z473">
        <f t="shared" si="257"/>
        <v>0</v>
      </c>
      <c r="AA473">
        <f t="shared" si="258"/>
        <v>0</v>
      </c>
      <c r="AB473" s="29">
        <f t="shared" si="259"/>
        <v>0</v>
      </c>
      <c r="AC473" s="25">
        <f t="shared" si="269"/>
        <v>0</v>
      </c>
      <c r="AD473" s="29">
        <f t="shared" si="260"/>
        <v>0</v>
      </c>
      <c r="AE473" s="25">
        <f t="shared" si="270"/>
        <v>0</v>
      </c>
      <c r="AF473" s="25">
        <f t="shared" si="261"/>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2"/>
        <v>-1</v>
      </c>
      <c r="B474">
        <f t="shared" si="271"/>
        <v>6</v>
      </c>
      <c r="C474">
        <f t="shared" si="249"/>
        <v>300</v>
      </c>
      <c r="D474">
        <f t="shared" si="263"/>
        <v>0</v>
      </c>
      <c r="E474">
        <f t="shared" si="283"/>
        <v>5</v>
      </c>
      <c r="F474">
        <f t="shared" si="250"/>
        <v>360</v>
      </c>
      <c r="G474">
        <f t="shared" si="264"/>
        <v>0</v>
      </c>
      <c r="H474">
        <f t="shared" si="272"/>
        <v>4</v>
      </c>
      <c r="I474">
        <f t="shared" si="251"/>
        <v>360</v>
      </c>
      <c r="J474">
        <f t="shared" si="265"/>
        <v>0</v>
      </c>
      <c r="K474">
        <f t="shared" si="273"/>
        <v>3</v>
      </c>
      <c r="L474">
        <f t="shared" si="252"/>
        <v>360</v>
      </c>
      <c r="M474">
        <f t="shared" si="266"/>
        <v>0</v>
      </c>
      <c r="N474">
        <f t="shared" si="274"/>
        <v>2</v>
      </c>
      <c r="O474">
        <f t="shared" si="253"/>
        <v>300</v>
      </c>
      <c r="P474">
        <f t="shared" si="275"/>
        <v>0</v>
      </c>
      <c r="Q474">
        <f t="shared" si="276"/>
        <v>2</v>
      </c>
      <c r="R474">
        <f t="shared" si="254"/>
        <v>300</v>
      </c>
      <c r="S474">
        <f t="shared" si="277"/>
        <v>0</v>
      </c>
      <c r="T474">
        <f t="shared" si="278"/>
        <v>-1</v>
      </c>
      <c r="U474">
        <f t="shared" si="267"/>
        <v>1</v>
      </c>
      <c r="V474">
        <f t="shared" si="268"/>
        <v>1</v>
      </c>
      <c r="W474">
        <f t="shared" si="255"/>
        <v>0</v>
      </c>
      <c r="X474">
        <f t="shared" si="279"/>
        <v>0</v>
      </c>
      <c r="Y474">
        <f t="shared" si="256"/>
        <v>0</v>
      </c>
      <c r="Z474">
        <f t="shared" si="257"/>
        <v>0</v>
      </c>
      <c r="AA474">
        <f t="shared" si="258"/>
        <v>0</v>
      </c>
      <c r="AB474" s="29">
        <f t="shared" si="259"/>
        <v>0</v>
      </c>
      <c r="AC474" s="25">
        <f t="shared" si="269"/>
        <v>0</v>
      </c>
      <c r="AD474" s="29">
        <f t="shared" si="260"/>
        <v>0</v>
      </c>
      <c r="AE474" s="25">
        <f t="shared" si="270"/>
        <v>0</v>
      </c>
      <c r="AF474" s="25">
        <f t="shared" si="261"/>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2"/>
        <v>-1</v>
      </c>
      <c r="B475">
        <f t="shared" si="271"/>
        <v>6</v>
      </c>
      <c r="C475">
        <f t="shared" si="249"/>
        <v>300</v>
      </c>
      <c r="D475">
        <f t="shared" si="263"/>
        <v>0</v>
      </c>
      <c r="E475">
        <f t="shared" si="283"/>
        <v>5</v>
      </c>
      <c r="F475">
        <f t="shared" si="250"/>
        <v>360</v>
      </c>
      <c r="G475">
        <f t="shared" si="264"/>
        <v>0</v>
      </c>
      <c r="H475">
        <f t="shared" si="272"/>
        <v>4</v>
      </c>
      <c r="I475">
        <f t="shared" si="251"/>
        <v>360</v>
      </c>
      <c r="J475">
        <f t="shared" si="265"/>
        <v>0</v>
      </c>
      <c r="K475">
        <f t="shared" si="273"/>
        <v>3</v>
      </c>
      <c r="L475">
        <f t="shared" si="252"/>
        <v>360</v>
      </c>
      <c r="M475">
        <f t="shared" si="266"/>
        <v>0</v>
      </c>
      <c r="N475">
        <f t="shared" si="274"/>
        <v>2</v>
      </c>
      <c r="O475">
        <f t="shared" si="253"/>
        <v>300</v>
      </c>
      <c r="P475">
        <f t="shared" si="275"/>
        <v>0</v>
      </c>
      <c r="Q475">
        <f t="shared" si="276"/>
        <v>2</v>
      </c>
      <c r="R475">
        <f t="shared" si="254"/>
        <v>300</v>
      </c>
      <c r="S475">
        <f t="shared" si="277"/>
        <v>0</v>
      </c>
      <c r="T475">
        <f t="shared" si="278"/>
        <v>-1</v>
      </c>
      <c r="U475">
        <f t="shared" si="267"/>
        <v>1</v>
      </c>
      <c r="V475">
        <f t="shared" si="268"/>
        <v>1</v>
      </c>
      <c r="W475">
        <f t="shared" si="255"/>
        <v>0</v>
      </c>
      <c r="X475">
        <f t="shared" si="279"/>
        <v>0</v>
      </c>
      <c r="Y475">
        <f t="shared" si="256"/>
        <v>0</v>
      </c>
      <c r="Z475">
        <f t="shared" si="257"/>
        <v>0</v>
      </c>
      <c r="AA475">
        <f t="shared" si="258"/>
        <v>0</v>
      </c>
      <c r="AB475" s="29">
        <f t="shared" si="259"/>
        <v>0</v>
      </c>
      <c r="AC475" s="25">
        <f t="shared" si="269"/>
        <v>0</v>
      </c>
      <c r="AD475" s="29">
        <f t="shared" si="260"/>
        <v>0</v>
      </c>
      <c r="AE475" s="25">
        <f t="shared" si="270"/>
        <v>0</v>
      </c>
      <c r="AF475" s="25">
        <f t="shared" si="261"/>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2"/>
        <v>-1</v>
      </c>
      <c r="B476">
        <f t="shared" si="271"/>
        <v>6</v>
      </c>
      <c r="C476">
        <f t="shared" si="249"/>
        <v>300</v>
      </c>
      <c r="D476">
        <f t="shared" si="263"/>
        <v>0</v>
      </c>
      <c r="E476">
        <f t="shared" si="283"/>
        <v>5</v>
      </c>
      <c r="F476">
        <f t="shared" si="250"/>
        <v>360</v>
      </c>
      <c r="G476">
        <f t="shared" si="264"/>
        <v>0</v>
      </c>
      <c r="H476">
        <f t="shared" si="272"/>
        <v>4</v>
      </c>
      <c r="I476">
        <f t="shared" si="251"/>
        <v>360</v>
      </c>
      <c r="J476">
        <f t="shared" si="265"/>
        <v>0</v>
      </c>
      <c r="K476">
        <f t="shared" si="273"/>
        <v>3</v>
      </c>
      <c r="L476">
        <f t="shared" si="252"/>
        <v>360</v>
      </c>
      <c r="M476">
        <f t="shared" si="266"/>
        <v>0</v>
      </c>
      <c r="N476">
        <f t="shared" si="274"/>
        <v>2</v>
      </c>
      <c r="O476">
        <f t="shared" si="253"/>
        <v>300</v>
      </c>
      <c r="P476">
        <f t="shared" si="275"/>
        <v>0</v>
      </c>
      <c r="Q476">
        <f t="shared" si="276"/>
        <v>2</v>
      </c>
      <c r="R476">
        <f t="shared" si="254"/>
        <v>300</v>
      </c>
      <c r="S476">
        <f t="shared" si="277"/>
        <v>0</v>
      </c>
      <c r="T476">
        <f t="shared" si="278"/>
        <v>-1</v>
      </c>
      <c r="U476">
        <f t="shared" si="267"/>
        <v>1</v>
      </c>
      <c r="V476">
        <f t="shared" si="268"/>
        <v>1</v>
      </c>
      <c r="W476">
        <f t="shared" si="255"/>
        <v>0</v>
      </c>
      <c r="X476">
        <f t="shared" si="279"/>
        <v>0</v>
      </c>
      <c r="Y476">
        <f t="shared" si="256"/>
        <v>0</v>
      </c>
      <c r="Z476">
        <f t="shared" si="257"/>
        <v>0</v>
      </c>
      <c r="AA476">
        <f t="shared" si="258"/>
        <v>0</v>
      </c>
      <c r="AB476" s="29">
        <f t="shared" si="259"/>
        <v>0</v>
      </c>
      <c r="AC476" s="25">
        <f t="shared" si="269"/>
        <v>0</v>
      </c>
      <c r="AD476" s="29">
        <f t="shared" si="260"/>
        <v>0</v>
      </c>
      <c r="AE476" s="25">
        <f t="shared" si="270"/>
        <v>0</v>
      </c>
      <c r="AF476" s="25">
        <f t="shared" si="261"/>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2"/>
        <v>-1</v>
      </c>
      <c r="B477">
        <f t="shared" si="271"/>
        <v>6</v>
      </c>
      <c r="C477">
        <f t="shared" si="249"/>
        <v>300</v>
      </c>
      <c r="D477">
        <f t="shared" si="263"/>
        <v>0</v>
      </c>
      <c r="E477">
        <f t="shared" si="283"/>
        <v>5</v>
      </c>
      <c r="F477">
        <f t="shared" si="250"/>
        <v>360</v>
      </c>
      <c r="G477">
        <f t="shared" si="264"/>
        <v>0</v>
      </c>
      <c r="H477">
        <f t="shared" si="272"/>
        <v>4</v>
      </c>
      <c r="I477">
        <f t="shared" si="251"/>
        <v>360</v>
      </c>
      <c r="J477">
        <f t="shared" si="265"/>
        <v>0</v>
      </c>
      <c r="K477">
        <f t="shared" si="273"/>
        <v>3</v>
      </c>
      <c r="L477">
        <f t="shared" si="252"/>
        <v>360</v>
      </c>
      <c r="M477">
        <f t="shared" si="266"/>
        <v>0</v>
      </c>
      <c r="N477">
        <f t="shared" si="274"/>
        <v>2</v>
      </c>
      <c r="O477">
        <f t="shared" si="253"/>
        <v>300</v>
      </c>
      <c r="P477">
        <f t="shared" si="275"/>
        <v>0</v>
      </c>
      <c r="Q477">
        <f t="shared" si="276"/>
        <v>2</v>
      </c>
      <c r="R477">
        <f t="shared" si="254"/>
        <v>300</v>
      </c>
      <c r="S477">
        <f t="shared" si="277"/>
        <v>0</v>
      </c>
      <c r="T477">
        <f t="shared" si="278"/>
        <v>-1</v>
      </c>
      <c r="U477">
        <f t="shared" si="267"/>
        <v>1</v>
      </c>
      <c r="V477">
        <f t="shared" si="268"/>
        <v>1</v>
      </c>
      <c r="W477">
        <f t="shared" si="255"/>
        <v>0</v>
      </c>
      <c r="X477">
        <f t="shared" si="279"/>
        <v>0</v>
      </c>
      <c r="Y477">
        <f t="shared" si="256"/>
        <v>0</v>
      </c>
      <c r="Z477">
        <f t="shared" si="257"/>
        <v>0</v>
      </c>
      <c r="AA477">
        <f t="shared" si="258"/>
        <v>0</v>
      </c>
      <c r="AB477" s="29">
        <f t="shared" si="259"/>
        <v>0</v>
      </c>
      <c r="AC477" s="25">
        <f t="shared" si="269"/>
        <v>0</v>
      </c>
      <c r="AD477" s="29">
        <f t="shared" si="260"/>
        <v>0</v>
      </c>
      <c r="AE477" s="25">
        <f t="shared" si="270"/>
        <v>0</v>
      </c>
      <c r="AF477" s="25">
        <f t="shared" si="261"/>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2"/>
        <v>-1</v>
      </c>
      <c r="B478">
        <f t="shared" si="271"/>
        <v>6</v>
      </c>
      <c r="C478">
        <f t="shared" si="249"/>
        <v>300</v>
      </c>
      <c r="D478">
        <f t="shared" si="263"/>
        <v>0</v>
      </c>
      <c r="E478">
        <f t="shared" si="283"/>
        <v>5</v>
      </c>
      <c r="F478">
        <f t="shared" si="250"/>
        <v>360</v>
      </c>
      <c r="G478">
        <f t="shared" si="264"/>
        <v>0</v>
      </c>
      <c r="H478">
        <f t="shared" si="272"/>
        <v>4</v>
      </c>
      <c r="I478">
        <f t="shared" si="251"/>
        <v>360</v>
      </c>
      <c r="J478">
        <f t="shared" si="265"/>
        <v>0</v>
      </c>
      <c r="K478">
        <f t="shared" si="273"/>
        <v>3</v>
      </c>
      <c r="L478">
        <f t="shared" si="252"/>
        <v>360</v>
      </c>
      <c r="M478">
        <f t="shared" si="266"/>
        <v>0</v>
      </c>
      <c r="N478">
        <f t="shared" si="274"/>
        <v>2</v>
      </c>
      <c r="O478">
        <f t="shared" si="253"/>
        <v>300</v>
      </c>
      <c r="P478">
        <f t="shared" si="275"/>
        <v>0</v>
      </c>
      <c r="Q478">
        <f t="shared" si="276"/>
        <v>2</v>
      </c>
      <c r="R478">
        <f t="shared" si="254"/>
        <v>300</v>
      </c>
      <c r="S478">
        <f t="shared" si="277"/>
        <v>0</v>
      </c>
      <c r="T478">
        <f t="shared" si="278"/>
        <v>-1</v>
      </c>
      <c r="U478">
        <f t="shared" si="267"/>
        <v>1</v>
      </c>
      <c r="V478">
        <f t="shared" si="268"/>
        <v>1</v>
      </c>
      <c r="W478">
        <f t="shared" si="255"/>
        <v>0</v>
      </c>
      <c r="X478">
        <f t="shared" si="279"/>
        <v>0</v>
      </c>
      <c r="Y478">
        <f t="shared" si="256"/>
        <v>0</v>
      </c>
      <c r="Z478">
        <f t="shared" si="257"/>
        <v>0</v>
      </c>
      <c r="AA478">
        <f t="shared" si="258"/>
        <v>0</v>
      </c>
      <c r="AB478" s="29">
        <f t="shared" si="259"/>
        <v>0</v>
      </c>
      <c r="AC478" s="25">
        <f t="shared" si="269"/>
        <v>0</v>
      </c>
      <c r="AD478" s="29">
        <f t="shared" si="260"/>
        <v>0</v>
      </c>
      <c r="AE478" s="25">
        <f t="shared" si="270"/>
        <v>0</v>
      </c>
      <c r="AF478" s="25">
        <f t="shared" si="261"/>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2"/>
        <v>-1</v>
      </c>
      <c r="B479">
        <f t="shared" si="271"/>
        <v>6</v>
      </c>
      <c r="C479">
        <f t="shared" si="249"/>
        <v>300</v>
      </c>
      <c r="D479">
        <f t="shared" si="263"/>
        <v>0</v>
      </c>
      <c r="E479">
        <f t="shared" si="283"/>
        <v>5</v>
      </c>
      <c r="F479">
        <f t="shared" si="250"/>
        <v>360</v>
      </c>
      <c r="G479">
        <f t="shared" si="264"/>
        <v>0</v>
      </c>
      <c r="H479">
        <f t="shared" si="272"/>
        <v>4</v>
      </c>
      <c r="I479">
        <f t="shared" si="251"/>
        <v>360</v>
      </c>
      <c r="J479">
        <f t="shared" si="265"/>
        <v>0</v>
      </c>
      <c r="K479">
        <f t="shared" si="273"/>
        <v>3</v>
      </c>
      <c r="L479">
        <f t="shared" si="252"/>
        <v>360</v>
      </c>
      <c r="M479">
        <f t="shared" si="266"/>
        <v>0</v>
      </c>
      <c r="N479">
        <f t="shared" si="274"/>
        <v>2</v>
      </c>
      <c r="O479">
        <f t="shared" si="253"/>
        <v>300</v>
      </c>
      <c r="P479">
        <f t="shared" si="275"/>
        <v>0</v>
      </c>
      <c r="Q479">
        <f t="shared" si="276"/>
        <v>2</v>
      </c>
      <c r="R479">
        <f t="shared" si="254"/>
        <v>300</v>
      </c>
      <c r="S479">
        <f t="shared" si="277"/>
        <v>0</v>
      </c>
      <c r="T479">
        <f t="shared" si="278"/>
        <v>-1</v>
      </c>
      <c r="U479">
        <f t="shared" si="267"/>
        <v>1</v>
      </c>
      <c r="V479">
        <f t="shared" si="268"/>
        <v>1</v>
      </c>
      <c r="W479">
        <f t="shared" si="255"/>
        <v>0</v>
      </c>
      <c r="X479">
        <f t="shared" si="279"/>
        <v>0</v>
      </c>
      <c r="Y479">
        <f t="shared" si="256"/>
        <v>0</v>
      </c>
      <c r="Z479">
        <f t="shared" si="257"/>
        <v>0</v>
      </c>
      <c r="AA479">
        <f t="shared" si="258"/>
        <v>0</v>
      </c>
      <c r="AB479" s="29">
        <f t="shared" si="259"/>
        <v>0</v>
      </c>
      <c r="AC479" s="25">
        <f t="shared" si="269"/>
        <v>0</v>
      </c>
      <c r="AD479" s="29">
        <f t="shared" si="260"/>
        <v>0</v>
      </c>
      <c r="AE479" s="25">
        <f t="shared" si="270"/>
        <v>0</v>
      </c>
      <c r="AF479" s="25">
        <f t="shared" si="261"/>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2"/>
        <v>-1</v>
      </c>
      <c r="B480">
        <f t="shared" si="271"/>
        <v>6</v>
      </c>
      <c r="C480">
        <f t="shared" si="249"/>
        <v>300</v>
      </c>
      <c r="D480">
        <f t="shared" si="263"/>
        <v>0</v>
      </c>
      <c r="E480">
        <f t="shared" si="283"/>
        <v>5</v>
      </c>
      <c r="F480">
        <f t="shared" si="250"/>
        <v>360</v>
      </c>
      <c r="G480">
        <f t="shared" si="264"/>
        <v>0</v>
      </c>
      <c r="H480">
        <f t="shared" si="272"/>
        <v>4</v>
      </c>
      <c r="I480">
        <f t="shared" si="251"/>
        <v>360</v>
      </c>
      <c r="J480">
        <f t="shared" si="265"/>
        <v>0</v>
      </c>
      <c r="K480">
        <f t="shared" si="273"/>
        <v>3</v>
      </c>
      <c r="L480">
        <f t="shared" si="252"/>
        <v>360</v>
      </c>
      <c r="M480">
        <f t="shared" si="266"/>
        <v>0</v>
      </c>
      <c r="N480">
        <f t="shared" si="274"/>
        <v>2</v>
      </c>
      <c r="O480">
        <f t="shared" si="253"/>
        <v>300</v>
      </c>
      <c r="P480">
        <f t="shared" si="275"/>
        <v>0</v>
      </c>
      <c r="Q480">
        <f t="shared" si="276"/>
        <v>2</v>
      </c>
      <c r="R480">
        <f t="shared" si="254"/>
        <v>300</v>
      </c>
      <c r="S480">
        <f t="shared" si="277"/>
        <v>0</v>
      </c>
      <c r="T480">
        <f t="shared" si="278"/>
        <v>-1</v>
      </c>
      <c r="U480">
        <f t="shared" si="267"/>
        <v>1</v>
      </c>
      <c r="V480">
        <f t="shared" si="268"/>
        <v>1</v>
      </c>
      <c r="W480">
        <f t="shared" si="255"/>
        <v>0</v>
      </c>
      <c r="X480">
        <f t="shared" si="279"/>
        <v>0</v>
      </c>
      <c r="Y480">
        <f t="shared" si="256"/>
        <v>0</v>
      </c>
      <c r="Z480">
        <f t="shared" si="257"/>
        <v>0</v>
      </c>
      <c r="AA480">
        <f t="shared" si="258"/>
        <v>0</v>
      </c>
      <c r="AB480" s="29">
        <f t="shared" si="259"/>
        <v>0</v>
      </c>
      <c r="AC480" s="25">
        <f t="shared" si="269"/>
        <v>0</v>
      </c>
      <c r="AD480" s="29">
        <f t="shared" si="260"/>
        <v>0</v>
      </c>
      <c r="AE480" s="25">
        <f t="shared" si="270"/>
        <v>0</v>
      </c>
      <c r="AF480" s="25">
        <f t="shared" si="261"/>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2"/>
        <v>-1</v>
      </c>
      <c r="B481">
        <f t="shared" si="271"/>
        <v>6</v>
      </c>
      <c r="C481">
        <f t="shared" si="249"/>
        <v>300</v>
      </c>
      <c r="D481">
        <f t="shared" si="263"/>
        <v>0</v>
      </c>
      <c r="E481">
        <f t="shared" si="283"/>
        <v>5</v>
      </c>
      <c r="F481">
        <f t="shared" si="250"/>
        <v>360</v>
      </c>
      <c r="G481">
        <f t="shared" si="264"/>
        <v>0</v>
      </c>
      <c r="H481">
        <f t="shared" si="272"/>
        <v>4</v>
      </c>
      <c r="I481">
        <f t="shared" si="251"/>
        <v>360</v>
      </c>
      <c r="J481">
        <f t="shared" si="265"/>
        <v>0</v>
      </c>
      <c r="K481">
        <f t="shared" si="273"/>
        <v>3</v>
      </c>
      <c r="L481">
        <f t="shared" si="252"/>
        <v>360</v>
      </c>
      <c r="M481">
        <f t="shared" si="266"/>
        <v>0</v>
      </c>
      <c r="N481">
        <f t="shared" si="274"/>
        <v>2</v>
      </c>
      <c r="O481">
        <f t="shared" si="253"/>
        <v>300</v>
      </c>
      <c r="P481">
        <f t="shared" si="275"/>
        <v>0</v>
      </c>
      <c r="Q481">
        <f t="shared" si="276"/>
        <v>2</v>
      </c>
      <c r="R481">
        <f t="shared" si="254"/>
        <v>300</v>
      </c>
      <c r="S481">
        <f t="shared" si="277"/>
        <v>0</v>
      </c>
      <c r="T481">
        <f t="shared" si="278"/>
        <v>-1</v>
      </c>
      <c r="U481">
        <f t="shared" si="267"/>
        <v>1</v>
      </c>
      <c r="V481">
        <f t="shared" si="268"/>
        <v>1</v>
      </c>
      <c r="W481">
        <f t="shared" si="255"/>
        <v>0</v>
      </c>
      <c r="X481">
        <f t="shared" si="279"/>
        <v>0</v>
      </c>
      <c r="Y481">
        <f t="shared" si="256"/>
        <v>0</v>
      </c>
      <c r="Z481">
        <f t="shared" si="257"/>
        <v>0</v>
      </c>
      <c r="AA481">
        <f t="shared" si="258"/>
        <v>0</v>
      </c>
      <c r="AB481" s="29">
        <f t="shared" si="259"/>
        <v>0</v>
      </c>
      <c r="AC481" s="25">
        <f t="shared" si="269"/>
        <v>0</v>
      </c>
      <c r="AD481" s="29">
        <f t="shared" si="260"/>
        <v>0</v>
      </c>
      <c r="AE481" s="25">
        <f t="shared" si="270"/>
        <v>0</v>
      </c>
      <c r="AF481" s="25">
        <f t="shared" si="261"/>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2"/>
        <v>-1</v>
      </c>
      <c r="B482">
        <f t="shared" si="271"/>
        <v>6</v>
      </c>
      <c r="C482">
        <f t="shared" si="249"/>
        <v>300</v>
      </c>
      <c r="D482">
        <f t="shared" si="263"/>
        <v>0</v>
      </c>
      <c r="E482">
        <f t="shared" si="283"/>
        <v>5</v>
      </c>
      <c r="F482">
        <f t="shared" si="250"/>
        <v>360</v>
      </c>
      <c r="G482">
        <f t="shared" si="264"/>
        <v>0</v>
      </c>
      <c r="H482">
        <f t="shared" si="272"/>
        <v>4</v>
      </c>
      <c r="I482">
        <f t="shared" si="251"/>
        <v>360</v>
      </c>
      <c r="J482">
        <f t="shared" si="265"/>
        <v>0</v>
      </c>
      <c r="K482">
        <f t="shared" si="273"/>
        <v>3</v>
      </c>
      <c r="L482">
        <f t="shared" si="252"/>
        <v>360</v>
      </c>
      <c r="M482">
        <f t="shared" si="266"/>
        <v>0</v>
      </c>
      <c r="N482">
        <f t="shared" si="274"/>
        <v>2</v>
      </c>
      <c r="O482">
        <f t="shared" si="253"/>
        <v>300</v>
      </c>
      <c r="P482">
        <f t="shared" si="275"/>
        <v>0</v>
      </c>
      <c r="Q482">
        <f t="shared" si="276"/>
        <v>2</v>
      </c>
      <c r="R482">
        <f t="shared" si="254"/>
        <v>300</v>
      </c>
      <c r="S482">
        <f t="shared" si="277"/>
        <v>0</v>
      </c>
      <c r="T482">
        <f t="shared" si="278"/>
        <v>-1</v>
      </c>
      <c r="U482">
        <f t="shared" si="267"/>
        <v>1</v>
      </c>
      <c r="V482">
        <f t="shared" si="268"/>
        <v>1</v>
      </c>
      <c r="W482">
        <f t="shared" si="255"/>
        <v>0</v>
      </c>
      <c r="X482">
        <f t="shared" si="279"/>
        <v>0</v>
      </c>
      <c r="Y482">
        <f t="shared" si="256"/>
        <v>0</v>
      </c>
      <c r="Z482">
        <f t="shared" si="257"/>
        <v>0</v>
      </c>
      <c r="AA482">
        <f t="shared" si="258"/>
        <v>0</v>
      </c>
      <c r="AB482" s="29">
        <f t="shared" si="259"/>
        <v>0</v>
      </c>
      <c r="AC482" s="25">
        <f t="shared" si="269"/>
        <v>0</v>
      </c>
      <c r="AD482" s="29">
        <f t="shared" si="260"/>
        <v>0</v>
      </c>
      <c r="AE482" s="25">
        <f t="shared" si="270"/>
        <v>0</v>
      </c>
      <c r="AF482" s="25">
        <f t="shared" si="261"/>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2"/>
        <v>-1</v>
      </c>
      <c r="B483">
        <f t="shared" si="271"/>
        <v>6</v>
      </c>
      <c r="C483">
        <f t="shared" si="249"/>
        <v>300</v>
      </c>
      <c r="D483">
        <f t="shared" si="263"/>
        <v>0</v>
      </c>
      <c r="E483">
        <f t="shared" si="283"/>
        <v>5</v>
      </c>
      <c r="F483">
        <f t="shared" si="250"/>
        <v>360</v>
      </c>
      <c r="G483">
        <f t="shared" si="264"/>
        <v>0</v>
      </c>
      <c r="H483">
        <f t="shared" si="272"/>
        <v>4</v>
      </c>
      <c r="I483">
        <f t="shared" si="251"/>
        <v>360</v>
      </c>
      <c r="J483">
        <f t="shared" si="265"/>
        <v>0</v>
      </c>
      <c r="K483">
        <f t="shared" si="273"/>
        <v>3</v>
      </c>
      <c r="L483">
        <f t="shared" si="252"/>
        <v>360</v>
      </c>
      <c r="M483">
        <f t="shared" si="266"/>
        <v>0</v>
      </c>
      <c r="N483">
        <f t="shared" si="274"/>
        <v>2</v>
      </c>
      <c r="O483">
        <f t="shared" si="253"/>
        <v>300</v>
      </c>
      <c r="P483">
        <f t="shared" si="275"/>
        <v>0</v>
      </c>
      <c r="Q483">
        <f t="shared" si="276"/>
        <v>2</v>
      </c>
      <c r="R483">
        <f t="shared" si="254"/>
        <v>300</v>
      </c>
      <c r="S483">
        <f t="shared" si="277"/>
        <v>0</v>
      </c>
      <c r="T483">
        <f t="shared" si="278"/>
        <v>-1</v>
      </c>
      <c r="U483">
        <f t="shared" si="267"/>
        <v>1</v>
      </c>
      <c r="V483">
        <f t="shared" si="268"/>
        <v>1</v>
      </c>
      <c r="W483">
        <f t="shared" si="255"/>
        <v>0</v>
      </c>
      <c r="X483">
        <f t="shared" si="279"/>
        <v>0</v>
      </c>
      <c r="Y483">
        <f t="shared" si="256"/>
        <v>0</v>
      </c>
      <c r="Z483">
        <f t="shared" si="257"/>
        <v>0</v>
      </c>
      <c r="AA483">
        <f t="shared" si="258"/>
        <v>0</v>
      </c>
      <c r="AB483" s="29">
        <f t="shared" si="259"/>
        <v>0</v>
      </c>
      <c r="AC483" s="25">
        <f t="shared" si="269"/>
        <v>0</v>
      </c>
      <c r="AD483" s="29">
        <f t="shared" si="260"/>
        <v>0</v>
      </c>
      <c r="AE483" s="25">
        <f t="shared" si="270"/>
        <v>0</v>
      </c>
      <c r="AF483" s="25">
        <f t="shared" si="261"/>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2"/>
        <v>-1</v>
      </c>
      <c r="B484">
        <f t="shared" si="271"/>
        <v>6</v>
      </c>
      <c r="C484">
        <f t="shared" si="249"/>
        <v>300</v>
      </c>
      <c r="D484">
        <f t="shared" si="263"/>
        <v>0</v>
      </c>
      <c r="E484">
        <f t="shared" si="283"/>
        <v>5</v>
      </c>
      <c r="F484">
        <f t="shared" si="250"/>
        <v>360</v>
      </c>
      <c r="G484">
        <f t="shared" si="264"/>
        <v>0</v>
      </c>
      <c r="H484">
        <f t="shared" si="272"/>
        <v>4</v>
      </c>
      <c r="I484">
        <f t="shared" si="251"/>
        <v>360</v>
      </c>
      <c r="J484">
        <f t="shared" si="265"/>
        <v>0</v>
      </c>
      <c r="K484">
        <f t="shared" si="273"/>
        <v>3</v>
      </c>
      <c r="L484">
        <f t="shared" si="252"/>
        <v>360</v>
      </c>
      <c r="M484">
        <f t="shared" si="266"/>
        <v>0</v>
      </c>
      <c r="N484">
        <f t="shared" si="274"/>
        <v>2</v>
      </c>
      <c r="O484">
        <f t="shared" si="253"/>
        <v>300</v>
      </c>
      <c r="P484">
        <f t="shared" si="275"/>
        <v>0</v>
      </c>
      <c r="Q484">
        <f t="shared" si="276"/>
        <v>2</v>
      </c>
      <c r="R484">
        <f t="shared" si="254"/>
        <v>300</v>
      </c>
      <c r="S484">
        <f t="shared" si="277"/>
        <v>0</v>
      </c>
      <c r="T484">
        <f t="shared" si="278"/>
        <v>-1</v>
      </c>
      <c r="U484">
        <f t="shared" si="267"/>
        <v>1</v>
      </c>
      <c r="V484">
        <f t="shared" si="268"/>
        <v>1</v>
      </c>
      <c r="W484">
        <f t="shared" si="255"/>
        <v>0</v>
      </c>
      <c r="X484">
        <f t="shared" si="279"/>
        <v>0</v>
      </c>
      <c r="Y484">
        <f t="shared" si="256"/>
        <v>0</v>
      </c>
      <c r="Z484">
        <f t="shared" si="257"/>
        <v>0</v>
      </c>
      <c r="AA484">
        <f t="shared" si="258"/>
        <v>0</v>
      </c>
      <c r="AB484" s="29">
        <f t="shared" si="259"/>
        <v>0</v>
      </c>
      <c r="AC484" s="25">
        <f t="shared" si="269"/>
        <v>0</v>
      </c>
      <c r="AD484" s="29">
        <f t="shared" si="260"/>
        <v>0</v>
      </c>
      <c r="AE484" s="25">
        <f t="shared" si="270"/>
        <v>0</v>
      </c>
      <c r="AF484" s="25">
        <f t="shared" si="261"/>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2"/>
        <v>-1</v>
      </c>
      <c r="B485">
        <f t="shared" si="271"/>
        <v>6</v>
      </c>
      <c r="C485">
        <f t="shared" si="249"/>
        <v>300</v>
      </c>
      <c r="D485">
        <f t="shared" si="263"/>
        <v>0</v>
      </c>
      <c r="E485">
        <f t="shared" si="283"/>
        <v>5</v>
      </c>
      <c r="F485">
        <f t="shared" si="250"/>
        <v>360</v>
      </c>
      <c r="G485">
        <f t="shared" si="264"/>
        <v>0</v>
      </c>
      <c r="H485">
        <f t="shared" si="272"/>
        <v>4</v>
      </c>
      <c r="I485">
        <f t="shared" si="251"/>
        <v>360</v>
      </c>
      <c r="J485">
        <f t="shared" si="265"/>
        <v>0</v>
      </c>
      <c r="K485">
        <f t="shared" si="273"/>
        <v>3</v>
      </c>
      <c r="L485">
        <f t="shared" si="252"/>
        <v>360</v>
      </c>
      <c r="M485">
        <f t="shared" si="266"/>
        <v>0</v>
      </c>
      <c r="N485">
        <f t="shared" si="274"/>
        <v>2</v>
      </c>
      <c r="O485">
        <f t="shared" si="253"/>
        <v>300</v>
      </c>
      <c r="P485">
        <f t="shared" si="275"/>
        <v>0</v>
      </c>
      <c r="Q485">
        <f t="shared" si="276"/>
        <v>2</v>
      </c>
      <c r="R485">
        <f t="shared" si="254"/>
        <v>300</v>
      </c>
      <c r="S485">
        <f t="shared" si="277"/>
        <v>0</v>
      </c>
      <c r="T485">
        <f t="shared" si="278"/>
        <v>-1</v>
      </c>
      <c r="U485">
        <f t="shared" si="267"/>
        <v>1</v>
      </c>
      <c r="V485">
        <f t="shared" si="268"/>
        <v>1</v>
      </c>
      <c r="W485">
        <f t="shared" si="255"/>
        <v>0</v>
      </c>
      <c r="X485">
        <f t="shared" si="279"/>
        <v>0</v>
      </c>
      <c r="Y485">
        <f t="shared" si="256"/>
        <v>0</v>
      </c>
      <c r="Z485">
        <f t="shared" si="257"/>
        <v>0</v>
      </c>
      <c r="AA485">
        <f t="shared" si="258"/>
        <v>0</v>
      </c>
      <c r="AB485" s="29">
        <f t="shared" si="259"/>
        <v>0</v>
      </c>
      <c r="AC485" s="25">
        <f t="shared" si="269"/>
        <v>0</v>
      </c>
      <c r="AD485" s="29">
        <f t="shared" si="260"/>
        <v>0</v>
      </c>
      <c r="AE485" s="25">
        <f t="shared" si="270"/>
        <v>0</v>
      </c>
      <c r="AF485" s="25">
        <f t="shared" si="261"/>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2"/>
        <v>-1</v>
      </c>
      <c r="B486">
        <f t="shared" si="271"/>
        <v>6</v>
      </c>
      <c r="C486">
        <f t="shared" si="249"/>
        <v>300</v>
      </c>
      <c r="D486">
        <f t="shared" si="263"/>
        <v>0</v>
      </c>
      <c r="E486">
        <f t="shared" si="283"/>
        <v>5</v>
      </c>
      <c r="F486">
        <f t="shared" si="250"/>
        <v>360</v>
      </c>
      <c r="G486">
        <f t="shared" si="264"/>
        <v>0</v>
      </c>
      <c r="H486">
        <f t="shared" si="272"/>
        <v>4</v>
      </c>
      <c r="I486">
        <f t="shared" si="251"/>
        <v>360</v>
      </c>
      <c r="J486">
        <f t="shared" si="265"/>
        <v>0</v>
      </c>
      <c r="K486">
        <f t="shared" si="273"/>
        <v>3</v>
      </c>
      <c r="L486">
        <f t="shared" si="252"/>
        <v>360</v>
      </c>
      <c r="M486">
        <f t="shared" si="266"/>
        <v>0</v>
      </c>
      <c r="N486">
        <f t="shared" si="274"/>
        <v>2</v>
      </c>
      <c r="O486">
        <f t="shared" si="253"/>
        <v>300</v>
      </c>
      <c r="P486">
        <f t="shared" si="275"/>
        <v>0</v>
      </c>
      <c r="Q486">
        <f t="shared" si="276"/>
        <v>2</v>
      </c>
      <c r="R486">
        <f t="shared" si="254"/>
        <v>300</v>
      </c>
      <c r="S486">
        <f t="shared" si="277"/>
        <v>0</v>
      </c>
      <c r="T486">
        <f t="shared" si="278"/>
        <v>-1</v>
      </c>
      <c r="U486">
        <f t="shared" si="267"/>
        <v>1</v>
      </c>
      <c r="V486">
        <f t="shared" si="268"/>
        <v>1</v>
      </c>
      <c r="W486">
        <f t="shared" si="255"/>
        <v>0</v>
      </c>
      <c r="X486">
        <f t="shared" si="279"/>
        <v>0</v>
      </c>
      <c r="Y486">
        <f t="shared" si="256"/>
        <v>0</v>
      </c>
      <c r="Z486">
        <f t="shared" si="257"/>
        <v>0</v>
      </c>
      <c r="AA486">
        <f t="shared" si="258"/>
        <v>0</v>
      </c>
      <c r="AB486" s="29">
        <f t="shared" si="259"/>
        <v>0</v>
      </c>
      <c r="AC486" s="25">
        <f t="shared" si="269"/>
        <v>0</v>
      </c>
      <c r="AD486" s="29">
        <f t="shared" si="260"/>
        <v>0</v>
      </c>
      <c r="AE486" s="25">
        <f t="shared" si="270"/>
        <v>0</v>
      </c>
      <c r="AF486" s="25">
        <f t="shared" si="261"/>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2"/>
        <v>-1</v>
      </c>
      <c r="B487">
        <f t="shared" si="271"/>
        <v>6</v>
      </c>
      <c r="C487">
        <f t="shared" si="249"/>
        <v>300</v>
      </c>
      <c r="D487">
        <f t="shared" si="263"/>
        <v>0</v>
      </c>
      <c r="E487">
        <f t="shared" si="283"/>
        <v>5</v>
      </c>
      <c r="F487">
        <f t="shared" si="250"/>
        <v>360</v>
      </c>
      <c r="G487">
        <f t="shared" si="264"/>
        <v>0</v>
      </c>
      <c r="H487">
        <f t="shared" si="272"/>
        <v>4</v>
      </c>
      <c r="I487">
        <f t="shared" si="251"/>
        <v>360</v>
      </c>
      <c r="J487">
        <f t="shared" si="265"/>
        <v>0</v>
      </c>
      <c r="K487">
        <f t="shared" si="273"/>
        <v>3</v>
      </c>
      <c r="L487">
        <f t="shared" si="252"/>
        <v>360</v>
      </c>
      <c r="M487">
        <f t="shared" si="266"/>
        <v>0</v>
      </c>
      <c r="N487">
        <f t="shared" si="274"/>
        <v>2</v>
      </c>
      <c r="O487">
        <f t="shared" si="253"/>
        <v>300</v>
      </c>
      <c r="P487">
        <f t="shared" si="275"/>
        <v>0</v>
      </c>
      <c r="Q487">
        <f t="shared" si="276"/>
        <v>2</v>
      </c>
      <c r="R487">
        <f t="shared" si="254"/>
        <v>300</v>
      </c>
      <c r="S487">
        <f t="shared" si="277"/>
        <v>0</v>
      </c>
      <c r="T487">
        <f t="shared" si="278"/>
        <v>-1</v>
      </c>
      <c r="U487">
        <f t="shared" si="267"/>
        <v>1</v>
      </c>
      <c r="V487">
        <f t="shared" si="268"/>
        <v>1</v>
      </c>
      <c r="W487">
        <f t="shared" si="255"/>
        <v>0</v>
      </c>
      <c r="X487">
        <f t="shared" si="279"/>
        <v>0</v>
      </c>
      <c r="Y487">
        <f t="shared" si="256"/>
        <v>0</v>
      </c>
      <c r="Z487">
        <f t="shared" si="257"/>
        <v>0</v>
      </c>
      <c r="AA487">
        <f t="shared" si="258"/>
        <v>0</v>
      </c>
      <c r="AB487" s="29">
        <f t="shared" si="259"/>
        <v>0</v>
      </c>
      <c r="AC487" s="25">
        <f t="shared" si="269"/>
        <v>0</v>
      </c>
      <c r="AD487" s="29">
        <f t="shared" si="260"/>
        <v>0</v>
      </c>
      <c r="AE487" s="25">
        <f t="shared" si="270"/>
        <v>0</v>
      </c>
      <c r="AF487" s="25">
        <f t="shared" si="261"/>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2"/>
        <v>-1</v>
      </c>
      <c r="B488">
        <f t="shared" si="271"/>
        <v>6</v>
      </c>
      <c r="C488">
        <f t="shared" si="249"/>
        <v>300</v>
      </c>
      <c r="D488">
        <f t="shared" si="263"/>
        <v>0</v>
      </c>
      <c r="E488">
        <f t="shared" si="283"/>
        <v>5</v>
      </c>
      <c r="F488">
        <f t="shared" si="250"/>
        <v>360</v>
      </c>
      <c r="G488">
        <f t="shared" si="264"/>
        <v>0</v>
      </c>
      <c r="H488">
        <f t="shared" si="272"/>
        <v>4</v>
      </c>
      <c r="I488">
        <f t="shared" si="251"/>
        <v>360</v>
      </c>
      <c r="J488">
        <f t="shared" si="265"/>
        <v>0</v>
      </c>
      <c r="K488">
        <f t="shared" si="273"/>
        <v>3</v>
      </c>
      <c r="L488">
        <f t="shared" si="252"/>
        <v>360</v>
      </c>
      <c r="M488">
        <f t="shared" si="266"/>
        <v>0</v>
      </c>
      <c r="N488">
        <f t="shared" si="274"/>
        <v>2</v>
      </c>
      <c r="O488">
        <f t="shared" si="253"/>
        <v>300</v>
      </c>
      <c r="P488">
        <f t="shared" si="275"/>
        <v>0</v>
      </c>
      <c r="Q488">
        <f t="shared" si="276"/>
        <v>2</v>
      </c>
      <c r="R488">
        <f t="shared" si="254"/>
        <v>300</v>
      </c>
      <c r="S488">
        <f t="shared" si="277"/>
        <v>0</v>
      </c>
      <c r="T488">
        <f t="shared" si="278"/>
        <v>-1</v>
      </c>
      <c r="U488">
        <f t="shared" si="267"/>
        <v>1</v>
      </c>
      <c r="V488">
        <f t="shared" si="268"/>
        <v>1</v>
      </c>
      <c r="W488">
        <f t="shared" si="255"/>
        <v>0</v>
      </c>
      <c r="X488">
        <f t="shared" si="279"/>
        <v>0</v>
      </c>
      <c r="Y488">
        <f t="shared" si="256"/>
        <v>0</v>
      </c>
      <c r="Z488">
        <f t="shared" si="257"/>
        <v>0</v>
      </c>
      <c r="AA488">
        <f t="shared" si="258"/>
        <v>0</v>
      </c>
      <c r="AB488" s="29">
        <f t="shared" si="259"/>
        <v>0</v>
      </c>
      <c r="AC488" s="25">
        <f t="shared" si="269"/>
        <v>0</v>
      </c>
      <c r="AD488" s="29">
        <f t="shared" si="260"/>
        <v>0</v>
      </c>
      <c r="AE488" s="25">
        <f t="shared" si="270"/>
        <v>0</v>
      </c>
      <c r="AF488" s="25">
        <f t="shared" si="261"/>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2"/>
        <v>-1</v>
      </c>
      <c r="B489">
        <f t="shared" si="271"/>
        <v>6</v>
      </c>
      <c r="C489">
        <f t="shared" si="249"/>
        <v>300</v>
      </c>
      <c r="D489">
        <f t="shared" si="263"/>
        <v>0</v>
      </c>
      <c r="E489">
        <f t="shared" si="283"/>
        <v>5</v>
      </c>
      <c r="F489">
        <f t="shared" si="250"/>
        <v>360</v>
      </c>
      <c r="G489">
        <f t="shared" si="264"/>
        <v>0</v>
      </c>
      <c r="H489">
        <f t="shared" si="272"/>
        <v>4</v>
      </c>
      <c r="I489">
        <f t="shared" si="251"/>
        <v>360</v>
      </c>
      <c r="J489">
        <f t="shared" si="265"/>
        <v>0</v>
      </c>
      <c r="K489">
        <f t="shared" si="273"/>
        <v>3</v>
      </c>
      <c r="L489">
        <f t="shared" si="252"/>
        <v>360</v>
      </c>
      <c r="M489">
        <f t="shared" si="266"/>
        <v>0</v>
      </c>
      <c r="N489">
        <f t="shared" si="274"/>
        <v>2</v>
      </c>
      <c r="O489">
        <f t="shared" si="253"/>
        <v>300</v>
      </c>
      <c r="P489">
        <f t="shared" si="275"/>
        <v>0</v>
      </c>
      <c r="Q489">
        <f t="shared" si="276"/>
        <v>2</v>
      </c>
      <c r="R489">
        <f t="shared" si="254"/>
        <v>300</v>
      </c>
      <c r="S489">
        <f t="shared" si="277"/>
        <v>0</v>
      </c>
      <c r="T489">
        <f t="shared" si="278"/>
        <v>-1</v>
      </c>
      <c r="U489">
        <f t="shared" si="267"/>
        <v>1</v>
      </c>
      <c r="V489">
        <f t="shared" si="268"/>
        <v>1</v>
      </c>
      <c r="W489">
        <f t="shared" si="255"/>
        <v>0</v>
      </c>
      <c r="X489">
        <f t="shared" si="279"/>
        <v>0</v>
      </c>
      <c r="Y489">
        <f t="shared" si="256"/>
        <v>0</v>
      </c>
      <c r="Z489">
        <f t="shared" si="257"/>
        <v>0</v>
      </c>
      <c r="AA489">
        <f t="shared" si="258"/>
        <v>0</v>
      </c>
      <c r="AB489" s="29">
        <f t="shared" si="259"/>
        <v>0</v>
      </c>
      <c r="AC489" s="25">
        <f t="shared" si="269"/>
        <v>0</v>
      </c>
      <c r="AD489" s="29">
        <f t="shared" si="260"/>
        <v>0</v>
      </c>
      <c r="AE489" s="25">
        <f t="shared" si="270"/>
        <v>0</v>
      </c>
      <c r="AF489" s="25">
        <f t="shared" si="261"/>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2"/>
        <v>-1</v>
      </c>
      <c r="B490">
        <f t="shared" si="271"/>
        <v>6</v>
      </c>
      <c r="C490">
        <f t="shared" si="249"/>
        <v>300</v>
      </c>
      <c r="D490">
        <f t="shared" si="263"/>
        <v>0</v>
      </c>
      <c r="E490">
        <f t="shared" si="283"/>
        <v>5</v>
      </c>
      <c r="F490">
        <f t="shared" si="250"/>
        <v>360</v>
      </c>
      <c r="G490">
        <f t="shared" si="264"/>
        <v>0</v>
      </c>
      <c r="H490">
        <f t="shared" si="272"/>
        <v>4</v>
      </c>
      <c r="I490">
        <f t="shared" si="251"/>
        <v>360</v>
      </c>
      <c r="J490">
        <f t="shared" si="265"/>
        <v>0</v>
      </c>
      <c r="K490">
        <f t="shared" si="273"/>
        <v>3</v>
      </c>
      <c r="L490">
        <f t="shared" si="252"/>
        <v>360</v>
      </c>
      <c r="M490">
        <f t="shared" si="266"/>
        <v>0</v>
      </c>
      <c r="N490">
        <f t="shared" si="274"/>
        <v>2</v>
      </c>
      <c r="O490">
        <f t="shared" si="253"/>
        <v>300</v>
      </c>
      <c r="P490">
        <f t="shared" si="275"/>
        <v>0</v>
      </c>
      <c r="Q490">
        <f t="shared" si="276"/>
        <v>2</v>
      </c>
      <c r="R490">
        <f t="shared" si="254"/>
        <v>300</v>
      </c>
      <c r="S490">
        <f t="shared" si="277"/>
        <v>0</v>
      </c>
      <c r="T490">
        <f t="shared" si="278"/>
        <v>-1</v>
      </c>
      <c r="U490">
        <f t="shared" si="267"/>
        <v>1</v>
      </c>
      <c r="V490">
        <f t="shared" si="268"/>
        <v>1</v>
      </c>
      <c r="W490">
        <f t="shared" si="255"/>
        <v>0</v>
      </c>
      <c r="X490">
        <f t="shared" si="279"/>
        <v>0</v>
      </c>
      <c r="Y490">
        <f t="shared" si="256"/>
        <v>0</v>
      </c>
      <c r="Z490">
        <f t="shared" si="257"/>
        <v>0</v>
      </c>
      <c r="AA490">
        <f t="shared" si="258"/>
        <v>0</v>
      </c>
      <c r="AB490" s="29">
        <f t="shared" si="259"/>
        <v>0</v>
      </c>
      <c r="AC490" s="25">
        <f t="shared" si="269"/>
        <v>0</v>
      </c>
      <c r="AD490" s="29">
        <f t="shared" si="260"/>
        <v>0</v>
      </c>
      <c r="AE490" s="25">
        <f t="shared" si="270"/>
        <v>0</v>
      </c>
      <c r="AF490" s="25">
        <f t="shared" si="261"/>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2"/>
        <v>-1</v>
      </c>
      <c r="B491">
        <f t="shared" si="271"/>
        <v>6</v>
      </c>
      <c r="C491">
        <f t="shared" si="249"/>
        <v>300</v>
      </c>
      <c r="D491">
        <f t="shared" si="263"/>
        <v>0</v>
      </c>
      <c r="E491">
        <f t="shared" si="283"/>
        <v>5</v>
      </c>
      <c r="F491">
        <f t="shared" si="250"/>
        <v>360</v>
      </c>
      <c r="G491">
        <f t="shared" si="264"/>
        <v>0</v>
      </c>
      <c r="H491">
        <f t="shared" si="272"/>
        <v>4</v>
      </c>
      <c r="I491">
        <f t="shared" si="251"/>
        <v>360</v>
      </c>
      <c r="J491">
        <f t="shared" si="265"/>
        <v>0</v>
      </c>
      <c r="K491">
        <f t="shared" si="273"/>
        <v>3</v>
      </c>
      <c r="L491">
        <f t="shared" si="252"/>
        <v>360</v>
      </c>
      <c r="M491">
        <f t="shared" si="266"/>
        <v>0</v>
      </c>
      <c r="N491">
        <f t="shared" si="274"/>
        <v>2</v>
      </c>
      <c r="O491">
        <f t="shared" si="253"/>
        <v>300</v>
      </c>
      <c r="P491">
        <f t="shared" si="275"/>
        <v>0</v>
      </c>
      <c r="Q491">
        <f t="shared" si="276"/>
        <v>2</v>
      </c>
      <c r="R491">
        <f t="shared" si="254"/>
        <v>300</v>
      </c>
      <c r="S491">
        <f t="shared" si="277"/>
        <v>0</v>
      </c>
      <c r="T491">
        <f t="shared" si="278"/>
        <v>-1</v>
      </c>
      <c r="U491">
        <f t="shared" si="267"/>
        <v>1</v>
      </c>
      <c r="V491">
        <f t="shared" si="268"/>
        <v>1</v>
      </c>
      <c r="W491">
        <f t="shared" si="255"/>
        <v>0</v>
      </c>
      <c r="X491">
        <f t="shared" si="279"/>
        <v>0</v>
      </c>
      <c r="Y491">
        <f t="shared" si="256"/>
        <v>0</v>
      </c>
      <c r="Z491">
        <f t="shared" si="257"/>
        <v>0</v>
      </c>
      <c r="AA491">
        <f t="shared" si="258"/>
        <v>0</v>
      </c>
      <c r="AB491" s="29">
        <f t="shared" si="259"/>
        <v>0</v>
      </c>
      <c r="AC491" s="25">
        <f t="shared" si="269"/>
        <v>0</v>
      </c>
      <c r="AD491" s="29">
        <f t="shared" si="260"/>
        <v>0</v>
      </c>
      <c r="AE491" s="25">
        <f t="shared" si="270"/>
        <v>0</v>
      </c>
      <c r="AF491" s="25">
        <f t="shared" si="261"/>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2"/>
        <v>-1</v>
      </c>
      <c r="B492">
        <f t="shared" si="271"/>
        <v>6</v>
      </c>
      <c r="C492">
        <f t="shared" si="249"/>
        <v>300</v>
      </c>
      <c r="D492">
        <f t="shared" si="263"/>
        <v>0</v>
      </c>
      <c r="E492">
        <f t="shared" si="283"/>
        <v>5</v>
      </c>
      <c r="F492">
        <f t="shared" si="250"/>
        <v>360</v>
      </c>
      <c r="G492">
        <f t="shared" si="264"/>
        <v>0</v>
      </c>
      <c r="H492">
        <f t="shared" si="272"/>
        <v>4</v>
      </c>
      <c r="I492">
        <f t="shared" si="251"/>
        <v>360</v>
      </c>
      <c r="J492">
        <f t="shared" si="265"/>
        <v>0</v>
      </c>
      <c r="K492">
        <f t="shared" si="273"/>
        <v>3</v>
      </c>
      <c r="L492">
        <f t="shared" si="252"/>
        <v>360</v>
      </c>
      <c r="M492">
        <f t="shared" si="266"/>
        <v>0</v>
      </c>
      <c r="N492">
        <f t="shared" si="274"/>
        <v>2</v>
      </c>
      <c r="O492">
        <f t="shared" si="253"/>
        <v>300</v>
      </c>
      <c r="P492">
        <f t="shared" si="275"/>
        <v>0</v>
      </c>
      <c r="Q492">
        <f t="shared" si="276"/>
        <v>2</v>
      </c>
      <c r="R492">
        <f t="shared" si="254"/>
        <v>300</v>
      </c>
      <c r="S492">
        <f t="shared" si="277"/>
        <v>0</v>
      </c>
      <c r="T492">
        <f t="shared" si="278"/>
        <v>-1</v>
      </c>
      <c r="U492">
        <f t="shared" si="267"/>
        <v>1</v>
      </c>
      <c r="V492">
        <f t="shared" si="268"/>
        <v>1</v>
      </c>
      <c r="W492">
        <f t="shared" si="255"/>
        <v>0</v>
      </c>
      <c r="X492">
        <f t="shared" si="279"/>
        <v>0</v>
      </c>
      <c r="Y492">
        <f t="shared" si="256"/>
        <v>0</v>
      </c>
      <c r="Z492">
        <f t="shared" si="257"/>
        <v>0</v>
      </c>
      <c r="AA492">
        <f t="shared" si="258"/>
        <v>0</v>
      </c>
      <c r="AB492" s="29">
        <f t="shared" si="259"/>
        <v>0</v>
      </c>
      <c r="AC492" s="25">
        <f t="shared" si="269"/>
        <v>0</v>
      </c>
      <c r="AD492" s="29">
        <f t="shared" si="260"/>
        <v>0</v>
      </c>
      <c r="AE492" s="25">
        <f t="shared" si="270"/>
        <v>0</v>
      </c>
      <c r="AF492" s="25">
        <f t="shared" si="261"/>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2"/>
        <v>-1</v>
      </c>
      <c r="B493">
        <f t="shared" si="271"/>
        <v>6</v>
      </c>
      <c r="C493">
        <f t="shared" si="249"/>
        <v>300</v>
      </c>
      <c r="D493">
        <f t="shared" si="263"/>
        <v>0</v>
      </c>
      <c r="E493">
        <f t="shared" si="283"/>
        <v>5</v>
      </c>
      <c r="F493">
        <f t="shared" si="250"/>
        <v>360</v>
      </c>
      <c r="G493">
        <f t="shared" si="264"/>
        <v>0</v>
      </c>
      <c r="H493">
        <f t="shared" si="272"/>
        <v>4</v>
      </c>
      <c r="I493">
        <f t="shared" si="251"/>
        <v>360</v>
      </c>
      <c r="J493">
        <f t="shared" si="265"/>
        <v>0</v>
      </c>
      <c r="K493">
        <f t="shared" si="273"/>
        <v>3</v>
      </c>
      <c r="L493">
        <f t="shared" si="252"/>
        <v>360</v>
      </c>
      <c r="M493">
        <f t="shared" si="266"/>
        <v>0</v>
      </c>
      <c r="N493">
        <f t="shared" si="274"/>
        <v>2</v>
      </c>
      <c r="O493">
        <f t="shared" si="253"/>
        <v>300</v>
      </c>
      <c r="P493">
        <f t="shared" si="275"/>
        <v>0</v>
      </c>
      <c r="Q493">
        <f t="shared" si="276"/>
        <v>2</v>
      </c>
      <c r="R493">
        <f t="shared" si="254"/>
        <v>300</v>
      </c>
      <c r="S493">
        <f t="shared" si="277"/>
        <v>0</v>
      </c>
      <c r="T493">
        <f t="shared" si="278"/>
        <v>-1</v>
      </c>
      <c r="U493">
        <f t="shared" si="267"/>
        <v>1</v>
      </c>
      <c r="V493">
        <f t="shared" si="268"/>
        <v>1</v>
      </c>
      <c r="W493">
        <f t="shared" si="255"/>
        <v>0</v>
      </c>
      <c r="X493">
        <f t="shared" si="279"/>
        <v>0</v>
      </c>
      <c r="Y493">
        <f t="shared" si="256"/>
        <v>0</v>
      </c>
      <c r="Z493">
        <f t="shared" si="257"/>
        <v>0</v>
      </c>
      <c r="AA493">
        <f t="shared" si="258"/>
        <v>0</v>
      </c>
      <c r="AB493" s="29">
        <f t="shared" si="259"/>
        <v>0</v>
      </c>
      <c r="AC493" s="25">
        <f t="shared" si="269"/>
        <v>0</v>
      </c>
      <c r="AD493" s="29">
        <f t="shared" si="260"/>
        <v>0</v>
      </c>
      <c r="AE493" s="25">
        <f t="shared" si="270"/>
        <v>0</v>
      </c>
      <c r="AF493" s="25">
        <f t="shared" si="261"/>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2"/>
        <v>-1</v>
      </c>
      <c r="B494">
        <f t="shared" si="271"/>
        <v>6</v>
      </c>
      <c r="C494">
        <f t="shared" si="249"/>
        <v>300</v>
      </c>
      <c r="D494">
        <f t="shared" si="263"/>
        <v>0</v>
      </c>
      <c r="E494">
        <f t="shared" si="283"/>
        <v>5</v>
      </c>
      <c r="F494">
        <f t="shared" si="250"/>
        <v>360</v>
      </c>
      <c r="G494">
        <f t="shared" si="264"/>
        <v>0</v>
      </c>
      <c r="H494">
        <f t="shared" si="272"/>
        <v>4</v>
      </c>
      <c r="I494">
        <f t="shared" si="251"/>
        <v>360</v>
      </c>
      <c r="J494">
        <f t="shared" si="265"/>
        <v>0</v>
      </c>
      <c r="K494">
        <f t="shared" si="273"/>
        <v>3</v>
      </c>
      <c r="L494">
        <f t="shared" si="252"/>
        <v>360</v>
      </c>
      <c r="M494">
        <f t="shared" si="266"/>
        <v>0</v>
      </c>
      <c r="N494">
        <f t="shared" si="274"/>
        <v>2</v>
      </c>
      <c r="O494">
        <f t="shared" si="253"/>
        <v>300</v>
      </c>
      <c r="P494">
        <f t="shared" si="275"/>
        <v>0</v>
      </c>
      <c r="Q494">
        <f t="shared" si="276"/>
        <v>2</v>
      </c>
      <c r="R494">
        <f t="shared" si="254"/>
        <v>300</v>
      </c>
      <c r="S494">
        <f t="shared" si="277"/>
        <v>0</v>
      </c>
      <c r="T494">
        <f t="shared" si="278"/>
        <v>-1</v>
      </c>
      <c r="U494">
        <f t="shared" si="267"/>
        <v>1</v>
      </c>
      <c r="V494">
        <f t="shared" si="268"/>
        <v>1</v>
      </c>
      <c r="W494">
        <f t="shared" si="255"/>
        <v>0</v>
      </c>
      <c r="X494">
        <f t="shared" si="279"/>
        <v>0</v>
      </c>
      <c r="Y494">
        <f t="shared" si="256"/>
        <v>0</v>
      </c>
      <c r="Z494">
        <f t="shared" si="257"/>
        <v>0</v>
      </c>
      <c r="AA494">
        <f t="shared" si="258"/>
        <v>0</v>
      </c>
      <c r="AB494" s="29">
        <f t="shared" si="259"/>
        <v>0</v>
      </c>
      <c r="AC494" s="25">
        <f t="shared" si="269"/>
        <v>0</v>
      </c>
      <c r="AD494" s="29">
        <f t="shared" si="260"/>
        <v>0</v>
      </c>
      <c r="AE494" s="25">
        <f t="shared" si="270"/>
        <v>0</v>
      </c>
      <c r="AF494" s="25">
        <f t="shared" si="261"/>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2"/>
        <v>-1</v>
      </c>
      <c r="B495">
        <f t="shared" si="271"/>
        <v>6</v>
      </c>
      <c r="C495">
        <f t="shared" si="249"/>
        <v>300</v>
      </c>
      <c r="D495">
        <f t="shared" si="263"/>
        <v>0</v>
      </c>
      <c r="E495">
        <f t="shared" si="283"/>
        <v>5</v>
      </c>
      <c r="F495">
        <f t="shared" si="250"/>
        <v>360</v>
      </c>
      <c r="G495">
        <f t="shared" si="264"/>
        <v>0</v>
      </c>
      <c r="H495">
        <f t="shared" si="272"/>
        <v>4</v>
      </c>
      <c r="I495">
        <f t="shared" si="251"/>
        <v>360</v>
      </c>
      <c r="J495">
        <f t="shared" si="265"/>
        <v>0</v>
      </c>
      <c r="K495">
        <f t="shared" si="273"/>
        <v>3</v>
      </c>
      <c r="L495">
        <f t="shared" si="252"/>
        <v>360</v>
      </c>
      <c r="M495">
        <f t="shared" si="266"/>
        <v>0</v>
      </c>
      <c r="N495">
        <f t="shared" si="274"/>
        <v>2</v>
      </c>
      <c r="O495">
        <f t="shared" si="253"/>
        <v>300</v>
      </c>
      <c r="P495">
        <f t="shared" si="275"/>
        <v>0</v>
      </c>
      <c r="Q495">
        <f t="shared" si="276"/>
        <v>2</v>
      </c>
      <c r="R495">
        <f t="shared" si="254"/>
        <v>300</v>
      </c>
      <c r="S495">
        <f t="shared" si="277"/>
        <v>0</v>
      </c>
      <c r="T495">
        <f t="shared" si="278"/>
        <v>-1</v>
      </c>
      <c r="U495">
        <f t="shared" si="267"/>
        <v>1</v>
      </c>
      <c r="V495">
        <f t="shared" si="268"/>
        <v>1</v>
      </c>
      <c r="W495">
        <f t="shared" si="255"/>
        <v>0</v>
      </c>
      <c r="X495">
        <f t="shared" si="279"/>
        <v>0</v>
      </c>
      <c r="Y495">
        <f t="shared" si="256"/>
        <v>0</v>
      </c>
      <c r="Z495">
        <f t="shared" si="257"/>
        <v>0</v>
      </c>
      <c r="AA495">
        <f t="shared" si="258"/>
        <v>0</v>
      </c>
      <c r="AB495" s="29">
        <f t="shared" si="259"/>
        <v>0</v>
      </c>
      <c r="AC495" s="25">
        <f t="shared" si="269"/>
        <v>0</v>
      </c>
      <c r="AD495" s="29">
        <f t="shared" si="260"/>
        <v>0</v>
      </c>
      <c r="AE495" s="25">
        <f t="shared" si="270"/>
        <v>0</v>
      </c>
      <c r="AF495" s="25">
        <f t="shared" si="261"/>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2"/>
        <v>-1</v>
      </c>
      <c r="B496">
        <f t="shared" si="271"/>
        <v>6</v>
      </c>
      <c r="C496">
        <f t="shared" si="249"/>
        <v>300</v>
      </c>
      <c r="D496">
        <f t="shared" si="263"/>
        <v>0</v>
      </c>
      <c r="E496">
        <f t="shared" si="283"/>
        <v>5</v>
      </c>
      <c r="F496">
        <f t="shared" si="250"/>
        <v>360</v>
      </c>
      <c r="G496">
        <f t="shared" si="264"/>
        <v>0</v>
      </c>
      <c r="H496">
        <f t="shared" si="272"/>
        <v>4</v>
      </c>
      <c r="I496">
        <f t="shared" si="251"/>
        <v>360</v>
      </c>
      <c r="J496">
        <f t="shared" si="265"/>
        <v>0</v>
      </c>
      <c r="K496">
        <f t="shared" si="273"/>
        <v>3</v>
      </c>
      <c r="L496">
        <f t="shared" si="252"/>
        <v>360</v>
      </c>
      <c r="M496">
        <f t="shared" si="266"/>
        <v>0</v>
      </c>
      <c r="N496">
        <f t="shared" si="274"/>
        <v>2</v>
      </c>
      <c r="O496">
        <f t="shared" si="253"/>
        <v>300</v>
      </c>
      <c r="P496">
        <f t="shared" si="275"/>
        <v>0</v>
      </c>
      <c r="Q496">
        <f t="shared" si="276"/>
        <v>2</v>
      </c>
      <c r="R496">
        <f t="shared" si="254"/>
        <v>300</v>
      </c>
      <c r="S496">
        <f t="shared" si="277"/>
        <v>0</v>
      </c>
      <c r="T496">
        <f t="shared" si="278"/>
        <v>-1</v>
      </c>
      <c r="U496">
        <f t="shared" si="267"/>
        <v>1</v>
      </c>
      <c r="V496">
        <f t="shared" si="268"/>
        <v>1</v>
      </c>
      <c r="W496">
        <f t="shared" si="255"/>
        <v>0</v>
      </c>
      <c r="X496">
        <f t="shared" si="279"/>
        <v>0</v>
      </c>
      <c r="Y496">
        <f t="shared" si="256"/>
        <v>0</v>
      </c>
      <c r="Z496">
        <f t="shared" si="257"/>
        <v>0</v>
      </c>
      <c r="AA496">
        <f t="shared" si="258"/>
        <v>0</v>
      </c>
      <c r="AB496" s="29">
        <f t="shared" si="259"/>
        <v>0</v>
      </c>
      <c r="AC496" s="25">
        <f t="shared" si="269"/>
        <v>0</v>
      </c>
      <c r="AD496" s="29">
        <f t="shared" si="260"/>
        <v>0</v>
      </c>
      <c r="AE496" s="25">
        <f t="shared" si="270"/>
        <v>0</v>
      </c>
      <c r="AF496" s="25">
        <f t="shared" si="261"/>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2"/>
        <v>-1</v>
      </c>
      <c r="B497">
        <f t="shared" si="271"/>
        <v>6</v>
      </c>
      <c r="C497">
        <f t="shared" si="249"/>
        <v>300</v>
      </c>
      <c r="D497">
        <f t="shared" si="263"/>
        <v>0</v>
      </c>
      <c r="E497">
        <f t="shared" si="283"/>
        <v>5</v>
      </c>
      <c r="F497">
        <f t="shared" si="250"/>
        <v>360</v>
      </c>
      <c r="G497">
        <f t="shared" si="264"/>
        <v>0</v>
      </c>
      <c r="H497">
        <f t="shared" si="272"/>
        <v>4</v>
      </c>
      <c r="I497">
        <f t="shared" si="251"/>
        <v>360</v>
      </c>
      <c r="J497">
        <f t="shared" si="265"/>
        <v>0</v>
      </c>
      <c r="K497">
        <f t="shared" si="273"/>
        <v>3</v>
      </c>
      <c r="L497">
        <f t="shared" si="252"/>
        <v>360</v>
      </c>
      <c r="M497">
        <f t="shared" si="266"/>
        <v>0</v>
      </c>
      <c r="N497">
        <f t="shared" si="274"/>
        <v>2</v>
      </c>
      <c r="O497">
        <f t="shared" si="253"/>
        <v>300</v>
      </c>
      <c r="P497">
        <f t="shared" si="275"/>
        <v>0</v>
      </c>
      <c r="Q497">
        <f t="shared" si="276"/>
        <v>2</v>
      </c>
      <c r="R497">
        <f t="shared" si="254"/>
        <v>300</v>
      </c>
      <c r="S497">
        <f t="shared" si="277"/>
        <v>0</v>
      </c>
      <c r="T497">
        <f t="shared" si="278"/>
        <v>-1</v>
      </c>
      <c r="U497">
        <f t="shared" si="267"/>
        <v>1</v>
      </c>
      <c r="V497">
        <f t="shared" si="268"/>
        <v>1</v>
      </c>
      <c r="W497">
        <f t="shared" si="255"/>
        <v>0</v>
      </c>
      <c r="X497">
        <f t="shared" si="279"/>
        <v>0</v>
      </c>
      <c r="Y497">
        <f t="shared" si="256"/>
        <v>0</v>
      </c>
      <c r="Z497">
        <f t="shared" si="257"/>
        <v>0</v>
      </c>
      <c r="AA497">
        <f t="shared" si="258"/>
        <v>0</v>
      </c>
      <c r="AB497" s="29">
        <f t="shared" si="259"/>
        <v>0</v>
      </c>
      <c r="AC497" s="25">
        <f t="shared" si="269"/>
        <v>0</v>
      </c>
      <c r="AD497" s="29">
        <f t="shared" si="260"/>
        <v>0</v>
      </c>
      <c r="AE497" s="25">
        <f t="shared" si="270"/>
        <v>0</v>
      </c>
      <c r="AF497" s="25">
        <f t="shared" si="261"/>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2"/>
        <v>-1</v>
      </c>
      <c r="B498">
        <f t="shared" si="271"/>
        <v>6</v>
      </c>
      <c r="C498">
        <f t="shared" si="249"/>
        <v>300</v>
      </c>
      <c r="D498">
        <f t="shared" si="263"/>
        <v>0</v>
      </c>
      <c r="E498">
        <f t="shared" si="283"/>
        <v>5</v>
      </c>
      <c r="F498">
        <f t="shared" si="250"/>
        <v>360</v>
      </c>
      <c r="G498">
        <f t="shared" si="264"/>
        <v>0</v>
      </c>
      <c r="H498">
        <f t="shared" si="272"/>
        <v>4</v>
      </c>
      <c r="I498">
        <f t="shared" si="251"/>
        <v>360</v>
      </c>
      <c r="J498">
        <f t="shared" si="265"/>
        <v>0</v>
      </c>
      <c r="K498">
        <f t="shared" si="273"/>
        <v>3</v>
      </c>
      <c r="L498">
        <f t="shared" si="252"/>
        <v>360</v>
      </c>
      <c r="M498">
        <f t="shared" si="266"/>
        <v>0</v>
      </c>
      <c r="N498">
        <f t="shared" si="274"/>
        <v>2</v>
      </c>
      <c r="O498">
        <f t="shared" si="253"/>
        <v>300</v>
      </c>
      <c r="P498">
        <f t="shared" si="275"/>
        <v>0</v>
      </c>
      <c r="Q498">
        <f t="shared" si="276"/>
        <v>2</v>
      </c>
      <c r="R498">
        <f t="shared" si="254"/>
        <v>300</v>
      </c>
      <c r="S498">
        <f t="shared" si="277"/>
        <v>0</v>
      </c>
      <c r="T498">
        <f t="shared" si="278"/>
        <v>-1</v>
      </c>
      <c r="U498">
        <f t="shared" si="267"/>
        <v>1</v>
      </c>
      <c r="V498">
        <f t="shared" si="268"/>
        <v>1</v>
      </c>
      <c r="W498">
        <f t="shared" si="255"/>
        <v>0</v>
      </c>
      <c r="X498">
        <f t="shared" si="279"/>
        <v>0</v>
      </c>
      <c r="Y498">
        <f t="shared" si="256"/>
        <v>0</v>
      </c>
      <c r="Z498">
        <f t="shared" si="257"/>
        <v>0</v>
      </c>
      <c r="AA498">
        <f t="shared" si="258"/>
        <v>0</v>
      </c>
      <c r="AB498" s="29">
        <f t="shared" si="259"/>
        <v>0</v>
      </c>
      <c r="AC498" s="25">
        <f t="shared" si="269"/>
        <v>0</v>
      </c>
      <c r="AD498" s="29">
        <f t="shared" si="260"/>
        <v>0</v>
      </c>
      <c r="AE498" s="25">
        <f t="shared" si="270"/>
        <v>0</v>
      </c>
      <c r="AF498" s="25">
        <f t="shared" si="261"/>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2"/>
        <v>-1</v>
      </c>
      <c r="B499">
        <f t="shared" si="271"/>
        <v>6</v>
      </c>
      <c r="C499">
        <f t="shared" si="249"/>
        <v>300</v>
      </c>
      <c r="D499">
        <f t="shared" si="263"/>
        <v>0</v>
      </c>
      <c r="E499">
        <f t="shared" si="283"/>
        <v>5</v>
      </c>
      <c r="F499">
        <f t="shared" si="250"/>
        <v>360</v>
      </c>
      <c r="G499">
        <f t="shared" si="264"/>
        <v>0</v>
      </c>
      <c r="H499">
        <f t="shared" si="272"/>
        <v>4</v>
      </c>
      <c r="I499">
        <f t="shared" si="251"/>
        <v>360</v>
      </c>
      <c r="J499">
        <f t="shared" si="265"/>
        <v>0</v>
      </c>
      <c r="K499">
        <f t="shared" si="273"/>
        <v>3</v>
      </c>
      <c r="L499">
        <f t="shared" si="252"/>
        <v>360</v>
      </c>
      <c r="M499">
        <f t="shared" si="266"/>
        <v>0</v>
      </c>
      <c r="N499">
        <f t="shared" si="274"/>
        <v>2</v>
      </c>
      <c r="O499">
        <f t="shared" si="253"/>
        <v>300</v>
      </c>
      <c r="P499">
        <f t="shared" si="275"/>
        <v>0</v>
      </c>
      <c r="Q499">
        <f t="shared" si="276"/>
        <v>2</v>
      </c>
      <c r="R499">
        <f t="shared" si="254"/>
        <v>300</v>
      </c>
      <c r="S499">
        <f t="shared" si="277"/>
        <v>0</v>
      </c>
      <c r="T499">
        <f t="shared" si="278"/>
        <v>-1</v>
      </c>
      <c r="U499">
        <f t="shared" si="267"/>
        <v>1</v>
      </c>
      <c r="V499">
        <f t="shared" si="268"/>
        <v>1</v>
      </c>
      <c r="W499">
        <f t="shared" si="255"/>
        <v>0</v>
      </c>
      <c r="X499">
        <f t="shared" si="279"/>
        <v>0</v>
      </c>
      <c r="Y499">
        <f t="shared" si="256"/>
        <v>0</v>
      </c>
      <c r="Z499">
        <f t="shared" si="257"/>
        <v>0</v>
      </c>
      <c r="AA499">
        <f t="shared" si="258"/>
        <v>0</v>
      </c>
      <c r="AB499" s="29">
        <f t="shared" si="259"/>
        <v>0</v>
      </c>
      <c r="AC499" s="25">
        <f t="shared" si="269"/>
        <v>0</v>
      </c>
      <c r="AD499" s="29">
        <f t="shared" si="260"/>
        <v>0</v>
      </c>
      <c r="AE499" s="25">
        <f t="shared" si="270"/>
        <v>0</v>
      </c>
      <c r="AF499" s="25">
        <f t="shared" si="261"/>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2"/>
        <v>-1</v>
      </c>
      <c r="B500">
        <f t="shared" si="271"/>
        <v>6</v>
      </c>
      <c r="C500">
        <f t="shared" si="249"/>
        <v>300</v>
      </c>
      <c r="D500">
        <f t="shared" si="263"/>
        <v>0</v>
      </c>
      <c r="E500">
        <f t="shared" si="283"/>
        <v>5</v>
      </c>
      <c r="F500">
        <f t="shared" si="250"/>
        <v>360</v>
      </c>
      <c r="G500">
        <f t="shared" si="264"/>
        <v>0</v>
      </c>
      <c r="H500">
        <f t="shared" si="272"/>
        <v>4</v>
      </c>
      <c r="I500">
        <f t="shared" si="251"/>
        <v>360</v>
      </c>
      <c r="J500">
        <f t="shared" si="265"/>
        <v>0</v>
      </c>
      <c r="K500">
        <f t="shared" si="273"/>
        <v>3</v>
      </c>
      <c r="L500">
        <f t="shared" si="252"/>
        <v>360</v>
      </c>
      <c r="M500">
        <f t="shared" si="266"/>
        <v>0</v>
      </c>
      <c r="N500">
        <f t="shared" si="274"/>
        <v>2</v>
      </c>
      <c r="O500">
        <f t="shared" si="253"/>
        <v>300</v>
      </c>
      <c r="P500">
        <f t="shared" si="275"/>
        <v>0</v>
      </c>
      <c r="Q500">
        <f t="shared" si="276"/>
        <v>2</v>
      </c>
      <c r="R500">
        <f t="shared" si="254"/>
        <v>300</v>
      </c>
      <c r="S500">
        <f t="shared" si="277"/>
        <v>0</v>
      </c>
      <c r="T500">
        <f t="shared" si="278"/>
        <v>-1</v>
      </c>
      <c r="U500">
        <f t="shared" si="267"/>
        <v>1</v>
      </c>
      <c r="V500">
        <f t="shared" si="268"/>
        <v>1</v>
      </c>
      <c r="W500">
        <f t="shared" si="255"/>
        <v>0</v>
      </c>
      <c r="X500">
        <f t="shared" si="279"/>
        <v>0</v>
      </c>
      <c r="Y500">
        <f t="shared" si="256"/>
        <v>0</v>
      </c>
      <c r="Z500">
        <f t="shared" si="257"/>
        <v>0</v>
      </c>
      <c r="AA500">
        <f t="shared" si="258"/>
        <v>0</v>
      </c>
      <c r="AB500" s="29">
        <f t="shared" si="259"/>
        <v>0</v>
      </c>
      <c r="AC500" s="25">
        <f t="shared" si="269"/>
        <v>0</v>
      </c>
      <c r="AD500" s="29">
        <f t="shared" si="260"/>
        <v>0</v>
      </c>
      <c r="AE500" s="25">
        <f t="shared" si="270"/>
        <v>0</v>
      </c>
      <c r="AF500" s="25">
        <f t="shared" si="261"/>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2"/>
        <v>-1</v>
      </c>
      <c r="B501">
        <f t="shared" si="271"/>
        <v>6</v>
      </c>
      <c r="C501">
        <f t="shared" si="249"/>
        <v>300</v>
      </c>
      <c r="D501">
        <f t="shared" si="263"/>
        <v>0</v>
      </c>
      <c r="E501">
        <f t="shared" si="283"/>
        <v>5</v>
      </c>
      <c r="F501">
        <f t="shared" si="250"/>
        <v>360</v>
      </c>
      <c r="G501">
        <f t="shared" si="264"/>
        <v>0</v>
      </c>
      <c r="H501">
        <f t="shared" si="272"/>
        <v>4</v>
      </c>
      <c r="I501">
        <f t="shared" si="251"/>
        <v>360</v>
      </c>
      <c r="J501">
        <f t="shared" si="265"/>
        <v>0</v>
      </c>
      <c r="K501">
        <f t="shared" si="273"/>
        <v>3</v>
      </c>
      <c r="L501">
        <f t="shared" si="252"/>
        <v>360</v>
      </c>
      <c r="M501">
        <f t="shared" si="266"/>
        <v>0</v>
      </c>
      <c r="N501">
        <f t="shared" si="274"/>
        <v>2</v>
      </c>
      <c r="O501">
        <f t="shared" si="253"/>
        <v>300</v>
      </c>
      <c r="P501">
        <f t="shared" si="275"/>
        <v>0</v>
      </c>
      <c r="Q501">
        <f t="shared" si="276"/>
        <v>2</v>
      </c>
      <c r="R501">
        <f t="shared" si="254"/>
        <v>300</v>
      </c>
      <c r="S501">
        <f t="shared" si="277"/>
        <v>0</v>
      </c>
      <c r="T501">
        <f t="shared" si="278"/>
        <v>-1</v>
      </c>
      <c r="U501">
        <f t="shared" si="267"/>
        <v>1</v>
      </c>
      <c r="V501">
        <f t="shared" si="268"/>
        <v>1</v>
      </c>
      <c r="W501">
        <f t="shared" si="255"/>
        <v>0</v>
      </c>
      <c r="X501">
        <f t="shared" si="279"/>
        <v>0</v>
      </c>
      <c r="Y501">
        <f t="shared" si="256"/>
        <v>0</v>
      </c>
      <c r="Z501">
        <f t="shared" si="257"/>
        <v>0</v>
      </c>
      <c r="AA501">
        <f t="shared" si="258"/>
        <v>0</v>
      </c>
      <c r="AB501" s="29">
        <f t="shared" si="259"/>
        <v>0</v>
      </c>
      <c r="AC501" s="25">
        <f t="shared" si="269"/>
        <v>0</v>
      </c>
      <c r="AD501" s="29">
        <f t="shared" si="260"/>
        <v>0</v>
      </c>
      <c r="AE501" s="25">
        <f t="shared" si="270"/>
        <v>0</v>
      </c>
      <c r="AF501" s="25">
        <f t="shared" si="261"/>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2"/>
        <v>-1</v>
      </c>
      <c r="B502">
        <f t="shared" si="271"/>
        <v>6</v>
      </c>
      <c r="C502">
        <f t="shared" si="249"/>
        <v>300</v>
      </c>
      <c r="D502">
        <f t="shared" si="263"/>
        <v>0</v>
      </c>
      <c r="E502">
        <f t="shared" si="283"/>
        <v>5</v>
      </c>
      <c r="F502">
        <f t="shared" si="250"/>
        <v>360</v>
      </c>
      <c r="G502">
        <f t="shared" si="264"/>
        <v>0</v>
      </c>
      <c r="H502">
        <f t="shared" si="272"/>
        <v>4</v>
      </c>
      <c r="I502">
        <f t="shared" si="251"/>
        <v>360</v>
      </c>
      <c r="J502">
        <f t="shared" si="265"/>
        <v>0</v>
      </c>
      <c r="K502">
        <f t="shared" si="273"/>
        <v>3</v>
      </c>
      <c r="L502">
        <f t="shared" si="252"/>
        <v>360</v>
      </c>
      <c r="M502">
        <f t="shared" si="266"/>
        <v>0</v>
      </c>
      <c r="N502">
        <f t="shared" si="274"/>
        <v>2</v>
      </c>
      <c r="O502">
        <f t="shared" si="253"/>
        <v>300</v>
      </c>
      <c r="P502">
        <f t="shared" si="275"/>
        <v>0</v>
      </c>
      <c r="Q502">
        <f t="shared" si="276"/>
        <v>2</v>
      </c>
      <c r="R502">
        <f t="shared" si="254"/>
        <v>300</v>
      </c>
      <c r="S502">
        <f t="shared" si="277"/>
        <v>0</v>
      </c>
      <c r="T502">
        <f t="shared" si="278"/>
        <v>-1</v>
      </c>
      <c r="U502">
        <f t="shared" si="267"/>
        <v>1</v>
      </c>
      <c r="V502">
        <f t="shared" si="268"/>
        <v>1</v>
      </c>
      <c r="W502">
        <f t="shared" si="255"/>
        <v>0</v>
      </c>
      <c r="X502">
        <f t="shared" si="279"/>
        <v>0</v>
      </c>
      <c r="Y502">
        <f t="shared" si="256"/>
        <v>0</v>
      </c>
      <c r="Z502">
        <f t="shared" si="257"/>
        <v>0</v>
      </c>
      <c r="AA502">
        <f t="shared" si="258"/>
        <v>0</v>
      </c>
      <c r="AB502" s="29">
        <f t="shared" si="259"/>
        <v>0</v>
      </c>
      <c r="AC502" s="25">
        <f t="shared" si="269"/>
        <v>0</v>
      </c>
      <c r="AD502" s="29">
        <f t="shared" si="260"/>
        <v>0</v>
      </c>
      <c r="AE502" s="25">
        <f t="shared" si="270"/>
        <v>0</v>
      </c>
      <c r="AF502" s="25">
        <f t="shared" si="261"/>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2"/>
        <v>-1</v>
      </c>
      <c r="B503">
        <f t="shared" si="271"/>
        <v>6</v>
      </c>
      <c r="C503">
        <f t="shared" si="249"/>
        <v>300</v>
      </c>
      <c r="D503">
        <f t="shared" si="263"/>
        <v>0</v>
      </c>
      <c r="E503">
        <f t="shared" si="283"/>
        <v>5</v>
      </c>
      <c r="F503">
        <f t="shared" si="250"/>
        <v>360</v>
      </c>
      <c r="G503">
        <f t="shared" si="264"/>
        <v>0</v>
      </c>
      <c r="H503">
        <f t="shared" si="272"/>
        <v>4</v>
      </c>
      <c r="I503">
        <f t="shared" si="251"/>
        <v>360</v>
      </c>
      <c r="J503">
        <f t="shared" si="265"/>
        <v>0</v>
      </c>
      <c r="K503">
        <f t="shared" si="273"/>
        <v>3</v>
      </c>
      <c r="L503">
        <f t="shared" si="252"/>
        <v>360</v>
      </c>
      <c r="M503">
        <f t="shared" si="266"/>
        <v>0</v>
      </c>
      <c r="N503">
        <f t="shared" si="274"/>
        <v>2</v>
      </c>
      <c r="O503">
        <f t="shared" si="253"/>
        <v>300</v>
      </c>
      <c r="P503">
        <f t="shared" si="275"/>
        <v>0</v>
      </c>
      <c r="Q503">
        <f t="shared" si="276"/>
        <v>2</v>
      </c>
      <c r="R503">
        <f t="shared" si="254"/>
        <v>300</v>
      </c>
      <c r="S503">
        <f t="shared" si="277"/>
        <v>0</v>
      </c>
      <c r="T503">
        <f t="shared" si="278"/>
        <v>-1</v>
      </c>
      <c r="U503">
        <f t="shared" si="267"/>
        <v>1</v>
      </c>
      <c r="V503">
        <f t="shared" si="268"/>
        <v>1</v>
      </c>
      <c r="W503">
        <f t="shared" si="255"/>
        <v>0</v>
      </c>
      <c r="X503">
        <f t="shared" si="279"/>
        <v>0</v>
      </c>
      <c r="Y503">
        <f t="shared" si="256"/>
        <v>0</v>
      </c>
      <c r="Z503">
        <f t="shared" si="257"/>
        <v>0</v>
      </c>
      <c r="AA503">
        <f t="shared" si="258"/>
        <v>0</v>
      </c>
      <c r="AB503" s="29">
        <f t="shared" si="259"/>
        <v>0</v>
      </c>
      <c r="AC503" s="25">
        <f t="shared" si="269"/>
        <v>0</v>
      </c>
      <c r="AD503" s="29">
        <f t="shared" si="260"/>
        <v>0</v>
      </c>
      <c r="AE503" s="25">
        <f t="shared" si="270"/>
        <v>0</v>
      </c>
      <c r="AF503" s="25">
        <f t="shared" si="261"/>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2"/>
        <v>-1</v>
      </c>
      <c r="B504">
        <f t="shared" si="271"/>
        <v>6</v>
      </c>
      <c r="C504">
        <f t="shared" si="249"/>
        <v>300</v>
      </c>
      <c r="D504">
        <f t="shared" si="263"/>
        <v>0</v>
      </c>
      <c r="E504">
        <f t="shared" si="283"/>
        <v>5</v>
      </c>
      <c r="F504">
        <f t="shared" si="250"/>
        <v>360</v>
      </c>
      <c r="G504">
        <f t="shared" si="264"/>
        <v>0</v>
      </c>
      <c r="H504">
        <f t="shared" si="272"/>
        <v>4</v>
      </c>
      <c r="I504">
        <f t="shared" si="251"/>
        <v>360</v>
      </c>
      <c r="J504">
        <f t="shared" si="265"/>
        <v>0</v>
      </c>
      <c r="K504">
        <f t="shared" si="273"/>
        <v>3</v>
      </c>
      <c r="L504">
        <f t="shared" si="252"/>
        <v>360</v>
      </c>
      <c r="M504">
        <f t="shared" si="266"/>
        <v>0</v>
      </c>
      <c r="N504">
        <f t="shared" si="274"/>
        <v>2</v>
      </c>
      <c r="O504">
        <f t="shared" si="253"/>
        <v>300</v>
      </c>
      <c r="P504">
        <f t="shared" si="275"/>
        <v>0</v>
      </c>
      <c r="Q504">
        <f t="shared" si="276"/>
        <v>2</v>
      </c>
      <c r="R504">
        <f t="shared" si="254"/>
        <v>300</v>
      </c>
      <c r="S504">
        <f t="shared" si="277"/>
        <v>0</v>
      </c>
      <c r="T504">
        <f t="shared" si="278"/>
        <v>-1</v>
      </c>
      <c r="U504">
        <f t="shared" si="267"/>
        <v>1</v>
      </c>
      <c r="V504">
        <f t="shared" si="268"/>
        <v>1</v>
      </c>
      <c r="W504">
        <f t="shared" si="255"/>
        <v>0</v>
      </c>
      <c r="X504">
        <f t="shared" si="279"/>
        <v>0</v>
      </c>
      <c r="Y504">
        <f t="shared" si="256"/>
        <v>0</v>
      </c>
      <c r="Z504">
        <f t="shared" si="257"/>
        <v>0</v>
      </c>
      <c r="AA504">
        <f t="shared" si="258"/>
        <v>0</v>
      </c>
      <c r="AB504" s="29">
        <f t="shared" si="259"/>
        <v>0</v>
      </c>
      <c r="AC504" s="25">
        <f t="shared" si="269"/>
        <v>0</v>
      </c>
      <c r="AD504" s="29">
        <f t="shared" si="260"/>
        <v>0</v>
      </c>
      <c r="AE504" s="25">
        <f t="shared" si="270"/>
        <v>0</v>
      </c>
      <c r="AF504" s="25">
        <f t="shared" si="261"/>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2"/>
        <v>-1</v>
      </c>
      <c r="B505">
        <f t="shared" si="271"/>
        <v>6</v>
      </c>
      <c r="C505">
        <f t="shared" si="249"/>
        <v>300</v>
      </c>
      <c r="D505">
        <f t="shared" si="263"/>
        <v>0</v>
      </c>
      <c r="E505">
        <f t="shared" si="283"/>
        <v>5</v>
      </c>
      <c r="F505">
        <f t="shared" si="250"/>
        <v>360</v>
      </c>
      <c r="G505">
        <f t="shared" si="264"/>
        <v>0</v>
      </c>
      <c r="H505">
        <f t="shared" si="272"/>
        <v>4</v>
      </c>
      <c r="I505">
        <f t="shared" si="251"/>
        <v>360</v>
      </c>
      <c r="J505">
        <f t="shared" si="265"/>
        <v>0</v>
      </c>
      <c r="K505">
        <f t="shared" si="273"/>
        <v>3</v>
      </c>
      <c r="L505">
        <f t="shared" si="252"/>
        <v>360</v>
      </c>
      <c r="M505">
        <f t="shared" si="266"/>
        <v>0</v>
      </c>
      <c r="N505">
        <f t="shared" si="274"/>
        <v>2</v>
      </c>
      <c r="O505">
        <f t="shared" si="253"/>
        <v>300</v>
      </c>
      <c r="P505">
        <f t="shared" si="275"/>
        <v>0</v>
      </c>
      <c r="Q505">
        <f t="shared" si="276"/>
        <v>2</v>
      </c>
      <c r="R505">
        <f t="shared" si="254"/>
        <v>300</v>
      </c>
      <c r="S505">
        <f t="shared" si="277"/>
        <v>0</v>
      </c>
      <c r="T505">
        <f t="shared" si="278"/>
        <v>-1</v>
      </c>
      <c r="U505">
        <f t="shared" si="267"/>
        <v>1</v>
      </c>
      <c r="V505">
        <f t="shared" si="268"/>
        <v>1</v>
      </c>
      <c r="W505">
        <f t="shared" si="255"/>
        <v>0</v>
      </c>
      <c r="X505">
        <f t="shared" si="279"/>
        <v>0</v>
      </c>
      <c r="Y505">
        <f t="shared" si="256"/>
        <v>0</v>
      </c>
      <c r="Z505">
        <f t="shared" si="257"/>
        <v>0</v>
      </c>
      <c r="AA505">
        <f t="shared" si="258"/>
        <v>0</v>
      </c>
      <c r="AB505" s="29">
        <f t="shared" si="259"/>
        <v>0</v>
      </c>
      <c r="AC505" s="25">
        <f t="shared" si="269"/>
        <v>0</v>
      </c>
      <c r="AD505" s="29">
        <f t="shared" si="260"/>
        <v>0</v>
      </c>
      <c r="AE505" s="25">
        <f t="shared" si="270"/>
        <v>0</v>
      </c>
      <c r="AF505" s="25">
        <f t="shared" si="261"/>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2"/>
        <v>-1</v>
      </c>
      <c r="B506">
        <f t="shared" si="271"/>
        <v>6</v>
      </c>
      <c r="C506">
        <f t="shared" si="249"/>
        <v>300</v>
      </c>
      <c r="D506">
        <f t="shared" si="263"/>
        <v>0</v>
      </c>
      <c r="E506">
        <f t="shared" si="283"/>
        <v>5</v>
      </c>
      <c r="F506">
        <f t="shared" si="250"/>
        <v>360</v>
      </c>
      <c r="G506">
        <f t="shared" si="264"/>
        <v>0</v>
      </c>
      <c r="H506">
        <f t="shared" si="272"/>
        <v>4</v>
      </c>
      <c r="I506">
        <f t="shared" si="251"/>
        <v>360</v>
      </c>
      <c r="J506">
        <f t="shared" si="265"/>
        <v>0</v>
      </c>
      <c r="K506">
        <f t="shared" si="273"/>
        <v>3</v>
      </c>
      <c r="L506">
        <f t="shared" si="252"/>
        <v>360</v>
      </c>
      <c r="M506">
        <f t="shared" si="266"/>
        <v>0</v>
      </c>
      <c r="N506">
        <f t="shared" si="274"/>
        <v>2</v>
      </c>
      <c r="O506">
        <f t="shared" si="253"/>
        <v>300</v>
      </c>
      <c r="P506">
        <f t="shared" si="275"/>
        <v>0</v>
      </c>
      <c r="Q506">
        <f t="shared" si="276"/>
        <v>2</v>
      </c>
      <c r="R506">
        <f t="shared" si="254"/>
        <v>300</v>
      </c>
      <c r="S506">
        <f t="shared" si="277"/>
        <v>0</v>
      </c>
      <c r="T506">
        <f t="shared" si="278"/>
        <v>-1</v>
      </c>
      <c r="U506">
        <f t="shared" si="267"/>
        <v>1</v>
      </c>
      <c r="V506">
        <f t="shared" si="268"/>
        <v>1</v>
      </c>
      <c r="W506">
        <f t="shared" si="255"/>
        <v>0</v>
      </c>
      <c r="X506">
        <f t="shared" si="279"/>
        <v>0</v>
      </c>
      <c r="Y506">
        <f t="shared" si="256"/>
        <v>0</v>
      </c>
      <c r="Z506">
        <f t="shared" si="257"/>
        <v>0</v>
      </c>
      <c r="AA506">
        <f t="shared" si="258"/>
        <v>0</v>
      </c>
      <c r="AB506" s="29">
        <f t="shared" si="259"/>
        <v>0</v>
      </c>
      <c r="AC506" s="25">
        <f t="shared" si="269"/>
        <v>0</v>
      </c>
      <c r="AD506" s="29">
        <f t="shared" si="260"/>
        <v>0</v>
      </c>
      <c r="AE506" s="25">
        <f t="shared" si="270"/>
        <v>0</v>
      </c>
      <c r="AF506" s="25">
        <f t="shared" si="261"/>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2"/>
        <v>-1</v>
      </c>
      <c r="B507">
        <f t="shared" si="271"/>
        <v>6</v>
      </c>
      <c r="C507">
        <f t="shared" si="249"/>
        <v>300</v>
      </c>
      <c r="D507">
        <f t="shared" si="263"/>
        <v>0</v>
      </c>
      <c r="E507">
        <f t="shared" si="283"/>
        <v>5</v>
      </c>
      <c r="F507">
        <f t="shared" si="250"/>
        <v>360</v>
      </c>
      <c r="G507">
        <f t="shared" si="264"/>
        <v>0</v>
      </c>
      <c r="H507">
        <f t="shared" si="272"/>
        <v>4</v>
      </c>
      <c r="I507">
        <f t="shared" si="251"/>
        <v>360</v>
      </c>
      <c r="J507">
        <f t="shared" si="265"/>
        <v>0</v>
      </c>
      <c r="K507">
        <f t="shared" si="273"/>
        <v>3</v>
      </c>
      <c r="L507">
        <f t="shared" si="252"/>
        <v>360</v>
      </c>
      <c r="M507">
        <f t="shared" si="266"/>
        <v>0</v>
      </c>
      <c r="N507">
        <f t="shared" si="274"/>
        <v>2</v>
      </c>
      <c r="O507">
        <f t="shared" si="253"/>
        <v>300</v>
      </c>
      <c r="P507">
        <f t="shared" si="275"/>
        <v>0</v>
      </c>
      <c r="Q507">
        <f t="shared" si="276"/>
        <v>2</v>
      </c>
      <c r="R507">
        <f t="shared" si="254"/>
        <v>300</v>
      </c>
      <c r="S507">
        <f t="shared" si="277"/>
        <v>0</v>
      </c>
      <c r="T507">
        <f t="shared" si="278"/>
        <v>-1</v>
      </c>
      <c r="U507">
        <f t="shared" si="267"/>
        <v>1</v>
      </c>
      <c r="V507">
        <f t="shared" si="268"/>
        <v>1</v>
      </c>
      <c r="W507">
        <f t="shared" si="255"/>
        <v>0</v>
      </c>
      <c r="X507">
        <f t="shared" si="279"/>
        <v>0</v>
      </c>
      <c r="Y507">
        <f t="shared" si="256"/>
        <v>0</v>
      </c>
      <c r="Z507">
        <f t="shared" si="257"/>
        <v>0</v>
      </c>
      <c r="AA507">
        <f t="shared" si="258"/>
        <v>0</v>
      </c>
      <c r="AB507" s="29">
        <f t="shared" si="259"/>
        <v>0</v>
      </c>
      <c r="AC507" s="25">
        <f t="shared" si="269"/>
        <v>0</v>
      </c>
      <c r="AD507" s="29">
        <f t="shared" si="260"/>
        <v>0</v>
      </c>
      <c r="AE507" s="25">
        <f t="shared" si="270"/>
        <v>0</v>
      </c>
      <c r="AF507" s="25">
        <f t="shared" si="261"/>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2"/>
        <v>-1</v>
      </c>
      <c r="B508">
        <f t="shared" si="271"/>
        <v>6</v>
      </c>
      <c r="C508">
        <f t="shared" si="249"/>
        <v>300</v>
      </c>
      <c r="D508">
        <f t="shared" si="263"/>
        <v>0</v>
      </c>
      <c r="E508">
        <f t="shared" si="283"/>
        <v>5</v>
      </c>
      <c r="F508">
        <f t="shared" si="250"/>
        <v>360</v>
      </c>
      <c r="G508">
        <f t="shared" si="264"/>
        <v>0</v>
      </c>
      <c r="H508">
        <f t="shared" si="272"/>
        <v>4</v>
      </c>
      <c r="I508">
        <f t="shared" si="251"/>
        <v>360</v>
      </c>
      <c r="J508">
        <f t="shared" si="265"/>
        <v>0</v>
      </c>
      <c r="K508">
        <f t="shared" si="273"/>
        <v>3</v>
      </c>
      <c r="L508">
        <f t="shared" si="252"/>
        <v>360</v>
      </c>
      <c r="M508">
        <f t="shared" si="266"/>
        <v>0</v>
      </c>
      <c r="N508">
        <f t="shared" si="274"/>
        <v>2</v>
      </c>
      <c r="O508">
        <f t="shared" si="253"/>
        <v>300</v>
      </c>
      <c r="P508">
        <f t="shared" si="275"/>
        <v>0</v>
      </c>
      <c r="Q508">
        <f t="shared" si="276"/>
        <v>2</v>
      </c>
      <c r="R508">
        <f t="shared" si="254"/>
        <v>300</v>
      </c>
      <c r="S508">
        <f t="shared" si="277"/>
        <v>0</v>
      </c>
      <c r="T508">
        <f t="shared" si="278"/>
        <v>-1</v>
      </c>
      <c r="U508">
        <f t="shared" si="267"/>
        <v>1</v>
      </c>
      <c r="V508">
        <f t="shared" si="268"/>
        <v>1</v>
      </c>
      <c r="W508">
        <f t="shared" si="255"/>
        <v>0</v>
      </c>
      <c r="X508">
        <f t="shared" si="279"/>
        <v>0</v>
      </c>
      <c r="Y508">
        <f t="shared" si="256"/>
        <v>0</v>
      </c>
      <c r="Z508">
        <f t="shared" si="257"/>
        <v>0</v>
      </c>
      <c r="AA508">
        <f t="shared" si="258"/>
        <v>0</v>
      </c>
      <c r="AB508" s="29">
        <f t="shared" si="259"/>
        <v>0</v>
      </c>
      <c r="AC508" s="25">
        <f t="shared" si="269"/>
        <v>0</v>
      </c>
      <c r="AD508" s="29">
        <f t="shared" si="260"/>
        <v>0</v>
      </c>
      <c r="AE508" s="25">
        <f t="shared" si="270"/>
        <v>0</v>
      </c>
      <c r="AF508" s="25">
        <f t="shared" si="261"/>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2"/>
        <v>-1</v>
      </c>
      <c r="B509">
        <f t="shared" si="271"/>
        <v>6</v>
      </c>
      <c r="C509">
        <f t="shared" si="249"/>
        <v>300</v>
      </c>
      <c r="D509">
        <f t="shared" si="263"/>
        <v>0</v>
      </c>
      <c r="E509">
        <f t="shared" si="283"/>
        <v>5</v>
      </c>
      <c r="F509">
        <f t="shared" si="250"/>
        <v>360</v>
      </c>
      <c r="G509">
        <f t="shared" si="264"/>
        <v>0</v>
      </c>
      <c r="H509">
        <f t="shared" si="272"/>
        <v>4</v>
      </c>
      <c r="I509">
        <f t="shared" si="251"/>
        <v>360</v>
      </c>
      <c r="J509">
        <f t="shared" si="265"/>
        <v>0</v>
      </c>
      <c r="K509">
        <f t="shared" si="273"/>
        <v>3</v>
      </c>
      <c r="L509">
        <f t="shared" si="252"/>
        <v>360</v>
      </c>
      <c r="M509">
        <f t="shared" si="266"/>
        <v>0</v>
      </c>
      <c r="N509">
        <f t="shared" si="274"/>
        <v>2</v>
      </c>
      <c r="O509">
        <f t="shared" si="253"/>
        <v>300</v>
      </c>
      <c r="P509">
        <f t="shared" si="275"/>
        <v>0</v>
      </c>
      <c r="Q509">
        <f t="shared" si="276"/>
        <v>2</v>
      </c>
      <c r="R509">
        <f t="shared" si="254"/>
        <v>300</v>
      </c>
      <c r="S509">
        <f t="shared" si="277"/>
        <v>0</v>
      </c>
      <c r="T509">
        <f t="shared" si="278"/>
        <v>-1</v>
      </c>
      <c r="U509">
        <f t="shared" si="267"/>
        <v>1</v>
      </c>
      <c r="V509">
        <f t="shared" si="268"/>
        <v>1</v>
      </c>
      <c r="W509">
        <f t="shared" si="255"/>
        <v>0</v>
      </c>
      <c r="X509">
        <f t="shared" si="279"/>
        <v>0</v>
      </c>
      <c r="Y509">
        <f t="shared" si="256"/>
        <v>0</v>
      </c>
      <c r="Z509">
        <f t="shared" si="257"/>
        <v>0</v>
      </c>
      <c r="AA509">
        <f t="shared" si="258"/>
        <v>0</v>
      </c>
      <c r="AB509" s="29">
        <f t="shared" si="259"/>
        <v>0</v>
      </c>
      <c r="AC509" s="25">
        <f t="shared" si="269"/>
        <v>0</v>
      </c>
      <c r="AD509" s="29">
        <f t="shared" si="260"/>
        <v>0</v>
      </c>
      <c r="AE509" s="25">
        <f t="shared" si="270"/>
        <v>0</v>
      </c>
      <c r="AF509" s="25">
        <f t="shared" si="261"/>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2"/>
        <v>-1</v>
      </c>
      <c r="B510">
        <f t="shared" si="271"/>
        <v>6</v>
      </c>
      <c r="C510">
        <f t="shared" si="249"/>
        <v>300</v>
      </c>
      <c r="D510">
        <f t="shared" si="263"/>
        <v>0</v>
      </c>
      <c r="E510">
        <f t="shared" si="283"/>
        <v>5</v>
      </c>
      <c r="F510">
        <f t="shared" si="250"/>
        <v>360</v>
      </c>
      <c r="G510">
        <f t="shared" si="264"/>
        <v>0</v>
      </c>
      <c r="H510">
        <f t="shared" si="272"/>
        <v>4</v>
      </c>
      <c r="I510">
        <f t="shared" si="251"/>
        <v>360</v>
      </c>
      <c r="J510">
        <f t="shared" si="265"/>
        <v>0</v>
      </c>
      <c r="K510">
        <f t="shared" si="273"/>
        <v>3</v>
      </c>
      <c r="L510">
        <f t="shared" si="252"/>
        <v>360</v>
      </c>
      <c r="M510">
        <f t="shared" si="266"/>
        <v>0</v>
      </c>
      <c r="N510">
        <f t="shared" si="274"/>
        <v>2</v>
      </c>
      <c r="O510">
        <f t="shared" si="253"/>
        <v>300</v>
      </c>
      <c r="P510">
        <f t="shared" si="275"/>
        <v>0</v>
      </c>
      <c r="Q510">
        <f t="shared" si="276"/>
        <v>2</v>
      </c>
      <c r="R510">
        <f t="shared" si="254"/>
        <v>300</v>
      </c>
      <c r="S510">
        <f t="shared" si="277"/>
        <v>0</v>
      </c>
      <c r="T510">
        <f t="shared" si="278"/>
        <v>-1</v>
      </c>
      <c r="U510">
        <f t="shared" si="267"/>
        <v>1</v>
      </c>
      <c r="V510">
        <f t="shared" si="268"/>
        <v>1</v>
      </c>
      <c r="W510">
        <f t="shared" si="255"/>
        <v>0</v>
      </c>
      <c r="X510">
        <f t="shared" si="279"/>
        <v>0</v>
      </c>
      <c r="Y510">
        <f t="shared" si="256"/>
        <v>0</v>
      </c>
      <c r="Z510">
        <f t="shared" si="257"/>
        <v>0</v>
      </c>
      <c r="AA510">
        <f t="shared" si="258"/>
        <v>0</v>
      </c>
      <c r="AB510" s="29">
        <f t="shared" si="259"/>
        <v>0</v>
      </c>
      <c r="AC510" s="25">
        <f t="shared" si="269"/>
        <v>0</v>
      </c>
      <c r="AD510" s="29">
        <f t="shared" si="260"/>
        <v>0</v>
      </c>
      <c r="AE510" s="25">
        <f t="shared" si="270"/>
        <v>0</v>
      </c>
      <c r="AF510" s="25">
        <f t="shared" si="261"/>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2"/>
        <v>-1</v>
      </c>
      <c r="B511">
        <f t="shared" si="271"/>
        <v>6</v>
      </c>
      <c r="C511">
        <f t="shared" si="249"/>
        <v>300</v>
      </c>
      <c r="D511">
        <f t="shared" si="263"/>
        <v>0</v>
      </c>
      <c r="E511">
        <f t="shared" si="283"/>
        <v>5</v>
      </c>
      <c r="F511">
        <f t="shared" si="250"/>
        <v>360</v>
      </c>
      <c r="G511">
        <f t="shared" si="264"/>
        <v>0</v>
      </c>
      <c r="H511">
        <f t="shared" si="272"/>
        <v>4</v>
      </c>
      <c r="I511">
        <f t="shared" si="251"/>
        <v>360</v>
      </c>
      <c r="J511">
        <f t="shared" si="265"/>
        <v>0</v>
      </c>
      <c r="K511">
        <f t="shared" si="273"/>
        <v>3</v>
      </c>
      <c r="L511">
        <f t="shared" si="252"/>
        <v>360</v>
      </c>
      <c r="M511">
        <f t="shared" si="266"/>
        <v>0</v>
      </c>
      <c r="N511">
        <f t="shared" si="274"/>
        <v>2</v>
      </c>
      <c r="O511">
        <f t="shared" si="253"/>
        <v>300</v>
      </c>
      <c r="P511">
        <f t="shared" si="275"/>
        <v>0</v>
      </c>
      <c r="Q511">
        <f t="shared" si="276"/>
        <v>2</v>
      </c>
      <c r="R511">
        <f t="shared" si="254"/>
        <v>300</v>
      </c>
      <c r="S511">
        <f t="shared" si="277"/>
        <v>0</v>
      </c>
      <c r="T511">
        <f t="shared" si="278"/>
        <v>-1</v>
      </c>
      <c r="U511">
        <f t="shared" si="267"/>
        <v>1</v>
      </c>
      <c r="V511">
        <f t="shared" si="268"/>
        <v>1</v>
      </c>
      <c r="W511">
        <f t="shared" si="255"/>
        <v>0</v>
      </c>
      <c r="X511">
        <f t="shared" si="279"/>
        <v>0</v>
      </c>
      <c r="Y511">
        <f t="shared" si="256"/>
        <v>0</v>
      </c>
      <c r="Z511">
        <f t="shared" si="257"/>
        <v>0</v>
      </c>
      <c r="AA511">
        <f t="shared" si="258"/>
        <v>0</v>
      </c>
      <c r="AB511" s="29">
        <f t="shared" si="259"/>
        <v>0</v>
      </c>
      <c r="AC511" s="25">
        <f t="shared" si="269"/>
        <v>0</v>
      </c>
      <c r="AD511" s="29">
        <f t="shared" si="260"/>
        <v>0</v>
      </c>
      <c r="AE511" s="25">
        <f t="shared" si="270"/>
        <v>0</v>
      </c>
      <c r="AF511" s="25">
        <f t="shared" si="261"/>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2"/>
        <v>-1</v>
      </c>
      <c r="B512">
        <f t="shared" si="271"/>
        <v>6</v>
      </c>
      <c r="C512">
        <f t="shared" si="249"/>
        <v>300</v>
      </c>
      <c r="D512">
        <f t="shared" si="263"/>
        <v>0</v>
      </c>
      <c r="E512">
        <f t="shared" si="283"/>
        <v>5</v>
      </c>
      <c r="F512">
        <f t="shared" si="250"/>
        <v>360</v>
      </c>
      <c r="G512">
        <f t="shared" si="264"/>
        <v>0</v>
      </c>
      <c r="H512">
        <f t="shared" si="272"/>
        <v>4</v>
      </c>
      <c r="I512">
        <f t="shared" si="251"/>
        <v>360</v>
      </c>
      <c r="J512">
        <f t="shared" si="265"/>
        <v>0</v>
      </c>
      <c r="K512">
        <f t="shared" si="273"/>
        <v>3</v>
      </c>
      <c r="L512">
        <f t="shared" si="252"/>
        <v>360</v>
      </c>
      <c r="M512">
        <f t="shared" si="266"/>
        <v>0</v>
      </c>
      <c r="N512">
        <f t="shared" si="274"/>
        <v>2</v>
      </c>
      <c r="O512">
        <f t="shared" si="253"/>
        <v>300</v>
      </c>
      <c r="P512">
        <f t="shared" si="275"/>
        <v>0</v>
      </c>
      <c r="Q512">
        <f t="shared" si="276"/>
        <v>2</v>
      </c>
      <c r="R512">
        <f t="shared" si="254"/>
        <v>300</v>
      </c>
      <c r="S512">
        <f t="shared" si="277"/>
        <v>0</v>
      </c>
      <c r="T512">
        <f t="shared" si="278"/>
        <v>-1</v>
      </c>
      <c r="U512">
        <f t="shared" si="267"/>
        <v>1</v>
      </c>
      <c r="V512">
        <f t="shared" si="268"/>
        <v>1</v>
      </c>
      <c r="W512">
        <f t="shared" si="255"/>
        <v>0</v>
      </c>
      <c r="X512">
        <f t="shared" si="279"/>
        <v>0</v>
      </c>
      <c r="Y512">
        <f t="shared" si="256"/>
        <v>0</v>
      </c>
      <c r="Z512">
        <f t="shared" si="257"/>
        <v>0</v>
      </c>
      <c r="AA512">
        <f t="shared" si="258"/>
        <v>0</v>
      </c>
      <c r="AB512" s="29">
        <f t="shared" si="259"/>
        <v>0</v>
      </c>
      <c r="AC512" s="25">
        <f t="shared" si="269"/>
        <v>0</v>
      </c>
      <c r="AD512" s="29">
        <f t="shared" si="260"/>
        <v>0</v>
      </c>
      <c r="AE512" s="25">
        <f t="shared" si="270"/>
        <v>0</v>
      </c>
      <c r="AF512" s="25">
        <f t="shared" si="261"/>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2"/>
        <v>-1</v>
      </c>
      <c r="B513">
        <f t="shared" si="271"/>
        <v>6</v>
      </c>
      <c r="C513">
        <f t="shared" si="249"/>
        <v>300</v>
      </c>
      <c r="D513">
        <f t="shared" si="263"/>
        <v>0</v>
      </c>
      <c r="E513">
        <f t="shared" si="283"/>
        <v>5</v>
      </c>
      <c r="F513">
        <f t="shared" si="250"/>
        <v>360</v>
      </c>
      <c r="G513">
        <f t="shared" si="264"/>
        <v>0</v>
      </c>
      <c r="H513">
        <f t="shared" si="272"/>
        <v>4</v>
      </c>
      <c r="I513">
        <f t="shared" si="251"/>
        <v>360</v>
      </c>
      <c r="J513">
        <f t="shared" si="265"/>
        <v>0</v>
      </c>
      <c r="K513">
        <f t="shared" si="273"/>
        <v>3</v>
      </c>
      <c r="L513">
        <f t="shared" si="252"/>
        <v>360</v>
      </c>
      <c r="M513">
        <f t="shared" si="266"/>
        <v>0</v>
      </c>
      <c r="N513">
        <f t="shared" si="274"/>
        <v>2</v>
      </c>
      <c r="O513">
        <f t="shared" si="253"/>
        <v>300</v>
      </c>
      <c r="P513">
        <f t="shared" si="275"/>
        <v>0</v>
      </c>
      <c r="Q513">
        <f t="shared" si="276"/>
        <v>2</v>
      </c>
      <c r="R513">
        <f t="shared" si="254"/>
        <v>300</v>
      </c>
      <c r="S513">
        <f t="shared" si="277"/>
        <v>0</v>
      </c>
      <c r="T513">
        <f t="shared" si="278"/>
        <v>-1</v>
      </c>
      <c r="U513">
        <f t="shared" si="267"/>
        <v>1</v>
      </c>
      <c r="V513">
        <f t="shared" si="268"/>
        <v>1</v>
      </c>
      <c r="W513">
        <f t="shared" si="255"/>
        <v>0</v>
      </c>
      <c r="X513">
        <f t="shared" si="279"/>
        <v>0</v>
      </c>
      <c r="Y513">
        <f t="shared" si="256"/>
        <v>0</v>
      </c>
      <c r="Z513">
        <f t="shared" si="257"/>
        <v>0</v>
      </c>
      <c r="AA513">
        <f t="shared" si="258"/>
        <v>0</v>
      </c>
      <c r="AB513" s="29">
        <f t="shared" si="259"/>
        <v>0</v>
      </c>
      <c r="AC513" s="25">
        <f t="shared" si="269"/>
        <v>0</v>
      </c>
      <c r="AD513" s="29">
        <f t="shared" si="260"/>
        <v>0</v>
      </c>
      <c r="AE513" s="25">
        <f t="shared" si="270"/>
        <v>0</v>
      </c>
      <c r="AF513" s="25">
        <f t="shared" si="261"/>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2"/>
        <v>-1</v>
      </c>
      <c r="B514">
        <f t="shared" si="271"/>
        <v>6</v>
      </c>
      <c r="C514">
        <f t="shared" si="249"/>
        <v>300</v>
      </c>
      <c r="D514">
        <f t="shared" si="263"/>
        <v>0</v>
      </c>
      <c r="E514">
        <f t="shared" si="283"/>
        <v>5</v>
      </c>
      <c r="F514">
        <f t="shared" si="250"/>
        <v>360</v>
      </c>
      <c r="G514">
        <f t="shared" si="264"/>
        <v>0</v>
      </c>
      <c r="H514">
        <f t="shared" si="272"/>
        <v>4</v>
      </c>
      <c r="I514">
        <f t="shared" si="251"/>
        <v>360</v>
      </c>
      <c r="J514">
        <f t="shared" si="265"/>
        <v>0</v>
      </c>
      <c r="K514">
        <f t="shared" si="273"/>
        <v>3</v>
      </c>
      <c r="L514">
        <f t="shared" si="252"/>
        <v>360</v>
      </c>
      <c r="M514">
        <f t="shared" si="266"/>
        <v>0</v>
      </c>
      <c r="N514">
        <f t="shared" si="274"/>
        <v>2</v>
      </c>
      <c r="O514">
        <f t="shared" si="253"/>
        <v>300</v>
      </c>
      <c r="P514">
        <f t="shared" si="275"/>
        <v>0</v>
      </c>
      <c r="Q514">
        <f t="shared" si="276"/>
        <v>2</v>
      </c>
      <c r="R514">
        <f t="shared" si="254"/>
        <v>300</v>
      </c>
      <c r="S514">
        <f t="shared" si="277"/>
        <v>0</v>
      </c>
      <c r="T514">
        <f t="shared" si="278"/>
        <v>-1</v>
      </c>
      <c r="U514">
        <f t="shared" si="267"/>
        <v>1</v>
      </c>
      <c r="V514">
        <f t="shared" si="268"/>
        <v>1</v>
      </c>
      <c r="W514">
        <f t="shared" si="255"/>
        <v>0</v>
      </c>
      <c r="X514">
        <f t="shared" si="279"/>
        <v>0</v>
      </c>
      <c r="Y514">
        <f t="shared" si="256"/>
        <v>0</v>
      </c>
      <c r="Z514">
        <f t="shared" si="257"/>
        <v>0</v>
      </c>
      <c r="AA514">
        <f t="shared" si="258"/>
        <v>0</v>
      </c>
      <c r="AB514" s="29">
        <f t="shared" si="259"/>
        <v>0</v>
      </c>
      <c r="AC514" s="25">
        <f t="shared" si="269"/>
        <v>0</v>
      </c>
      <c r="AD514" s="29">
        <f t="shared" si="260"/>
        <v>0</v>
      </c>
      <c r="AE514" s="25">
        <f t="shared" si="270"/>
        <v>0</v>
      </c>
      <c r="AF514" s="25">
        <f t="shared" si="261"/>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2"/>
        <v>-1</v>
      </c>
      <c r="B515">
        <f t="shared" si="271"/>
        <v>6</v>
      </c>
      <c r="C515">
        <f t="shared" ref="C515:C578" si="284">IF(AND(cdspec60,cdspec60plus),CHOOSE($B515,cdspec601,cdspec602,cdspec603,cdspec604,cdspec605,cdspec606,cdspec607,cdspec608,cdspec609,cdspec6010),($B515-1)*60+IF(cdspec60,cdspec601,0))</f>
        <v>300</v>
      </c>
      <c r="D515">
        <f t="shared" si="263"/>
        <v>0</v>
      </c>
      <c r="E515">
        <f t="shared" si="283"/>
        <v>5</v>
      </c>
      <c r="F515">
        <f t="shared" ref="F515:F578" si="285">IF(AND(cdspec90,cdspec90plus),CHOOSE(E515,cdspec901,cdspec902,cdspec903,cdspec904,cdspec905,cdspec906),(E515-1)*IF(cdtreat90as120,120,90)+IF(cdspec90,cdspec901,0))</f>
        <v>360</v>
      </c>
      <c r="G515">
        <f t="shared" si="264"/>
        <v>0</v>
      </c>
      <c r="H515">
        <f t="shared" si="272"/>
        <v>4</v>
      </c>
      <c r="I515">
        <f t="shared" ref="I515:I578" si="286">IF(AND(cdspec120,cdspec120plus),CHOOSE(H515,cdspec1201,cdspec1202,cdspec1203,cdspec1204,cdspec1205),(H515-1)*120+IF(cdspec120,cdspec1201,0))</f>
        <v>360</v>
      </c>
      <c r="J515">
        <f t="shared" si="265"/>
        <v>0</v>
      </c>
      <c r="K515">
        <f t="shared" si="273"/>
        <v>3</v>
      </c>
      <c r="L515">
        <f t="shared" ref="L515:L578" si="287">IF(AND(cdspec180,cdspec180plus),CHOOSE(K515,cdspec1801,cdspec1802,cdspec1803,cdspec1804),(K515-1)*IF(cdtreat180as240,240,180)+IF(cdspec180,cdspec1801,0))</f>
        <v>360</v>
      </c>
      <c r="M515">
        <f t="shared" si="266"/>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7"/>
        <v>1</v>
      </c>
      <c r="V515">
        <f t="shared" si="268"/>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si="269"/>
        <v>0</v>
      </c>
      <c r="AD515" s="29">
        <f t="shared" ref="AD515:AD578" si="295">IF($A515&lt;0,0,(1+$AC515/(hasterate*100))*(1+$AS$26/100*AND($J515&gt;0,$J515&lt;=$AT$26))*(1+$AS$35/100*AND($M515&gt;0,$M515&lt;=$AT$35))*(1+0.3*($X515&gt;0)))</f>
        <v>0</v>
      </c>
      <c r="AE515" s="25">
        <f t="shared" si="270"/>
        <v>0</v>
      </c>
      <c r="AF515" s="25">
        <f t="shared" ref="AF515:AF578" si="296">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7">IF(A515&lt;0,-1,IF(A515+1&gt;=time,-1,A515+1))</f>
        <v>-1</v>
      </c>
      <c r="B516">
        <f t="shared" si="271"/>
        <v>6</v>
      </c>
      <c r="C516">
        <f t="shared" si="284"/>
        <v>300</v>
      </c>
      <c r="D516">
        <f t="shared" ref="D516:D579" si="298">IF($A516=$C516,1,IF(AND($D515&gt;0,$D515&lt;30),$D515+1,0))</f>
        <v>0</v>
      </c>
      <c r="E516">
        <f t="shared" si="283"/>
        <v>5</v>
      </c>
      <c r="F516">
        <f t="shared" si="285"/>
        <v>360</v>
      </c>
      <c r="G516">
        <f t="shared" ref="G516:G579" si="299">IF($A516=F516,1,IF(AND(G515&gt;0,G515&lt;30),G515+1,0))</f>
        <v>0</v>
      </c>
      <c r="H516">
        <f t="shared" si="272"/>
        <v>4</v>
      </c>
      <c r="I516">
        <f t="shared" si="286"/>
        <v>360</v>
      </c>
      <c r="J516">
        <f t="shared" ref="J516:J579" si="300">IF($A516=I516,1,IF(AND(J515&gt;0,J515&lt;30),J515+1,0))</f>
        <v>0</v>
      </c>
      <c r="K516">
        <f t="shared" si="273"/>
        <v>3</v>
      </c>
      <c r="L516">
        <f t="shared" si="287"/>
        <v>360</v>
      </c>
      <c r="M516">
        <f t="shared" ref="M516:M579" si="301">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2">IF($A516=T516,1,IF(AND(U515&gt;0,U515&lt;$AT$3),U515+1,0))</f>
        <v>1</v>
      </c>
      <c r="V516">
        <f t="shared" ref="V516:V579" si="303">MIN(IF(X515=1,V515+1,V515),blustcount)</f>
        <v>1</v>
      </c>
      <c r="W516">
        <f t="shared" si="290"/>
        <v>0</v>
      </c>
      <c r="X516">
        <f t="shared" si="279"/>
        <v>0</v>
      </c>
      <c r="Y516">
        <f t="shared" si="291"/>
        <v>0</v>
      </c>
      <c r="Z516">
        <f t="shared" si="292"/>
        <v>0</v>
      </c>
      <c r="AA516">
        <f t="shared" si="293"/>
        <v>0</v>
      </c>
      <c r="AB516" s="29">
        <f t="shared" si="294"/>
        <v>0</v>
      </c>
      <c r="AC516" s="25">
        <f t="shared" ref="AC516:AC579" si="304">IF($A516&lt;0,0,$AN$43+IF($J516=0, 0, $AR$15*($J516&lt;=$AT$15)+$AR$22*($J516&lt;=$AT$22)+$AR$28*($J516&lt;=$AT$28)+$AR$29*($J516&lt;=$AT$29)-IF($AW$14, $AR$3*($J516&lt;=$AT$3)))+IF($U516=0,0,$AR$3))</f>
        <v>0</v>
      </c>
      <c r="AD516" s="29">
        <f t="shared" si="295"/>
        <v>0</v>
      </c>
      <c r="AE516" s="25">
        <f t="shared" ref="AE516:AE579" si="305">IF($A516&lt;0,0,$AN$45+IF($P516&gt;0,$AN$37*$AL$37,0)+$S516*(60-IF(CharLevel&gt;60,(CharLevel-60)*2,0))*$AL$38+IF($J516=1,$AL$26*-25+IF($AL$39, 30, 0),0)+IF($M516=1,$AL$35*-10,0)+IF(AE515&gt;instcost,AE515-instcost,0))</f>
        <v>0</v>
      </c>
      <c r="AF516" s="25">
        <f t="shared" si="296"/>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7"/>
        <v>-1</v>
      </c>
      <c r="B517">
        <f t="shared" ref="B517:B580" si="306">MIN(IF(D516=1,B516+1,B516),10)</f>
        <v>6</v>
      </c>
      <c r="C517">
        <f t="shared" si="284"/>
        <v>300</v>
      </c>
      <c r="D517">
        <f t="shared" si="298"/>
        <v>0</v>
      </c>
      <c r="E517">
        <f t="shared" si="283"/>
        <v>5</v>
      </c>
      <c r="F517">
        <f t="shared" si="285"/>
        <v>360</v>
      </c>
      <c r="G517">
        <f t="shared" si="299"/>
        <v>0</v>
      </c>
      <c r="H517">
        <f t="shared" ref="H517:H580" si="307">MIN(IF(J516=1,H516+1,H516),5)</f>
        <v>4</v>
      </c>
      <c r="I517">
        <f t="shared" si="286"/>
        <v>360</v>
      </c>
      <c r="J517">
        <f t="shared" si="300"/>
        <v>0</v>
      </c>
      <c r="K517">
        <f t="shared" ref="K517:K580" si="308">MIN(IF(M516=1,K516+1,K516),4)</f>
        <v>3</v>
      </c>
      <c r="L517">
        <f t="shared" si="287"/>
        <v>360</v>
      </c>
      <c r="M517">
        <f t="shared" si="301"/>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2"/>
        <v>1</v>
      </c>
      <c r="V517">
        <f t="shared" si="303"/>
        <v>1</v>
      </c>
      <c r="W517">
        <f t="shared" si="290"/>
        <v>0</v>
      </c>
      <c r="X517">
        <f t="shared" ref="X517:X580" si="314">IF($A517=W517,1,IF(AND(X516&gt;0,X516&lt;40),X516+1,0))</f>
        <v>0</v>
      </c>
      <c r="Y517">
        <f t="shared" si="291"/>
        <v>0</v>
      </c>
      <c r="Z517">
        <f t="shared" si="292"/>
        <v>0</v>
      </c>
      <c r="AA517">
        <f t="shared" si="293"/>
        <v>0</v>
      </c>
      <c r="AB517" s="29">
        <f t="shared" si="294"/>
        <v>0</v>
      </c>
      <c r="AC517" s="25">
        <f t="shared" si="304"/>
        <v>0</v>
      </c>
      <c r="AD517" s="29">
        <f t="shared" si="295"/>
        <v>0</v>
      </c>
      <c r="AE517" s="25">
        <f t="shared" si="305"/>
        <v>0</v>
      </c>
      <c r="AF517" s="25">
        <f t="shared" si="296"/>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7"/>
        <v>-1</v>
      </c>
      <c r="B518">
        <f t="shared" si="306"/>
        <v>6</v>
      </c>
      <c r="C518">
        <f t="shared" si="284"/>
        <v>300</v>
      </c>
      <c r="D518">
        <f t="shared" si="298"/>
        <v>0</v>
      </c>
      <c r="E518">
        <f t="shared" ref="E518:E581" si="318">MIN(IF(G517=1,E517+1,E517),6)</f>
        <v>5</v>
      </c>
      <c r="F518">
        <f t="shared" si="285"/>
        <v>360</v>
      </c>
      <c r="G518">
        <f t="shared" si="299"/>
        <v>0</v>
      </c>
      <c r="H518">
        <f t="shared" si="307"/>
        <v>4</v>
      </c>
      <c r="I518">
        <f t="shared" si="286"/>
        <v>360</v>
      </c>
      <c r="J518">
        <f t="shared" si="300"/>
        <v>0</v>
      </c>
      <c r="K518">
        <f t="shared" si="308"/>
        <v>3</v>
      </c>
      <c r="L518">
        <f t="shared" si="287"/>
        <v>360</v>
      </c>
      <c r="M518">
        <f t="shared" si="301"/>
        <v>0</v>
      </c>
      <c r="N518">
        <f t="shared" si="309"/>
        <v>2</v>
      </c>
      <c r="O518">
        <f t="shared" si="288"/>
        <v>300</v>
      </c>
      <c r="P518">
        <f t="shared" si="310"/>
        <v>0</v>
      </c>
      <c r="Q518">
        <f t="shared" si="311"/>
        <v>2</v>
      </c>
      <c r="R518">
        <f t="shared" si="289"/>
        <v>300</v>
      </c>
      <c r="S518">
        <f t="shared" si="312"/>
        <v>0</v>
      </c>
      <c r="T518">
        <f t="shared" si="313"/>
        <v>-1</v>
      </c>
      <c r="U518">
        <f t="shared" si="302"/>
        <v>1</v>
      </c>
      <c r="V518">
        <f t="shared" si="303"/>
        <v>1</v>
      </c>
      <c r="W518">
        <f t="shared" si="290"/>
        <v>0</v>
      </c>
      <c r="X518">
        <f t="shared" si="314"/>
        <v>0</v>
      </c>
      <c r="Y518">
        <f t="shared" si="291"/>
        <v>0</v>
      </c>
      <c r="Z518">
        <f t="shared" si="292"/>
        <v>0</v>
      </c>
      <c r="AA518">
        <f t="shared" si="293"/>
        <v>0</v>
      </c>
      <c r="AB518" s="29">
        <f t="shared" si="294"/>
        <v>0</v>
      </c>
      <c r="AC518" s="25">
        <f t="shared" si="304"/>
        <v>0</v>
      </c>
      <c r="AD518" s="29">
        <f t="shared" si="295"/>
        <v>0</v>
      </c>
      <c r="AE518" s="25">
        <f t="shared" si="305"/>
        <v>0</v>
      </c>
      <c r="AF518" s="25">
        <f t="shared" si="296"/>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7"/>
        <v>-1</v>
      </c>
      <c r="B519">
        <f t="shared" si="306"/>
        <v>6</v>
      </c>
      <c r="C519">
        <f t="shared" si="284"/>
        <v>300</v>
      </c>
      <c r="D519">
        <f t="shared" si="298"/>
        <v>0</v>
      </c>
      <c r="E519">
        <f t="shared" si="318"/>
        <v>5</v>
      </c>
      <c r="F519">
        <f t="shared" si="285"/>
        <v>360</v>
      </c>
      <c r="G519">
        <f t="shared" si="299"/>
        <v>0</v>
      </c>
      <c r="H519">
        <f t="shared" si="307"/>
        <v>4</v>
      </c>
      <c r="I519">
        <f t="shared" si="286"/>
        <v>360</v>
      </c>
      <c r="J519">
        <f t="shared" si="300"/>
        <v>0</v>
      </c>
      <c r="K519">
        <f t="shared" si="308"/>
        <v>3</v>
      </c>
      <c r="L519">
        <f t="shared" si="287"/>
        <v>360</v>
      </c>
      <c r="M519">
        <f t="shared" si="301"/>
        <v>0</v>
      </c>
      <c r="N519">
        <f t="shared" si="309"/>
        <v>2</v>
      </c>
      <c r="O519">
        <f t="shared" si="288"/>
        <v>300</v>
      </c>
      <c r="P519">
        <f t="shared" si="310"/>
        <v>0</v>
      </c>
      <c r="Q519">
        <f t="shared" si="311"/>
        <v>2</v>
      </c>
      <c r="R519">
        <f t="shared" si="289"/>
        <v>300</v>
      </c>
      <c r="S519">
        <f t="shared" si="312"/>
        <v>0</v>
      </c>
      <c r="T519">
        <f t="shared" si="313"/>
        <v>-1</v>
      </c>
      <c r="U519">
        <f t="shared" si="302"/>
        <v>1</v>
      </c>
      <c r="V519">
        <f t="shared" si="303"/>
        <v>1</v>
      </c>
      <c r="W519">
        <f t="shared" si="290"/>
        <v>0</v>
      </c>
      <c r="X519">
        <f t="shared" si="314"/>
        <v>0</v>
      </c>
      <c r="Y519">
        <f t="shared" si="291"/>
        <v>0</v>
      </c>
      <c r="Z519">
        <f t="shared" si="292"/>
        <v>0</v>
      </c>
      <c r="AA519">
        <f t="shared" si="293"/>
        <v>0</v>
      </c>
      <c r="AB519" s="29">
        <f t="shared" si="294"/>
        <v>0</v>
      </c>
      <c r="AC519" s="25">
        <f t="shared" si="304"/>
        <v>0</v>
      </c>
      <c r="AD519" s="29">
        <f t="shared" si="295"/>
        <v>0</v>
      </c>
      <c r="AE519" s="25">
        <f t="shared" si="305"/>
        <v>0</v>
      </c>
      <c r="AF519" s="25">
        <f t="shared" si="296"/>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7"/>
        <v>-1</v>
      </c>
      <c r="B520">
        <f t="shared" si="306"/>
        <v>6</v>
      </c>
      <c r="C520">
        <f t="shared" si="284"/>
        <v>300</v>
      </c>
      <c r="D520">
        <f t="shared" si="298"/>
        <v>0</v>
      </c>
      <c r="E520">
        <f t="shared" si="318"/>
        <v>5</v>
      </c>
      <c r="F520">
        <f t="shared" si="285"/>
        <v>360</v>
      </c>
      <c r="G520">
        <f t="shared" si="299"/>
        <v>0</v>
      </c>
      <c r="H520">
        <f t="shared" si="307"/>
        <v>4</v>
      </c>
      <c r="I520">
        <f t="shared" si="286"/>
        <v>360</v>
      </c>
      <c r="J520">
        <f t="shared" si="300"/>
        <v>0</v>
      </c>
      <c r="K520">
        <f t="shared" si="308"/>
        <v>3</v>
      </c>
      <c r="L520">
        <f t="shared" si="287"/>
        <v>360</v>
      </c>
      <c r="M520">
        <f t="shared" si="301"/>
        <v>0</v>
      </c>
      <c r="N520">
        <f t="shared" si="309"/>
        <v>2</v>
      </c>
      <c r="O520">
        <f t="shared" si="288"/>
        <v>300</v>
      </c>
      <c r="P520">
        <f t="shared" si="310"/>
        <v>0</v>
      </c>
      <c r="Q520">
        <f t="shared" si="311"/>
        <v>2</v>
      </c>
      <c r="R520">
        <f t="shared" si="289"/>
        <v>300</v>
      </c>
      <c r="S520">
        <f t="shared" si="312"/>
        <v>0</v>
      </c>
      <c r="T520">
        <f t="shared" si="313"/>
        <v>-1</v>
      </c>
      <c r="U520">
        <f t="shared" si="302"/>
        <v>1</v>
      </c>
      <c r="V520">
        <f t="shared" si="303"/>
        <v>1</v>
      </c>
      <c r="W520">
        <f t="shared" si="290"/>
        <v>0</v>
      </c>
      <c r="X520">
        <f t="shared" si="314"/>
        <v>0</v>
      </c>
      <c r="Y520">
        <f t="shared" si="291"/>
        <v>0</v>
      </c>
      <c r="Z520">
        <f t="shared" si="292"/>
        <v>0</v>
      </c>
      <c r="AA520">
        <f t="shared" si="293"/>
        <v>0</v>
      </c>
      <c r="AB520" s="29">
        <f t="shared" si="294"/>
        <v>0</v>
      </c>
      <c r="AC520" s="25">
        <f t="shared" si="304"/>
        <v>0</v>
      </c>
      <c r="AD520" s="29">
        <f t="shared" si="295"/>
        <v>0</v>
      </c>
      <c r="AE520" s="25">
        <f t="shared" si="305"/>
        <v>0</v>
      </c>
      <c r="AF520" s="25">
        <f t="shared" si="296"/>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7"/>
        <v>-1</v>
      </c>
      <c r="B521">
        <f t="shared" si="306"/>
        <v>6</v>
      </c>
      <c r="C521">
        <f t="shared" si="284"/>
        <v>300</v>
      </c>
      <c r="D521">
        <f t="shared" si="298"/>
        <v>0</v>
      </c>
      <c r="E521">
        <f t="shared" si="318"/>
        <v>5</v>
      </c>
      <c r="F521">
        <f t="shared" si="285"/>
        <v>360</v>
      </c>
      <c r="G521">
        <f t="shared" si="299"/>
        <v>0</v>
      </c>
      <c r="H521">
        <f t="shared" si="307"/>
        <v>4</v>
      </c>
      <c r="I521">
        <f t="shared" si="286"/>
        <v>360</v>
      </c>
      <c r="J521">
        <f t="shared" si="300"/>
        <v>0</v>
      </c>
      <c r="K521">
        <f t="shared" si="308"/>
        <v>3</v>
      </c>
      <c r="L521">
        <f t="shared" si="287"/>
        <v>360</v>
      </c>
      <c r="M521">
        <f t="shared" si="301"/>
        <v>0</v>
      </c>
      <c r="N521">
        <f t="shared" si="309"/>
        <v>2</v>
      </c>
      <c r="O521">
        <f t="shared" si="288"/>
        <v>300</v>
      </c>
      <c r="P521">
        <f t="shared" si="310"/>
        <v>0</v>
      </c>
      <c r="Q521">
        <f t="shared" si="311"/>
        <v>2</v>
      </c>
      <c r="R521">
        <f t="shared" si="289"/>
        <v>300</v>
      </c>
      <c r="S521">
        <f t="shared" si="312"/>
        <v>0</v>
      </c>
      <c r="T521">
        <f t="shared" si="313"/>
        <v>-1</v>
      </c>
      <c r="U521">
        <f t="shared" si="302"/>
        <v>1</v>
      </c>
      <c r="V521">
        <f t="shared" si="303"/>
        <v>1</v>
      </c>
      <c r="W521">
        <f t="shared" si="290"/>
        <v>0</v>
      </c>
      <c r="X521">
        <f t="shared" si="314"/>
        <v>0</v>
      </c>
      <c r="Y521">
        <f t="shared" si="291"/>
        <v>0</v>
      </c>
      <c r="Z521">
        <f t="shared" si="292"/>
        <v>0</v>
      </c>
      <c r="AA521">
        <f t="shared" si="293"/>
        <v>0</v>
      </c>
      <c r="AB521" s="29">
        <f t="shared" si="294"/>
        <v>0</v>
      </c>
      <c r="AC521" s="25">
        <f t="shared" si="304"/>
        <v>0</v>
      </c>
      <c r="AD521" s="29">
        <f t="shared" si="295"/>
        <v>0</v>
      </c>
      <c r="AE521" s="25">
        <f t="shared" si="305"/>
        <v>0</v>
      </c>
      <c r="AF521" s="25">
        <f t="shared" si="296"/>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7"/>
        <v>-1</v>
      </c>
      <c r="B522">
        <f t="shared" si="306"/>
        <v>6</v>
      </c>
      <c r="C522">
        <f t="shared" si="284"/>
        <v>300</v>
      </c>
      <c r="D522">
        <f t="shared" si="298"/>
        <v>0</v>
      </c>
      <c r="E522">
        <f t="shared" si="318"/>
        <v>5</v>
      </c>
      <c r="F522">
        <f t="shared" si="285"/>
        <v>360</v>
      </c>
      <c r="G522">
        <f t="shared" si="299"/>
        <v>0</v>
      </c>
      <c r="H522">
        <f t="shared" si="307"/>
        <v>4</v>
      </c>
      <c r="I522">
        <f t="shared" si="286"/>
        <v>360</v>
      </c>
      <c r="J522">
        <f t="shared" si="300"/>
        <v>0</v>
      </c>
      <c r="K522">
        <f t="shared" si="308"/>
        <v>3</v>
      </c>
      <c r="L522">
        <f t="shared" si="287"/>
        <v>360</v>
      </c>
      <c r="M522">
        <f t="shared" si="301"/>
        <v>0</v>
      </c>
      <c r="N522">
        <f t="shared" si="309"/>
        <v>2</v>
      </c>
      <c r="O522">
        <f t="shared" si="288"/>
        <v>300</v>
      </c>
      <c r="P522">
        <f t="shared" si="310"/>
        <v>0</v>
      </c>
      <c r="Q522">
        <f t="shared" si="311"/>
        <v>2</v>
      </c>
      <c r="R522">
        <f t="shared" si="289"/>
        <v>300</v>
      </c>
      <c r="S522">
        <f t="shared" si="312"/>
        <v>0</v>
      </c>
      <c r="T522">
        <f t="shared" si="313"/>
        <v>-1</v>
      </c>
      <c r="U522">
        <f t="shared" si="302"/>
        <v>1</v>
      </c>
      <c r="V522">
        <f t="shared" si="303"/>
        <v>1</v>
      </c>
      <c r="W522">
        <f t="shared" si="290"/>
        <v>0</v>
      </c>
      <c r="X522">
        <f t="shared" si="314"/>
        <v>0</v>
      </c>
      <c r="Y522">
        <f t="shared" si="291"/>
        <v>0</v>
      </c>
      <c r="Z522">
        <f t="shared" si="292"/>
        <v>0</v>
      </c>
      <c r="AA522">
        <f t="shared" si="293"/>
        <v>0</v>
      </c>
      <c r="AB522" s="29">
        <f t="shared" si="294"/>
        <v>0</v>
      </c>
      <c r="AC522" s="25">
        <f t="shared" si="304"/>
        <v>0</v>
      </c>
      <c r="AD522" s="29">
        <f t="shared" si="295"/>
        <v>0</v>
      </c>
      <c r="AE522" s="25">
        <f t="shared" si="305"/>
        <v>0</v>
      </c>
      <c r="AF522" s="25">
        <f t="shared" si="296"/>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7"/>
        <v>-1</v>
      </c>
      <c r="B523">
        <f t="shared" si="306"/>
        <v>6</v>
      </c>
      <c r="C523">
        <f t="shared" si="284"/>
        <v>300</v>
      </c>
      <c r="D523">
        <f t="shared" si="298"/>
        <v>0</v>
      </c>
      <c r="E523">
        <f t="shared" si="318"/>
        <v>5</v>
      </c>
      <c r="F523">
        <f t="shared" si="285"/>
        <v>360</v>
      </c>
      <c r="G523">
        <f t="shared" si="299"/>
        <v>0</v>
      </c>
      <c r="H523">
        <f t="shared" si="307"/>
        <v>4</v>
      </c>
      <c r="I523">
        <f t="shared" si="286"/>
        <v>360</v>
      </c>
      <c r="J523">
        <f t="shared" si="300"/>
        <v>0</v>
      </c>
      <c r="K523">
        <f t="shared" si="308"/>
        <v>3</v>
      </c>
      <c r="L523">
        <f t="shared" si="287"/>
        <v>360</v>
      </c>
      <c r="M523">
        <f t="shared" si="301"/>
        <v>0</v>
      </c>
      <c r="N523">
        <f t="shared" si="309"/>
        <v>2</v>
      </c>
      <c r="O523">
        <f t="shared" si="288"/>
        <v>300</v>
      </c>
      <c r="P523">
        <f t="shared" si="310"/>
        <v>0</v>
      </c>
      <c r="Q523">
        <f t="shared" si="311"/>
        <v>2</v>
      </c>
      <c r="R523">
        <f t="shared" si="289"/>
        <v>300</v>
      </c>
      <c r="S523">
        <f t="shared" si="312"/>
        <v>0</v>
      </c>
      <c r="T523">
        <f t="shared" si="313"/>
        <v>-1</v>
      </c>
      <c r="U523">
        <f t="shared" si="302"/>
        <v>1</v>
      </c>
      <c r="V523">
        <f t="shared" si="303"/>
        <v>1</v>
      </c>
      <c r="W523">
        <f t="shared" si="290"/>
        <v>0</v>
      </c>
      <c r="X523">
        <f t="shared" si="314"/>
        <v>0</v>
      </c>
      <c r="Y523">
        <f t="shared" si="291"/>
        <v>0</v>
      </c>
      <c r="Z523">
        <f t="shared" si="292"/>
        <v>0</v>
      </c>
      <c r="AA523">
        <f t="shared" si="293"/>
        <v>0</v>
      </c>
      <c r="AB523" s="29">
        <f t="shared" si="294"/>
        <v>0</v>
      </c>
      <c r="AC523" s="25">
        <f t="shared" si="304"/>
        <v>0</v>
      </c>
      <c r="AD523" s="29">
        <f t="shared" si="295"/>
        <v>0</v>
      </c>
      <c r="AE523" s="25">
        <f t="shared" si="305"/>
        <v>0</v>
      </c>
      <c r="AF523" s="25">
        <f t="shared" si="296"/>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7"/>
        <v>-1</v>
      </c>
      <c r="B524">
        <f t="shared" si="306"/>
        <v>6</v>
      </c>
      <c r="C524">
        <f t="shared" si="284"/>
        <v>300</v>
      </c>
      <c r="D524">
        <f t="shared" si="298"/>
        <v>0</v>
      </c>
      <c r="E524">
        <f t="shared" si="318"/>
        <v>5</v>
      </c>
      <c r="F524">
        <f t="shared" si="285"/>
        <v>360</v>
      </c>
      <c r="G524">
        <f t="shared" si="299"/>
        <v>0</v>
      </c>
      <c r="H524">
        <f t="shared" si="307"/>
        <v>4</v>
      </c>
      <c r="I524">
        <f t="shared" si="286"/>
        <v>360</v>
      </c>
      <c r="J524">
        <f t="shared" si="300"/>
        <v>0</v>
      </c>
      <c r="K524">
        <f t="shared" si="308"/>
        <v>3</v>
      </c>
      <c r="L524">
        <f t="shared" si="287"/>
        <v>360</v>
      </c>
      <c r="M524">
        <f t="shared" si="301"/>
        <v>0</v>
      </c>
      <c r="N524">
        <f t="shared" si="309"/>
        <v>2</v>
      </c>
      <c r="O524">
        <f t="shared" si="288"/>
        <v>300</v>
      </c>
      <c r="P524">
        <f t="shared" si="310"/>
        <v>0</v>
      </c>
      <c r="Q524">
        <f t="shared" si="311"/>
        <v>2</v>
      </c>
      <c r="R524">
        <f t="shared" si="289"/>
        <v>300</v>
      </c>
      <c r="S524">
        <f t="shared" si="312"/>
        <v>0</v>
      </c>
      <c r="T524">
        <f t="shared" si="313"/>
        <v>-1</v>
      </c>
      <c r="U524">
        <f t="shared" si="302"/>
        <v>1</v>
      </c>
      <c r="V524">
        <f t="shared" si="303"/>
        <v>1</v>
      </c>
      <c r="W524">
        <f t="shared" si="290"/>
        <v>0</v>
      </c>
      <c r="X524">
        <f t="shared" si="314"/>
        <v>0</v>
      </c>
      <c r="Y524">
        <f t="shared" si="291"/>
        <v>0</v>
      </c>
      <c r="Z524">
        <f t="shared" si="292"/>
        <v>0</v>
      </c>
      <c r="AA524">
        <f t="shared" si="293"/>
        <v>0</v>
      </c>
      <c r="AB524" s="29">
        <f t="shared" si="294"/>
        <v>0</v>
      </c>
      <c r="AC524" s="25">
        <f t="shared" si="304"/>
        <v>0</v>
      </c>
      <c r="AD524" s="29">
        <f t="shared" si="295"/>
        <v>0</v>
      </c>
      <c r="AE524" s="25">
        <f t="shared" si="305"/>
        <v>0</v>
      </c>
      <c r="AF524" s="25">
        <f t="shared" si="296"/>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7"/>
        <v>-1</v>
      </c>
      <c r="B525">
        <f t="shared" si="306"/>
        <v>6</v>
      </c>
      <c r="C525">
        <f t="shared" si="284"/>
        <v>300</v>
      </c>
      <c r="D525">
        <f t="shared" si="298"/>
        <v>0</v>
      </c>
      <c r="E525">
        <f t="shared" si="318"/>
        <v>5</v>
      </c>
      <c r="F525">
        <f t="shared" si="285"/>
        <v>360</v>
      </c>
      <c r="G525">
        <f t="shared" si="299"/>
        <v>0</v>
      </c>
      <c r="H525">
        <f t="shared" si="307"/>
        <v>4</v>
      </c>
      <c r="I525">
        <f t="shared" si="286"/>
        <v>360</v>
      </c>
      <c r="J525">
        <f t="shared" si="300"/>
        <v>0</v>
      </c>
      <c r="K525">
        <f t="shared" si="308"/>
        <v>3</v>
      </c>
      <c r="L525">
        <f t="shared" si="287"/>
        <v>360</v>
      </c>
      <c r="M525">
        <f t="shared" si="301"/>
        <v>0</v>
      </c>
      <c r="N525">
        <f t="shared" si="309"/>
        <v>2</v>
      </c>
      <c r="O525">
        <f t="shared" si="288"/>
        <v>300</v>
      </c>
      <c r="P525">
        <f t="shared" si="310"/>
        <v>0</v>
      </c>
      <c r="Q525">
        <f t="shared" si="311"/>
        <v>2</v>
      </c>
      <c r="R525">
        <f t="shared" si="289"/>
        <v>300</v>
      </c>
      <c r="S525">
        <f t="shared" si="312"/>
        <v>0</v>
      </c>
      <c r="T525">
        <f t="shared" si="313"/>
        <v>-1</v>
      </c>
      <c r="U525">
        <f t="shared" si="302"/>
        <v>1</v>
      </c>
      <c r="V525">
        <f t="shared" si="303"/>
        <v>1</v>
      </c>
      <c r="W525">
        <f t="shared" si="290"/>
        <v>0</v>
      </c>
      <c r="X525">
        <f t="shared" si="314"/>
        <v>0</v>
      </c>
      <c r="Y525">
        <f t="shared" si="291"/>
        <v>0</v>
      </c>
      <c r="Z525">
        <f t="shared" si="292"/>
        <v>0</v>
      </c>
      <c r="AA525">
        <f t="shared" si="293"/>
        <v>0</v>
      </c>
      <c r="AB525" s="29">
        <f t="shared" si="294"/>
        <v>0</v>
      </c>
      <c r="AC525" s="25">
        <f t="shared" si="304"/>
        <v>0</v>
      </c>
      <c r="AD525" s="29">
        <f t="shared" si="295"/>
        <v>0</v>
      </c>
      <c r="AE525" s="25">
        <f t="shared" si="305"/>
        <v>0</v>
      </c>
      <c r="AF525" s="25">
        <f t="shared" si="296"/>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7"/>
        <v>-1</v>
      </c>
      <c r="B526">
        <f t="shared" si="306"/>
        <v>6</v>
      </c>
      <c r="C526">
        <f t="shared" si="284"/>
        <v>300</v>
      </c>
      <c r="D526">
        <f t="shared" si="298"/>
        <v>0</v>
      </c>
      <c r="E526">
        <f t="shared" si="318"/>
        <v>5</v>
      </c>
      <c r="F526">
        <f t="shared" si="285"/>
        <v>360</v>
      </c>
      <c r="G526">
        <f t="shared" si="299"/>
        <v>0</v>
      </c>
      <c r="H526">
        <f t="shared" si="307"/>
        <v>4</v>
      </c>
      <c r="I526">
        <f t="shared" si="286"/>
        <v>360</v>
      </c>
      <c r="J526">
        <f t="shared" si="300"/>
        <v>0</v>
      </c>
      <c r="K526">
        <f t="shared" si="308"/>
        <v>3</v>
      </c>
      <c r="L526">
        <f t="shared" si="287"/>
        <v>360</v>
      </c>
      <c r="M526">
        <f t="shared" si="301"/>
        <v>0</v>
      </c>
      <c r="N526">
        <f t="shared" si="309"/>
        <v>2</v>
      </c>
      <c r="O526">
        <f t="shared" si="288"/>
        <v>300</v>
      </c>
      <c r="P526">
        <f t="shared" si="310"/>
        <v>0</v>
      </c>
      <c r="Q526">
        <f t="shared" si="311"/>
        <v>2</v>
      </c>
      <c r="R526">
        <f t="shared" si="289"/>
        <v>300</v>
      </c>
      <c r="S526">
        <f t="shared" si="312"/>
        <v>0</v>
      </c>
      <c r="T526">
        <f t="shared" si="313"/>
        <v>-1</v>
      </c>
      <c r="U526">
        <f t="shared" si="302"/>
        <v>1</v>
      </c>
      <c r="V526">
        <f t="shared" si="303"/>
        <v>1</v>
      </c>
      <c r="W526">
        <f t="shared" si="290"/>
        <v>0</v>
      </c>
      <c r="X526">
        <f t="shared" si="314"/>
        <v>0</v>
      </c>
      <c r="Y526">
        <f t="shared" si="291"/>
        <v>0</v>
      </c>
      <c r="Z526">
        <f t="shared" si="292"/>
        <v>0</v>
      </c>
      <c r="AA526">
        <f t="shared" si="293"/>
        <v>0</v>
      </c>
      <c r="AB526" s="29">
        <f t="shared" si="294"/>
        <v>0</v>
      </c>
      <c r="AC526" s="25">
        <f t="shared" si="304"/>
        <v>0</v>
      </c>
      <c r="AD526" s="29">
        <f t="shared" si="295"/>
        <v>0</v>
      </c>
      <c r="AE526" s="25">
        <f t="shared" si="305"/>
        <v>0</v>
      </c>
      <c r="AF526" s="25">
        <f t="shared" si="296"/>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7"/>
        <v>-1</v>
      </c>
      <c r="B527">
        <f t="shared" si="306"/>
        <v>6</v>
      </c>
      <c r="C527">
        <f t="shared" si="284"/>
        <v>300</v>
      </c>
      <c r="D527">
        <f t="shared" si="298"/>
        <v>0</v>
      </c>
      <c r="E527">
        <f t="shared" si="318"/>
        <v>5</v>
      </c>
      <c r="F527">
        <f t="shared" si="285"/>
        <v>360</v>
      </c>
      <c r="G527">
        <f t="shared" si="299"/>
        <v>0</v>
      </c>
      <c r="H527">
        <f t="shared" si="307"/>
        <v>4</v>
      </c>
      <c r="I527">
        <f t="shared" si="286"/>
        <v>360</v>
      </c>
      <c r="J527">
        <f t="shared" si="300"/>
        <v>0</v>
      </c>
      <c r="K527">
        <f t="shared" si="308"/>
        <v>3</v>
      </c>
      <c r="L527">
        <f t="shared" si="287"/>
        <v>360</v>
      </c>
      <c r="M527">
        <f t="shared" si="301"/>
        <v>0</v>
      </c>
      <c r="N527">
        <f t="shared" si="309"/>
        <v>2</v>
      </c>
      <c r="O527">
        <f t="shared" si="288"/>
        <v>300</v>
      </c>
      <c r="P527">
        <f t="shared" si="310"/>
        <v>0</v>
      </c>
      <c r="Q527">
        <f t="shared" si="311"/>
        <v>2</v>
      </c>
      <c r="R527">
        <f t="shared" si="289"/>
        <v>300</v>
      </c>
      <c r="S527">
        <f t="shared" si="312"/>
        <v>0</v>
      </c>
      <c r="T527">
        <f t="shared" si="313"/>
        <v>-1</v>
      </c>
      <c r="U527">
        <f t="shared" si="302"/>
        <v>1</v>
      </c>
      <c r="V527">
        <f t="shared" si="303"/>
        <v>1</v>
      </c>
      <c r="W527">
        <f t="shared" si="290"/>
        <v>0</v>
      </c>
      <c r="X527">
        <f t="shared" si="314"/>
        <v>0</v>
      </c>
      <c r="Y527">
        <f t="shared" si="291"/>
        <v>0</v>
      </c>
      <c r="Z527">
        <f t="shared" si="292"/>
        <v>0</v>
      </c>
      <c r="AA527">
        <f t="shared" si="293"/>
        <v>0</v>
      </c>
      <c r="AB527" s="29">
        <f t="shared" si="294"/>
        <v>0</v>
      </c>
      <c r="AC527" s="25">
        <f t="shared" si="304"/>
        <v>0</v>
      </c>
      <c r="AD527" s="29">
        <f t="shared" si="295"/>
        <v>0</v>
      </c>
      <c r="AE527" s="25">
        <f t="shared" si="305"/>
        <v>0</v>
      </c>
      <c r="AF527" s="25">
        <f t="shared" si="296"/>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7"/>
        <v>-1</v>
      </c>
      <c r="B528">
        <f t="shared" si="306"/>
        <v>6</v>
      </c>
      <c r="C528">
        <f t="shared" si="284"/>
        <v>300</v>
      </c>
      <c r="D528">
        <f t="shared" si="298"/>
        <v>0</v>
      </c>
      <c r="E528">
        <f t="shared" si="318"/>
        <v>5</v>
      </c>
      <c r="F528">
        <f t="shared" si="285"/>
        <v>360</v>
      </c>
      <c r="G528">
        <f t="shared" si="299"/>
        <v>0</v>
      </c>
      <c r="H528">
        <f t="shared" si="307"/>
        <v>4</v>
      </c>
      <c r="I528">
        <f t="shared" si="286"/>
        <v>360</v>
      </c>
      <c r="J528">
        <f t="shared" si="300"/>
        <v>0</v>
      </c>
      <c r="K528">
        <f t="shared" si="308"/>
        <v>3</v>
      </c>
      <c r="L528">
        <f t="shared" si="287"/>
        <v>360</v>
      </c>
      <c r="M528">
        <f t="shared" si="301"/>
        <v>0</v>
      </c>
      <c r="N528">
        <f t="shared" si="309"/>
        <v>2</v>
      </c>
      <c r="O528">
        <f t="shared" si="288"/>
        <v>300</v>
      </c>
      <c r="P528">
        <f t="shared" si="310"/>
        <v>0</v>
      </c>
      <c r="Q528">
        <f t="shared" si="311"/>
        <v>2</v>
      </c>
      <c r="R528">
        <f t="shared" si="289"/>
        <v>300</v>
      </c>
      <c r="S528">
        <f t="shared" si="312"/>
        <v>0</v>
      </c>
      <c r="T528">
        <f t="shared" si="313"/>
        <v>-1</v>
      </c>
      <c r="U528">
        <f t="shared" si="302"/>
        <v>1</v>
      </c>
      <c r="V528">
        <f t="shared" si="303"/>
        <v>1</v>
      </c>
      <c r="W528">
        <f t="shared" si="290"/>
        <v>0</v>
      </c>
      <c r="X528">
        <f t="shared" si="314"/>
        <v>0</v>
      </c>
      <c r="Y528">
        <f t="shared" si="291"/>
        <v>0</v>
      </c>
      <c r="Z528">
        <f t="shared" si="292"/>
        <v>0</v>
      </c>
      <c r="AA528">
        <f t="shared" si="293"/>
        <v>0</v>
      </c>
      <c r="AB528" s="29">
        <f t="shared" si="294"/>
        <v>0</v>
      </c>
      <c r="AC528" s="25">
        <f t="shared" si="304"/>
        <v>0</v>
      </c>
      <c r="AD528" s="29">
        <f t="shared" si="295"/>
        <v>0</v>
      </c>
      <c r="AE528" s="25">
        <f t="shared" si="305"/>
        <v>0</v>
      </c>
      <c r="AF528" s="25">
        <f t="shared" si="296"/>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7"/>
        <v>-1</v>
      </c>
      <c r="B529">
        <f t="shared" si="306"/>
        <v>6</v>
      </c>
      <c r="C529">
        <f t="shared" si="284"/>
        <v>300</v>
      </c>
      <c r="D529">
        <f t="shared" si="298"/>
        <v>0</v>
      </c>
      <c r="E529">
        <f t="shared" si="318"/>
        <v>5</v>
      </c>
      <c r="F529">
        <f t="shared" si="285"/>
        <v>360</v>
      </c>
      <c r="G529">
        <f t="shared" si="299"/>
        <v>0</v>
      </c>
      <c r="H529">
        <f t="shared" si="307"/>
        <v>4</v>
      </c>
      <c r="I529">
        <f t="shared" si="286"/>
        <v>360</v>
      </c>
      <c r="J529">
        <f t="shared" si="300"/>
        <v>0</v>
      </c>
      <c r="K529">
        <f t="shared" si="308"/>
        <v>3</v>
      </c>
      <c r="L529">
        <f t="shared" si="287"/>
        <v>360</v>
      </c>
      <c r="M529">
        <f t="shared" si="301"/>
        <v>0</v>
      </c>
      <c r="N529">
        <f t="shared" si="309"/>
        <v>2</v>
      </c>
      <c r="O529">
        <f t="shared" si="288"/>
        <v>300</v>
      </c>
      <c r="P529">
        <f t="shared" si="310"/>
        <v>0</v>
      </c>
      <c r="Q529">
        <f t="shared" si="311"/>
        <v>2</v>
      </c>
      <c r="R529">
        <f t="shared" si="289"/>
        <v>300</v>
      </c>
      <c r="S529">
        <f t="shared" si="312"/>
        <v>0</v>
      </c>
      <c r="T529">
        <f t="shared" si="313"/>
        <v>-1</v>
      </c>
      <c r="U529">
        <f t="shared" si="302"/>
        <v>1</v>
      </c>
      <c r="V529">
        <f t="shared" si="303"/>
        <v>1</v>
      </c>
      <c r="W529">
        <f t="shared" si="290"/>
        <v>0</v>
      </c>
      <c r="X529">
        <f t="shared" si="314"/>
        <v>0</v>
      </c>
      <c r="Y529">
        <f t="shared" si="291"/>
        <v>0</v>
      </c>
      <c r="Z529">
        <f t="shared" si="292"/>
        <v>0</v>
      </c>
      <c r="AA529">
        <f t="shared" si="293"/>
        <v>0</v>
      </c>
      <c r="AB529" s="29">
        <f t="shared" si="294"/>
        <v>0</v>
      </c>
      <c r="AC529" s="25">
        <f t="shared" si="304"/>
        <v>0</v>
      </c>
      <c r="AD529" s="29">
        <f t="shared" si="295"/>
        <v>0</v>
      </c>
      <c r="AE529" s="25">
        <f t="shared" si="305"/>
        <v>0</v>
      </c>
      <c r="AF529" s="25">
        <f t="shared" si="296"/>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7"/>
        <v>-1</v>
      </c>
      <c r="B530">
        <f t="shared" si="306"/>
        <v>6</v>
      </c>
      <c r="C530">
        <f t="shared" si="284"/>
        <v>300</v>
      </c>
      <c r="D530">
        <f t="shared" si="298"/>
        <v>0</v>
      </c>
      <c r="E530">
        <f t="shared" si="318"/>
        <v>5</v>
      </c>
      <c r="F530">
        <f t="shared" si="285"/>
        <v>360</v>
      </c>
      <c r="G530">
        <f t="shared" si="299"/>
        <v>0</v>
      </c>
      <c r="H530">
        <f t="shared" si="307"/>
        <v>4</v>
      </c>
      <c r="I530">
        <f t="shared" si="286"/>
        <v>360</v>
      </c>
      <c r="J530">
        <f t="shared" si="300"/>
        <v>0</v>
      </c>
      <c r="K530">
        <f t="shared" si="308"/>
        <v>3</v>
      </c>
      <c r="L530">
        <f t="shared" si="287"/>
        <v>360</v>
      </c>
      <c r="M530">
        <f t="shared" si="301"/>
        <v>0</v>
      </c>
      <c r="N530">
        <f t="shared" si="309"/>
        <v>2</v>
      </c>
      <c r="O530">
        <f t="shared" si="288"/>
        <v>300</v>
      </c>
      <c r="P530">
        <f t="shared" si="310"/>
        <v>0</v>
      </c>
      <c r="Q530">
        <f t="shared" si="311"/>
        <v>2</v>
      </c>
      <c r="R530">
        <f t="shared" si="289"/>
        <v>300</v>
      </c>
      <c r="S530">
        <f t="shared" si="312"/>
        <v>0</v>
      </c>
      <c r="T530">
        <f t="shared" si="313"/>
        <v>-1</v>
      </c>
      <c r="U530">
        <f t="shared" si="302"/>
        <v>1</v>
      </c>
      <c r="V530">
        <f t="shared" si="303"/>
        <v>1</v>
      </c>
      <c r="W530">
        <f t="shared" si="290"/>
        <v>0</v>
      </c>
      <c r="X530">
        <f t="shared" si="314"/>
        <v>0</v>
      </c>
      <c r="Y530">
        <f t="shared" si="291"/>
        <v>0</v>
      </c>
      <c r="Z530">
        <f t="shared" si="292"/>
        <v>0</v>
      </c>
      <c r="AA530">
        <f t="shared" si="293"/>
        <v>0</v>
      </c>
      <c r="AB530" s="29">
        <f t="shared" si="294"/>
        <v>0</v>
      </c>
      <c r="AC530" s="25">
        <f t="shared" si="304"/>
        <v>0</v>
      </c>
      <c r="AD530" s="29">
        <f t="shared" si="295"/>
        <v>0</v>
      </c>
      <c r="AE530" s="25">
        <f t="shared" si="305"/>
        <v>0</v>
      </c>
      <c r="AF530" s="25">
        <f t="shared" si="296"/>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7"/>
        <v>-1</v>
      </c>
      <c r="B531">
        <f t="shared" si="306"/>
        <v>6</v>
      </c>
      <c r="C531">
        <f t="shared" si="284"/>
        <v>300</v>
      </c>
      <c r="D531">
        <f t="shared" si="298"/>
        <v>0</v>
      </c>
      <c r="E531">
        <f t="shared" si="318"/>
        <v>5</v>
      </c>
      <c r="F531">
        <f t="shared" si="285"/>
        <v>360</v>
      </c>
      <c r="G531">
        <f t="shared" si="299"/>
        <v>0</v>
      </c>
      <c r="H531">
        <f t="shared" si="307"/>
        <v>4</v>
      </c>
      <c r="I531">
        <f t="shared" si="286"/>
        <v>360</v>
      </c>
      <c r="J531">
        <f t="shared" si="300"/>
        <v>0</v>
      </c>
      <c r="K531">
        <f t="shared" si="308"/>
        <v>3</v>
      </c>
      <c r="L531">
        <f t="shared" si="287"/>
        <v>360</v>
      </c>
      <c r="M531">
        <f t="shared" si="301"/>
        <v>0</v>
      </c>
      <c r="N531">
        <f t="shared" si="309"/>
        <v>2</v>
      </c>
      <c r="O531">
        <f t="shared" si="288"/>
        <v>300</v>
      </c>
      <c r="P531">
        <f t="shared" si="310"/>
        <v>0</v>
      </c>
      <c r="Q531">
        <f t="shared" si="311"/>
        <v>2</v>
      </c>
      <c r="R531">
        <f t="shared" si="289"/>
        <v>300</v>
      </c>
      <c r="S531">
        <f t="shared" si="312"/>
        <v>0</v>
      </c>
      <c r="T531">
        <f t="shared" si="313"/>
        <v>-1</v>
      </c>
      <c r="U531">
        <f t="shared" si="302"/>
        <v>1</v>
      </c>
      <c r="V531">
        <f t="shared" si="303"/>
        <v>1</v>
      </c>
      <c r="W531">
        <f t="shared" si="290"/>
        <v>0</v>
      </c>
      <c r="X531">
        <f t="shared" si="314"/>
        <v>0</v>
      </c>
      <c r="Y531">
        <f t="shared" si="291"/>
        <v>0</v>
      </c>
      <c r="Z531">
        <f t="shared" si="292"/>
        <v>0</v>
      </c>
      <c r="AA531">
        <f t="shared" si="293"/>
        <v>0</v>
      </c>
      <c r="AB531" s="29">
        <f t="shared" si="294"/>
        <v>0</v>
      </c>
      <c r="AC531" s="25">
        <f t="shared" si="304"/>
        <v>0</v>
      </c>
      <c r="AD531" s="29">
        <f t="shared" si="295"/>
        <v>0</v>
      </c>
      <c r="AE531" s="25">
        <f t="shared" si="305"/>
        <v>0</v>
      </c>
      <c r="AF531" s="25">
        <f t="shared" si="296"/>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7"/>
        <v>-1</v>
      </c>
      <c r="B532">
        <f t="shared" si="306"/>
        <v>6</v>
      </c>
      <c r="C532">
        <f t="shared" si="284"/>
        <v>300</v>
      </c>
      <c r="D532">
        <f t="shared" si="298"/>
        <v>0</v>
      </c>
      <c r="E532">
        <f t="shared" si="318"/>
        <v>5</v>
      </c>
      <c r="F532">
        <f t="shared" si="285"/>
        <v>360</v>
      </c>
      <c r="G532">
        <f t="shared" si="299"/>
        <v>0</v>
      </c>
      <c r="H532">
        <f t="shared" si="307"/>
        <v>4</v>
      </c>
      <c r="I532">
        <f t="shared" si="286"/>
        <v>360</v>
      </c>
      <c r="J532">
        <f t="shared" si="300"/>
        <v>0</v>
      </c>
      <c r="K532">
        <f t="shared" si="308"/>
        <v>3</v>
      </c>
      <c r="L532">
        <f t="shared" si="287"/>
        <v>360</v>
      </c>
      <c r="M532">
        <f t="shared" si="301"/>
        <v>0</v>
      </c>
      <c r="N532">
        <f t="shared" si="309"/>
        <v>2</v>
      </c>
      <c r="O532">
        <f t="shared" si="288"/>
        <v>300</v>
      </c>
      <c r="P532">
        <f t="shared" si="310"/>
        <v>0</v>
      </c>
      <c r="Q532">
        <f t="shared" si="311"/>
        <v>2</v>
      </c>
      <c r="R532">
        <f t="shared" si="289"/>
        <v>300</v>
      </c>
      <c r="S532">
        <f t="shared" si="312"/>
        <v>0</v>
      </c>
      <c r="T532">
        <f t="shared" si="313"/>
        <v>-1</v>
      </c>
      <c r="U532">
        <f t="shared" si="302"/>
        <v>1</v>
      </c>
      <c r="V532">
        <f t="shared" si="303"/>
        <v>1</v>
      </c>
      <c r="W532">
        <f t="shared" si="290"/>
        <v>0</v>
      </c>
      <c r="X532">
        <f t="shared" si="314"/>
        <v>0</v>
      </c>
      <c r="Y532">
        <f t="shared" si="291"/>
        <v>0</v>
      </c>
      <c r="Z532">
        <f t="shared" si="292"/>
        <v>0</v>
      </c>
      <c r="AA532">
        <f t="shared" si="293"/>
        <v>0</v>
      </c>
      <c r="AB532" s="29">
        <f t="shared" si="294"/>
        <v>0</v>
      </c>
      <c r="AC532" s="25">
        <f t="shared" si="304"/>
        <v>0</v>
      </c>
      <c r="AD532" s="29">
        <f t="shared" si="295"/>
        <v>0</v>
      </c>
      <c r="AE532" s="25">
        <f t="shared" si="305"/>
        <v>0</v>
      </c>
      <c r="AF532" s="25">
        <f t="shared" si="296"/>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7"/>
        <v>-1</v>
      </c>
      <c r="B533">
        <f t="shared" si="306"/>
        <v>6</v>
      </c>
      <c r="C533">
        <f t="shared" si="284"/>
        <v>300</v>
      </c>
      <c r="D533">
        <f t="shared" si="298"/>
        <v>0</v>
      </c>
      <c r="E533">
        <f t="shared" si="318"/>
        <v>5</v>
      </c>
      <c r="F533">
        <f t="shared" si="285"/>
        <v>360</v>
      </c>
      <c r="G533">
        <f t="shared" si="299"/>
        <v>0</v>
      </c>
      <c r="H533">
        <f t="shared" si="307"/>
        <v>4</v>
      </c>
      <c r="I533">
        <f t="shared" si="286"/>
        <v>360</v>
      </c>
      <c r="J533">
        <f t="shared" si="300"/>
        <v>0</v>
      </c>
      <c r="K533">
        <f t="shared" si="308"/>
        <v>3</v>
      </c>
      <c r="L533">
        <f t="shared" si="287"/>
        <v>360</v>
      </c>
      <c r="M533">
        <f t="shared" si="301"/>
        <v>0</v>
      </c>
      <c r="N533">
        <f t="shared" si="309"/>
        <v>2</v>
      </c>
      <c r="O533">
        <f t="shared" si="288"/>
        <v>300</v>
      </c>
      <c r="P533">
        <f t="shared" si="310"/>
        <v>0</v>
      </c>
      <c r="Q533">
        <f t="shared" si="311"/>
        <v>2</v>
      </c>
      <c r="R533">
        <f t="shared" si="289"/>
        <v>300</v>
      </c>
      <c r="S533">
        <f t="shared" si="312"/>
        <v>0</v>
      </c>
      <c r="T533">
        <f t="shared" si="313"/>
        <v>-1</v>
      </c>
      <c r="U533">
        <f t="shared" si="302"/>
        <v>1</v>
      </c>
      <c r="V533">
        <f t="shared" si="303"/>
        <v>1</v>
      </c>
      <c r="W533">
        <f t="shared" si="290"/>
        <v>0</v>
      </c>
      <c r="X533">
        <f t="shared" si="314"/>
        <v>0</v>
      </c>
      <c r="Y533">
        <f t="shared" si="291"/>
        <v>0</v>
      </c>
      <c r="Z533">
        <f t="shared" si="292"/>
        <v>0</v>
      </c>
      <c r="AA533">
        <f t="shared" si="293"/>
        <v>0</v>
      </c>
      <c r="AB533" s="29">
        <f t="shared" si="294"/>
        <v>0</v>
      </c>
      <c r="AC533" s="25">
        <f t="shared" si="304"/>
        <v>0</v>
      </c>
      <c r="AD533" s="29">
        <f t="shared" si="295"/>
        <v>0</v>
      </c>
      <c r="AE533" s="25">
        <f t="shared" si="305"/>
        <v>0</v>
      </c>
      <c r="AF533" s="25">
        <f t="shared" si="296"/>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7"/>
        <v>-1</v>
      </c>
      <c r="B534">
        <f t="shared" si="306"/>
        <v>6</v>
      </c>
      <c r="C534">
        <f t="shared" si="284"/>
        <v>300</v>
      </c>
      <c r="D534">
        <f t="shared" si="298"/>
        <v>0</v>
      </c>
      <c r="E534">
        <f t="shared" si="318"/>
        <v>5</v>
      </c>
      <c r="F534">
        <f t="shared" si="285"/>
        <v>360</v>
      </c>
      <c r="G534">
        <f t="shared" si="299"/>
        <v>0</v>
      </c>
      <c r="H534">
        <f t="shared" si="307"/>
        <v>4</v>
      </c>
      <c r="I534">
        <f t="shared" si="286"/>
        <v>360</v>
      </c>
      <c r="J534">
        <f t="shared" si="300"/>
        <v>0</v>
      </c>
      <c r="K534">
        <f t="shared" si="308"/>
        <v>3</v>
      </c>
      <c r="L534">
        <f t="shared" si="287"/>
        <v>360</v>
      </c>
      <c r="M534">
        <f t="shared" si="301"/>
        <v>0</v>
      </c>
      <c r="N534">
        <f t="shared" si="309"/>
        <v>2</v>
      </c>
      <c r="O534">
        <f t="shared" si="288"/>
        <v>300</v>
      </c>
      <c r="P534">
        <f t="shared" si="310"/>
        <v>0</v>
      </c>
      <c r="Q534">
        <f t="shared" si="311"/>
        <v>2</v>
      </c>
      <c r="R534">
        <f t="shared" si="289"/>
        <v>300</v>
      </c>
      <c r="S534">
        <f t="shared" si="312"/>
        <v>0</v>
      </c>
      <c r="T534">
        <f t="shared" si="313"/>
        <v>-1</v>
      </c>
      <c r="U534">
        <f t="shared" si="302"/>
        <v>1</v>
      </c>
      <c r="V534">
        <f t="shared" si="303"/>
        <v>1</v>
      </c>
      <c r="W534">
        <f t="shared" si="290"/>
        <v>0</v>
      </c>
      <c r="X534">
        <f t="shared" si="314"/>
        <v>0</v>
      </c>
      <c r="Y534">
        <f t="shared" si="291"/>
        <v>0</v>
      </c>
      <c r="Z534">
        <f t="shared" si="292"/>
        <v>0</v>
      </c>
      <c r="AA534">
        <f t="shared" si="293"/>
        <v>0</v>
      </c>
      <c r="AB534" s="29">
        <f t="shared" si="294"/>
        <v>0</v>
      </c>
      <c r="AC534" s="25">
        <f t="shared" si="304"/>
        <v>0</v>
      </c>
      <c r="AD534" s="29">
        <f t="shared" si="295"/>
        <v>0</v>
      </c>
      <c r="AE534" s="25">
        <f t="shared" si="305"/>
        <v>0</v>
      </c>
      <c r="AF534" s="25">
        <f t="shared" si="296"/>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7"/>
        <v>-1</v>
      </c>
      <c r="B535">
        <f t="shared" si="306"/>
        <v>6</v>
      </c>
      <c r="C535">
        <f t="shared" si="284"/>
        <v>300</v>
      </c>
      <c r="D535">
        <f t="shared" si="298"/>
        <v>0</v>
      </c>
      <c r="E535">
        <f t="shared" si="318"/>
        <v>5</v>
      </c>
      <c r="F535">
        <f t="shared" si="285"/>
        <v>360</v>
      </c>
      <c r="G535">
        <f t="shared" si="299"/>
        <v>0</v>
      </c>
      <c r="H535">
        <f t="shared" si="307"/>
        <v>4</v>
      </c>
      <c r="I535">
        <f t="shared" si="286"/>
        <v>360</v>
      </c>
      <c r="J535">
        <f t="shared" si="300"/>
        <v>0</v>
      </c>
      <c r="K535">
        <f t="shared" si="308"/>
        <v>3</v>
      </c>
      <c r="L535">
        <f t="shared" si="287"/>
        <v>360</v>
      </c>
      <c r="M535">
        <f t="shared" si="301"/>
        <v>0</v>
      </c>
      <c r="N535">
        <f t="shared" si="309"/>
        <v>2</v>
      </c>
      <c r="O535">
        <f t="shared" si="288"/>
        <v>300</v>
      </c>
      <c r="P535">
        <f t="shared" si="310"/>
        <v>0</v>
      </c>
      <c r="Q535">
        <f t="shared" si="311"/>
        <v>2</v>
      </c>
      <c r="R535">
        <f t="shared" si="289"/>
        <v>300</v>
      </c>
      <c r="S535">
        <f t="shared" si="312"/>
        <v>0</v>
      </c>
      <c r="T535">
        <f t="shared" si="313"/>
        <v>-1</v>
      </c>
      <c r="U535">
        <f t="shared" si="302"/>
        <v>1</v>
      </c>
      <c r="V535">
        <f t="shared" si="303"/>
        <v>1</v>
      </c>
      <c r="W535">
        <f t="shared" si="290"/>
        <v>0</v>
      </c>
      <c r="X535">
        <f t="shared" si="314"/>
        <v>0</v>
      </c>
      <c r="Y535">
        <f t="shared" si="291"/>
        <v>0</v>
      </c>
      <c r="Z535">
        <f t="shared" si="292"/>
        <v>0</v>
      </c>
      <c r="AA535">
        <f t="shared" si="293"/>
        <v>0</v>
      </c>
      <c r="AB535" s="29">
        <f t="shared" si="294"/>
        <v>0</v>
      </c>
      <c r="AC535" s="25">
        <f t="shared" si="304"/>
        <v>0</v>
      </c>
      <c r="AD535" s="29">
        <f t="shared" si="295"/>
        <v>0</v>
      </c>
      <c r="AE535" s="25">
        <f t="shared" si="305"/>
        <v>0</v>
      </c>
      <c r="AF535" s="25">
        <f t="shared" si="296"/>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7"/>
        <v>-1</v>
      </c>
      <c r="B536">
        <f t="shared" si="306"/>
        <v>6</v>
      </c>
      <c r="C536">
        <f t="shared" si="284"/>
        <v>300</v>
      </c>
      <c r="D536">
        <f t="shared" si="298"/>
        <v>0</v>
      </c>
      <c r="E536">
        <f t="shared" si="318"/>
        <v>5</v>
      </c>
      <c r="F536">
        <f t="shared" si="285"/>
        <v>360</v>
      </c>
      <c r="G536">
        <f t="shared" si="299"/>
        <v>0</v>
      </c>
      <c r="H536">
        <f t="shared" si="307"/>
        <v>4</v>
      </c>
      <c r="I536">
        <f t="shared" si="286"/>
        <v>360</v>
      </c>
      <c r="J536">
        <f t="shared" si="300"/>
        <v>0</v>
      </c>
      <c r="K536">
        <f t="shared" si="308"/>
        <v>3</v>
      </c>
      <c r="L536">
        <f t="shared" si="287"/>
        <v>360</v>
      </c>
      <c r="M536">
        <f t="shared" si="301"/>
        <v>0</v>
      </c>
      <c r="N536">
        <f t="shared" si="309"/>
        <v>2</v>
      </c>
      <c r="O536">
        <f t="shared" si="288"/>
        <v>300</v>
      </c>
      <c r="P536">
        <f t="shared" si="310"/>
        <v>0</v>
      </c>
      <c r="Q536">
        <f t="shared" si="311"/>
        <v>2</v>
      </c>
      <c r="R536">
        <f t="shared" si="289"/>
        <v>300</v>
      </c>
      <c r="S536">
        <f t="shared" si="312"/>
        <v>0</v>
      </c>
      <c r="T536">
        <f t="shared" si="313"/>
        <v>-1</v>
      </c>
      <c r="U536">
        <f t="shared" si="302"/>
        <v>1</v>
      </c>
      <c r="V536">
        <f t="shared" si="303"/>
        <v>1</v>
      </c>
      <c r="W536">
        <f t="shared" si="290"/>
        <v>0</v>
      </c>
      <c r="X536">
        <f t="shared" si="314"/>
        <v>0</v>
      </c>
      <c r="Y536">
        <f t="shared" si="291"/>
        <v>0</v>
      </c>
      <c r="Z536">
        <f t="shared" si="292"/>
        <v>0</v>
      </c>
      <c r="AA536">
        <f t="shared" si="293"/>
        <v>0</v>
      </c>
      <c r="AB536" s="29">
        <f t="shared" si="294"/>
        <v>0</v>
      </c>
      <c r="AC536" s="25">
        <f t="shared" si="304"/>
        <v>0</v>
      </c>
      <c r="AD536" s="29">
        <f t="shared" si="295"/>
        <v>0</v>
      </c>
      <c r="AE536" s="25">
        <f t="shared" si="305"/>
        <v>0</v>
      </c>
      <c r="AF536" s="25">
        <f t="shared" si="296"/>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7"/>
        <v>-1</v>
      </c>
      <c r="B537">
        <f t="shared" si="306"/>
        <v>6</v>
      </c>
      <c r="C537">
        <f t="shared" si="284"/>
        <v>300</v>
      </c>
      <c r="D537">
        <f t="shared" si="298"/>
        <v>0</v>
      </c>
      <c r="E537">
        <f t="shared" si="318"/>
        <v>5</v>
      </c>
      <c r="F537">
        <f t="shared" si="285"/>
        <v>360</v>
      </c>
      <c r="G537">
        <f t="shared" si="299"/>
        <v>0</v>
      </c>
      <c r="H537">
        <f t="shared" si="307"/>
        <v>4</v>
      </c>
      <c r="I537">
        <f t="shared" si="286"/>
        <v>360</v>
      </c>
      <c r="J537">
        <f t="shared" si="300"/>
        <v>0</v>
      </c>
      <c r="K537">
        <f t="shared" si="308"/>
        <v>3</v>
      </c>
      <c r="L537">
        <f t="shared" si="287"/>
        <v>360</v>
      </c>
      <c r="M537">
        <f t="shared" si="301"/>
        <v>0</v>
      </c>
      <c r="N537">
        <f t="shared" si="309"/>
        <v>2</v>
      </c>
      <c r="O537">
        <f t="shared" si="288"/>
        <v>300</v>
      </c>
      <c r="P537">
        <f t="shared" si="310"/>
        <v>0</v>
      </c>
      <c r="Q537">
        <f t="shared" si="311"/>
        <v>2</v>
      </c>
      <c r="R537">
        <f t="shared" si="289"/>
        <v>300</v>
      </c>
      <c r="S537">
        <f t="shared" si="312"/>
        <v>0</v>
      </c>
      <c r="T537">
        <f t="shared" si="313"/>
        <v>-1</v>
      </c>
      <c r="U537">
        <f t="shared" si="302"/>
        <v>1</v>
      </c>
      <c r="V537">
        <f t="shared" si="303"/>
        <v>1</v>
      </c>
      <c r="W537">
        <f t="shared" si="290"/>
        <v>0</v>
      </c>
      <c r="X537">
        <f t="shared" si="314"/>
        <v>0</v>
      </c>
      <c r="Y537">
        <f t="shared" si="291"/>
        <v>0</v>
      </c>
      <c r="Z537">
        <f t="shared" si="292"/>
        <v>0</v>
      </c>
      <c r="AA537">
        <f t="shared" si="293"/>
        <v>0</v>
      </c>
      <c r="AB537" s="29">
        <f t="shared" si="294"/>
        <v>0</v>
      </c>
      <c r="AC537" s="25">
        <f t="shared" si="304"/>
        <v>0</v>
      </c>
      <c r="AD537" s="29">
        <f t="shared" si="295"/>
        <v>0</v>
      </c>
      <c r="AE537" s="25">
        <f t="shared" si="305"/>
        <v>0</v>
      </c>
      <c r="AF537" s="25">
        <f t="shared" si="296"/>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7"/>
        <v>-1</v>
      </c>
      <c r="B538">
        <f t="shared" si="306"/>
        <v>6</v>
      </c>
      <c r="C538">
        <f t="shared" si="284"/>
        <v>300</v>
      </c>
      <c r="D538">
        <f t="shared" si="298"/>
        <v>0</v>
      </c>
      <c r="E538">
        <f t="shared" si="318"/>
        <v>5</v>
      </c>
      <c r="F538">
        <f t="shared" si="285"/>
        <v>360</v>
      </c>
      <c r="G538">
        <f t="shared" si="299"/>
        <v>0</v>
      </c>
      <c r="H538">
        <f t="shared" si="307"/>
        <v>4</v>
      </c>
      <c r="I538">
        <f t="shared" si="286"/>
        <v>360</v>
      </c>
      <c r="J538">
        <f t="shared" si="300"/>
        <v>0</v>
      </c>
      <c r="K538">
        <f t="shared" si="308"/>
        <v>3</v>
      </c>
      <c r="L538">
        <f t="shared" si="287"/>
        <v>360</v>
      </c>
      <c r="M538">
        <f t="shared" si="301"/>
        <v>0</v>
      </c>
      <c r="N538">
        <f t="shared" si="309"/>
        <v>2</v>
      </c>
      <c r="O538">
        <f t="shared" si="288"/>
        <v>300</v>
      </c>
      <c r="P538">
        <f t="shared" si="310"/>
        <v>0</v>
      </c>
      <c r="Q538">
        <f t="shared" si="311"/>
        <v>2</v>
      </c>
      <c r="R538">
        <f t="shared" si="289"/>
        <v>300</v>
      </c>
      <c r="S538">
        <f t="shared" si="312"/>
        <v>0</v>
      </c>
      <c r="T538">
        <f t="shared" si="313"/>
        <v>-1</v>
      </c>
      <c r="U538">
        <f t="shared" si="302"/>
        <v>1</v>
      </c>
      <c r="V538">
        <f t="shared" si="303"/>
        <v>1</v>
      </c>
      <c r="W538">
        <f t="shared" si="290"/>
        <v>0</v>
      </c>
      <c r="X538">
        <f t="shared" si="314"/>
        <v>0</v>
      </c>
      <c r="Y538">
        <f t="shared" si="291"/>
        <v>0</v>
      </c>
      <c r="Z538">
        <f t="shared" si="292"/>
        <v>0</v>
      </c>
      <c r="AA538">
        <f t="shared" si="293"/>
        <v>0</v>
      </c>
      <c r="AB538" s="29">
        <f t="shared" si="294"/>
        <v>0</v>
      </c>
      <c r="AC538" s="25">
        <f t="shared" si="304"/>
        <v>0</v>
      </c>
      <c r="AD538" s="29">
        <f t="shared" si="295"/>
        <v>0</v>
      </c>
      <c r="AE538" s="25">
        <f t="shared" si="305"/>
        <v>0</v>
      </c>
      <c r="AF538" s="25">
        <f t="shared" si="296"/>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7"/>
        <v>-1</v>
      </c>
      <c r="B539">
        <f t="shared" si="306"/>
        <v>6</v>
      </c>
      <c r="C539">
        <f t="shared" si="284"/>
        <v>300</v>
      </c>
      <c r="D539">
        <f t="shared" si="298"/>
        <v>0</v>
      </c>
      <c r="E539">
        <f t="shared" si="318"/>
        <v>5</v>
      </c>
      <c r="F539">
        <f t="shared" si="285"/>
        <v>360</v>
      </c>
      <c r="G539">
        <f t="shared" si="299"/>
        <v>0</v>
      </c>
      <c r="H539">
        <f t="shared" si="307"/>
        <v>4</v>
      </c>
      <c r="I539">
        <f t="shared" si="286"/>
        <v>360</v>
      </c>
      <c r="J539">
        <f t="shared" si="300"/>
        <v>0</v>
      </c>
      <c r="K539">
        <f t="shared" si="308"/>
        <v>3</v>
      </c>
      <c r="L539">
        <f t="shared" si="287"/>
        <v>360</v>
      </c>
      <c r="M539">
        <f t="shared" si="301"/>
        <v>0</v>
      </c>
      <c r="N539">
        <f t="shared" si="309"/>
        <v>2</v>
      </c>
      <c r="O539">
        <f t="shared" si="288"/>
        <v>300</v>
      </c>
      <c r="P539">
        <f t="shared" si="310"/>
        <v>0</v>
      </c>
      <c r="Q539">
        <f t="shared" si="311"/>
        <v>2</v>
      </c>
      <c r="R539">
        <f t="shared" si="289"/>
        <v>300</v>
      </c>
      <c r="S539">
        <f t="shared" si="312"/>
        <v>0</v>
      </c>
      <c r="T539">
        <f t="shared" si="313"/>
        <v>-1</v>
      </c>
      <c r="U539">
        <f t="shared" si="302"/>
        <v>1</v>
      </c>
      <c r="V539">
        <f t="shared" si="303"/>
        <v>1</v>
      </c>
      <c r="W539">
        <f t="shared" si="290"/>
        <v>0</v>
      </c>
      <c r="X539">
        <f t="shared" si="314"/>
        <v>0</v>
      </c>
      <c r="Y539">
        <f t="shared" si="291"/>
        <v>0</v>
      </c>
      <c r="Z539">
        <f t="shared" si="292"/>
        <v>0</v>
      </c>
      <c r="AA539">
        <f t="shared" si="293"/>
        <v>0</v>
      </c>
      <c r="AB539" s="29">
        <f t="shared" si="294"/>
        <v>0</v>
      </c>
      <c r="AC539" s="25">
        <f t="shared" si="304"/>
        <v>0</v>
      </c>
      <c r="AD539" s="29">
        <f t="shared" si="295"/>
        <v>0</v>
      </c>
      <c r="AE539" s="25">
        <f t="shared" si="305"/>
        <v>0</v>
      </c>
      <c r="AF539" s="25">
        <f t="shared" si="296"/>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7"/>
        <v>-1</v>
      </c>
      <c r="B540">
        <f t="shared" si="306"/>
        <v>6</v>
      </c>
      <c r="C540">
        <f t="shared" si="284"/>
        <v>300</v>
      </c>
      <c r="D540">
        <f t="shared" si="298"/>
        <v>0</v>
      </c>
      <c r="E540">
        <f t="shared" si="318"/>
        <v>5</v>
      </c>
      <c r="F540">
        <f t="shared" si="285"/>
        <v>360</v>
      </c>
      <c r="G540">
        <f t="shared" si="299"/>
        <v>0</v>
      </c>
      <c r="H540">
        <f t="shared" si="307"/>
        <v>4</v>
      </c>
      <c r="I540">
        <f t="shared" si="286"/>
        <v>360</v>
      </c>
      <c r="J540">
        <f t="shared" si="300"/>
        <v>0</v>
      </c>
      <c r="K540">
        <f t="shared" si="308"/>
        <v>3</v>
      </c>
      <c r="L540">
        <f t="shared" si="287"/>
        <v>360</v>
      </c>
      <c r="M540">
        <f t="shared" si="301"/>
        <v>0</v>
      </c>
      <c r="N540">
        <f t="shared" si="309"/>
        <v>2</v>
      </c>
      <c r="O540">
        <f t="shared" si="288"/>
        <v>300</v>
      </c>
      <c r="P540">
        <f t="shared" si="310"/>
        <v>0</v>
      </c>
      <c r="Q540">
        <f t="shared" si="311"/>
        <v>2</v>
      </c>
      <c r="R540">
        <f t="shared" si="289"/>
        <v>300</v>
      </c>
      <c r="S540">
        <f t="shared" si="312"/>
        <v>0</v>
      </c>
      <c r="T540">
        <f t="shared" si="313"/>
        <v>-1</v>
      </c>
      <c r="U540">
        <f t="shared" si="302"/>
        <v>1</v>
      </c>
      <c r="V540">
        <f t="shared" si="303"/>
        <v>1</v>
      </c>
      <c r="W540">
        <f t="shared" si="290"/>
        <v>0</v>
      </c>
      <c r="X540">
        <f t="shared" si="314"/>
        <v>0</v>
      </c>
      <c r="Y540">
        <f t="shared" si="291"/>
        <v>0</v>
      </c>
      <c r="Z540">
        <f t="shared" si="292"/>
        <v>0</v>
      </c>
      <c r="AA540">
        <f t="shared" si="293"/>
        <v>0</v>
      </c>
      <c r="AB540" s="29">
        <f t="shared" si="294"/>
        <v>0</v>
      </c>
      <c r="AC540" s="25">
        <f t="shared" si="304"/>
        <v>0</v>
      </c>
      <c r="AD540" s="29">
        <f t="shared" si="295"/>
        <v>0</v>
      </c>
      <c r="AE540" s="25">
        <f t="shared" si="305"/>
        <v>0</v>
      </c>
      <c r="AF540" s="25">
        <f t="shared" si="296"/>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7"/>
        <v>-1</v>
      </c>
      <c r="B541">
        <f t="shared" si="306"/>
        <v>6</v>
      </c>
      <c r="C541">
        <f t="shared" si="284"/>
        <v>300</v>
      </c>
      <c r="D541">
        <f t="shared" si="298"/>
        <v>0</v>
      </c>
      <c r="E541">
        <f t="shared" si="318"/>
        <v>5</v>
      </c>
      <c r="F541">
        <f t="shared" si="285"/>
        <v>360</v>
      </c>
      <c r="G541">
        <f t="shared" si="299"/>
        <v>0</v>
      </c>
      <c r="H541">
        <f t="shared" si="307"/>
        <v>4</v>
      </c>
      <c r="I541">
        <f t="shared" si="286"/>
        <v>360</v>
      </c>
      <c r="J541">
        <f t="shared" si="300"/>
        <v>0</v>
      </c>
      <c r="K541">
        <f t="shared" si="308"/>
        <v>3</v>
      </c>
      <c r="L541">
        <f t="shared" si="287"/>
        <v>360</v>
      </c>
      <c r="M541">
        <f t="shared" si="301"/>
        <v>0</v>
      </c>
      <c r="N541">
        <f t="shared" si="309"/>
        <v>2</v>
      </c>
      <c r="O541">
        <f t="shared" si="288"/>
        <v>300</v>
      </c>
      <c r="P541">
        <f t="shared" si="310"/>
        <v>0</v>
      </c>
      <c r="Q541">
        <f t="shared" si="311"/>
        <v>2</v>
      </c>
      <c r="R541">
        <f t="shared" si="289"/>
        <v>300</v>
      </c>
      <c r="S541">
        <f t="shared" si="312"/>
        <v>0</v>
      </c>
      <c r="T541">
        <f t="shared" si="313"/>
        <v>-1</v>
      </c>
      <c r="U541">
        <f t="shared" si="302"/>
        <v>1</v>
      </c>
      <c r="V541">
        <f t="shared" si="303"/>
        <v>1</v>
      </c>
      <c r="W541">
        <f t="shared" si="290"/>
        <v>0</v>
      </c>
      <c r="X541">
        <f t="shared" si="314"/>
        <v>0</v>
      </c>
      <c r="Y541">
        <f t="shared" si="291"/>
        <v>0</v>
      </c>
      <c r="Z541">
        <f t="shared" si="292"/>
        <v>0</v>
      </c>
      <c r="AA541">
        <f t="shared" si="293"/>
        <v>0</v>
      </c>
      <c r="AB541" s="29">
        <f t="shared" si="294"/>
        <v>0</v>
      </c>
      <c r="AC541" s="25">
        <f t="shared" si="304"/>
        <v>0</v>
      </c>
      <c r="AD541" s="29">
        <f t="shared" si="295"/>
        <v>0</v>
      </c>
      <c r="AE541" s="25">
        <f t="shared" si="305"/>
        <v>0</v>
      </c>
      <c r="AF541" s="25">
        <f t="shared" si="296"/>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7"/>
        <v>-1</v>
      </c>
      <c r="B542">
        <f t="shared" si="306"/>
        <v>6</v>
      </c>
      <c r="C542">
        <f t="shared" si="284"/>
        <v>300</v>
      </c>
      <c r="D542">
        <f t="shared" si="298"/>
        <v>0</v>
      </c>
      <c r="E542">
        <f t="shared" si="318"/>
        <v>5</v>
      </c>
      <c r="F542">
        <f t="shared" si="285"/>
        <v>360</v>
      </c>
      <c r="G542">
        <f t="shared" si="299"/>
        <v>0</v>
      </c>
      <c r="H542">
        <f t="shared" si="307"/>
        <v>4</v>
      </c>
      <c r="I542">
        <f t="shared" si="286"/>
        <v>360</v>
      </c>
      <c r="J542">
        <f t="shared" si="300"/>
        <v>0</v>
      </c>
      <c r="K542">
        <f t="shared" si="308"/>
        <v>3</v>
      </c>
      <c r="L542">
        <f t="shared" si="287"/>
        <v>360</v>
      </c>
      <c r="M542">
        <f t="shared" si="301"/>
        <v>0</v>
      </c>
      <c r="N542">
        <f t="shared" si="309"/>
        <v>2</v>
      </c>
      <c r="O542">
        <f t="shared" si="288"/>
        <v>300</v>
      </c>
      <c r="P542">
        <f t="shared" si="310"/>
        <v>0</v>
      </c>
      <c r="Q542">
        <f t="shared" si="311"/>
        <v>2</v>
      </c>
      <c r="R542">
        <f t="shared" si="289"/>
        <v>300</v>
      </c>
      <c r="S542">
        <f t="shared" si="312"/>
        <v>0</v>
      </c>
      <c r="T542">
        <f t="shared" si="313"/>
        <v>-1</v>
      </c>
      <c r="U542">
        <f t="shared" si="302"/>
        <v>1</v>
      </c>
      <c r="V542">
        <f t="shared" si="303"/>
        <v>1</v>
      </c>
      <c r="W542">
        <f t="shared" si="290"/>
        <v>0</v>
      </c>
      <c r="X542">
        <f t="shared" si="314"/>
        <v>0</v>
      </c>
      <c r="Y542">
        <f t="shared" si="291"/>
        <v>0</v>
      </c>
      <c r="Z542">
        <f t="shared" si="292"/>
        <v>0</v>
      </c>
      <c r="AA542">
        <f t="shared" si="293"/>
        <v>0</v>
      </c>
      <c r="AB542" s="29">
        <f t="shared" si="294"/>
        <v>0</v>
      </c>
      <c r="AC542" s="25">
        <f t="shared" si="304"/>
        <v>0</v>
      </c>
      <c r="AD542" s="29">
        <f t="shared" si="295"/>
        <v>0</v>
      </c>
      <c r="AE542" s="25">
        <f t="shared" si="305"/>
        <v>0</v>
      </c>
      <c r="AF542" s="25">
        <f t="shared" si="296"/>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7"/>
        <v>-1</v>
      </c>
      <c r="B543">
        <f t="shared" si="306"/>
        <v>6</v>
      </c>
      <c r="C543">
        <f t="shared" si="284"/>
        <v>300</v>
      </c>
      <c r="D543">
        <f t="shared" si="298"/>
        <v>0</v>
      </c>
      <c r="E543">
        <f t="shared" si="318"/>
        <v>5</v>
      </c>
      <c r="F543">
        <f t="shared" si="285"/>
        <v>360</v>
      </c>
      <c r="G543">
        <f t="shared" si="299"/>
        <v>0</v>
      </c>
      <c r="H543">
        <f t="shared" si="307"/>
        <v>4</v>
      </c>
      <c r="I543">
        <f t="shared" si="286"/>
        <v>360</v>
      </c>
      <c r="J543">
        <f t="shared" si="300"/>
        <v>0</v>
      </c>
      <c r="K543">
        <f t="shared" si="308"/>
        <v>3</v>
      </c>
      <c r="L543">
        <f t="shared" si="287"/>
        <v>360</v>
      </c>
      <c r="M543">
        <f t="shared" si="301"/>
        <v>0</v>
      </c>
      <c r="N543">
        <f t="shared" si="309"/>
        <v>2</v>
      </c>
      <c r="O543">
        <f t="shared" si="288"/>
        <v>300</v>
      </c>
      <c r="P543">
        <f t="shared" si="310"/>
        <v>0</v>
      </c>
      <c r="Q543">
        <f t="shared" si="311"/>
        <v>2</v>
      </c>
      <c r="R543">
        <f t="shared" si="289"/>
        <v>300</v>
      </c>
      <c r="S543">
        <f t="shared" si="312"/>
        <v>0</v>
      </c>
      <c r="T543">
        <f t="shared" si="313"/>
        <v>-1</v>
      </c>
      <c r="U543">
        <f t="shared" si="302"/>
        <v>1</v>
      </c>
      <c r="V543">
        <f t="shared" si="303"/>
        <v>1</v>
      </c>
      <c r="W543">
        <f t="shared" si="290"/>
        <v>0</v>
      </c>
      <c r="X543">
        <f t="shared" si="314"/>
        <v>0</v>
      </c>
      <c r="Y543">
        <f t="shared" si="291"/>
        <v>0</v>
      </c>
      <c r="Z543">
        <f t="shared" si="292"/>
        <v>0</v>
      </c>
      <c r="AA543">
        <f t="shared" si="293"/>
        <v>0</v>
      </c>
      <c r="AB543" s="29">
        <f t="shared" si="294"/>
        <v>0</v>
      </c>
      <c r="AC543" s="25">
        <f t="shared" si="304"/>
        <v>0</v>
      </c>
      <c r="AD543" s="29">
        <f t="shared" si="295"/>
        <v>0</v>
      </c>
      <c r="AE543" s="25">
        <f t="shared" si="305"/>
        <v>0</v>
      </c>
      <c r="AF543" s="25">
        <f t="shared" si="296"/>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7"/>
        <v>-1</v>
      </c>
      <c r="B544">
        <f t="shared" si="306"/>
        <v>6</v>
      </c>
      <c r="C544">
        <f t="shared" si="284"/>
        <v>300</v>
      </c>
      <c r="D544">
        <f t="shared" si="298"/>
        <v>0</v>
      </c>
      <c r="E544">
        <f t="shared" si="318"/>
        <v>5</v>
      </c>
      <c r="F544">
        <f t="shared" si="285"/>
        <v>360</v>
      </c>
      <c r="G544">
        <f t="shared" si="299"/>
        <v>0</v>
      </c>
      <c r="H544">
        <f t="shared" si="307"/>
        <v>4</v>
      </c>
      <c r="I544">
        <f t="shared" si="286"/>
        <v>360</v>
      </c>
      <c r="J544">
        <f t="shared" si="300"/>
        <v>0</v>
      </c>
      <c r="K544">
        <f t="shared" si="308"/>
        <v>3</v>
      </c>
      <c r="L544">
        <f t="shared" si="287"/>
        <v>360</v>
      </c>
      <c r="M544">
        <f t="shared" si="301"/>
        <v>0</v>
      </c>
      <c r="N544">
        <f t="shared" si="309"/>
        <v>2</v>
      </c>
      <c r="O544">
        <f t="shared" si="288"/>
        <v>300</v>
      </c>
      <c r="P544">
        <f t="shared" si="310"/>
        <v>0</v>
      </c>
      <c r="Q544">
        <f t="shared" si="311"/>
        <v>2</v>
      </c>
      <c r="R544">
        <f t="shared" si="289"/>
        <v>300</v>
      </c>
      <c r="S544">
        <f t="shared" si="312"/>
        <v>0</v>
      </c>
      <c r="T544">
        <f t="shared" si="313"/>
        <v>-1</v>
      </c>
      <c r="U544">
        <f t="shared" si="302"/>
        <v>1</v>
      </c>
      <c r="V544">
        <f t="shared" si="303"/>
        <v>1</v>
      </c>
      <c r="W544">
        <f t="shared" si="290"/>
        <v>0</v>
      </c>
      <c r="X544">
        <f t="shared" si="314"/>
        <v>0</v>
      </c>
      <c r="Y544">
        <f t="shared" si="291"/>
        <v>0</v>
      </c>
      <c r="Z544">
        <f t="shared" si="292"/>
        <v>0</v>
      </c>
      <c r="AA544">
        <f t="shared" si="293"/>
        <v>0</v>
      </c>
      <c r="AB544" s="29">
        <f t="shared" si="294"/>
        <v>0</v>
      </c>
      <c r="AC544" s="25">
        <f t="shared" si="304"/>
        <v>0</v>
      </c>
      <c r="AD544" s="29">
        <f t="shared" si="295"/>
        <v>0</v>
      </c>
      <c r="AE544" s="25">
        <f t="shared" si="305"/>
        <v>0</v>
      </c>
      <c r="AF544" s="25">
        <f t="shared" si="296"/>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7"/>
        <v>-1</v>
      </c>
      <c r="B545">
        <f t="shared" si="306"/>
        <v>6</v>
      </c>
      <c r="C545">
        <f t="shared" si="284"/>
        <v>300</v>
      </c>
      <c r="D545">
        <f t="shared" si="298"/>
        <v>0</v>
      </c>
      <c r="E545">
        <f t="shared" si="318"/>
        <v>5</v>
      </c>
      <c r="F545">
        <f t="shared" si="285"/>
        <v>360</v>
      </c>
      <c r="G545">
        <f t="shared" si="299"/>
        <v>0</v>
      </c>
      <c r="H545">
        <f t="shared" si="307"/>
        <v>4</v>
      </c>
      <c r="I545">
        <f t="shared" si="286"/>
        <v>360</v>
      </c>
      <c r="J545">
        <f t="shared" si="300"/>
        <v>0</v>
      </c>
      <c r="K545">
        <f t="shared" si="308"/>
        <v>3</v>
      </c>
      <c r="L545">
        <f t="shared" si="287"/>
        <v>360</v>
      </c>
      <c r="M545">
        <f t="shared" si="301"/>
        <v>0</v>
      </c>
      <c r="N545">
        <f t="shared" si="309"/>
        <v>2</v>
      </c>
      <c r="O545">
        <f t="shared" si="288"/>
        <v>300</v>
      </c>
      <c r="P545">
        <f t="shared" si="310"/>
        <v>0</v>
      </c>
      <c r="Q545">
        <f t="shared" si="311"/>
        <v>2</v>
      </c>
      <c r="R545">
        <f t="shared" si="289"/>
        <v>300</v>
      </c>
      <c r="S545">
        <f t="shared" si="312"/>
        <v>0</v>
      </c>
      <c r="T545">
        <f t="shared" si="313"/>
        <v>-1</v>
      </c>
      <c r="U545">
        <f t="shared" si="302"/>
        <v>1</v>
      </c>
      <c r="V545">
        <f t="shared" si="303"/>
        <v>1</v>
      </c>
      <c r="W545">
        <f t="shared" si="290"/>
        <v>0</v>
      </c>
      <c r="X545">
        <f t="shared" si="314"/>
        <v>0</v>
      </c>
      <c r="Y545">
        <f t="shared" si="291"/>
        <v>0</v>
      </c>
      <c r="Z545">
        <f t="shared" si="292"/>
        <v>0</v>
      </c>
      <c r="AA545">
        <f t="shared" si="293"/>
        <v>0</v>
      </c>
      <c r="AB545" s="29">
        <f t="shared" si="294"/>
        <v>0</v>
      </c>
      <c r="AC545" s="25">
        <f t="shared" si="304"/>
        <v>0</v>
      </c>
      <c r="AD545" s="29">
        <f t="shared" si="295"/>
        <v>0</v>
      </c>
      <c r="AE545" s="25">
        <f t="shared" si="305"/>
        <v>0</v>
      </c>
      <c r="AF545" s="25">
        <f t="shared" si="296"/>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7"/>
        <v>-1</v>
      </c>
      <c r="B546">
        <f t="shared" si="306"/>
        <v>6</v>
      </c>
      <c r="C546">
        <f t="shared" si="284"/>
        <v>300</v>
      </c>
      <c r="D546">
        <f t="shared" si="298"/>
        <v>0</v>
      </c>
      <c r="E546">
        <f t="shared" si="318"/>
        <v>5</v>
      </c>
      <c r="F546">
        <f t="shared" si="285"/>
        <v>360</v>
      </c>
      <c r="G546">
        <f t="shared" si="299"/>
        <v>0</v>
      </c>
      <c r="H546">
        <f t="shared" si="307"/>
        <v>4</v>
      </c>
      <c r="I546">
        <f t="shared" si="286"/>
        <v>360</v>
      </c>
      <c r="J546">
        <f t="shared" si="300"/>
        <v>0</v>
      </c>
      <c r="K546">
        <f t="shared" si="308"/>
        <v>3</v>
      </c>
      <c r="L546">
        <f t="shared" si="287"/>
        <v>360</v>
      </c>
      <c r="M546">
        <f t="shared" si="301"/>
        <v>0</v>
      </c>
      <c r="N546">
        <f t="shared" si="309"/>
        <v>2</v>
      </c>
      <c r="O546">
        <f t="shared" si="288"/>
        <v>300</v>
      </c>
      <c r="P546">
        <f t="shared" si="310"/>
        <v>0</v>
      </c>
      <c r="Q546">
        <f t="shared" si="311"/>
        <v>2</v>
      </c>
      <c r="R546">
        <f t="shared" si="289"/>
        <v>300</v>
      </c>
      <c r="S546">
        <f t="shared" si="312"/>
        <v>0</v>
      </c>
      <c r="T546">
        <f t="shared" si="313"/>
        <v>-1</v>
      </c>
      <c r="U546">
        <f t="shared" si="302"/>
        <v>1</v>
      </c>
      <c r="V546">
        <f t="shared" si="303"/>
        <v>1</v>
      </c>
      <c r="W546">
        <f t="shared" si="290"/>
        <v>0</v>
      </c>
      <c r="X546">
        <f t="shared" si="314"/>
        <v>0</v>
      </c>
      <c r="Y546">
        <f t="shared" si="291"/>
        <v>0</v>
      </c>
      <c r="Z546">
        <f t="shared" si="292"/>
        <v>0</v>
      </c>
      <c r="AA546">
        <f t="shared" si="293"/>
        <v>0</v>
      </c>
      <c r="AB546" s="29">
        <f t="shared" si="294"/>
        <v>0</v>
      </c>
      <c r="AC546" s="25">
        <f t="shared" si="304"/>
        <v>0</v>
      </c>
      <c r="AD546" s="29">
        <f t="shared" si="295"/>
        <v>0</v>
      </c>
      <c r="AE546" s="25">
        <f t="shared" si="305"/>
        <v>0</v>
      </c>
      <c r="AF546" s="25">
        <f t="shared" si="296"/>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7"/>
        <v>-1</v>
      </c>
      <c r="B547">
        <f t="shared" si="306"/>
        <v>6</v>
      </c>
      <c r="C547">
        <f t="shared" si="284"/>
        <v>300</v>
      </c>
      <c r="D547">
        <f t="shared" si="298"/>
        <v>0</v>
      </c>
      <c r="E547">
        <f t="shared" si="318"/>
        <v>5</v>
      </c>
      <c r="F547">
        <f t="shared" si="285"/>
        <v>360</v>
      </c>
      <c r="G547">
        <f t="shared" si="299"/>
        <v>0</v>
      </c>
      <c r="H547">
        <f t="shared" si="307"/>
        <v>4</v>
      </c>
      <c r="I547">
        <f t="shared" si="286"/>
        <v>360</v>
      </c>
      <c r="J547">
        <f t="shared" si="300"/>
        <v>0</v>
      </c>
      <c r="K547">
        <f t="shared" si="308"/>
        <v>3</v>
      </c>
      <c r="L547">
        <f t="shared" si="287"/>
        <v>360</v>
      </c>
      <c r="M547">
        <f t="shared" si="301"/>
        <v>0</v>
      </c>
      <c r="N547">
        <f t="shared" si="309"/>
        <v>2</v>
      </c>
      <c r="O547">
        <f t="shared" si="288"/>
        <v>300</v>
      </c>
      <c r="P547">
        <f t="shared" si="310"/>
        <v>0</v>
      </c>
      <c r="Q547">
        <f t="shared" si="311"/>
        <v>2</v>
      </c>
      <c r="R547">
        <f t="shared" si="289"/>
        <v>300</v>
      </c>
      <c r="S547">
        <f t="shared" si="312"/>
        <v>0</v>
      </c>
      <c r="T547">
        <f t="shared" si="313"/>
        <v>-1</v>
      </c>
      <c r="U547">
        <f t="shared" si="302"/>
        <v>1</v>
      </c>
      <c r="V547">
        <f t="shared" si="303"/>
        <v>1</v>
      </c>
      <c r="W547">
        <f t="shared" si="290"/>
        <v>0</v>
      </c>
      <c r="X547">
        <f t="shared" si="314"/>
        <v>0</v>
      </c>
      <c r="Y547">
        <f t="shared" si="291"/>
        <v>0</v>
      </c>
      <c r="Z547">
        <f t="shared" si="292"/>
        <v>0</v>
      </c>
      <c r="AA547">
        <f t="shared" si="293"/>
        <v>0</v>
      </c>
      <c r="AB547" s="29">
        <f t="shared" si="294"/>
        <v>0</v>
      </c>
      <c r="AC547" s="25">
        <f t="shared" si="304"/>
        <v>0</v>
      </c>
      <c r="AD547" s="29">
        <f t="shared" si="295"/>
        <v>0</v>
      </c>
      <c r="AE547" s="25">
        <f t="shared" si="305"/>
        <v>0</v>
      </c>
      <c r="AF547" s="25">
        <f t="shared" si="296"/>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7"/>
        <v>-1</v>
      </c>
      <c r="B548">
        <f t="shared" si="306"/>
        <v>6</v>
      </c>
      <c r="C548">
        <f t="shared" si="284"/>
        <v>300</v>
      </c>
      <c r="D548">
        <f t="shared" si="298"/>
        <v>0</v>
      </c>
      <c r="E548">
        <f t="shared" si="318"/>
        <v>5</v>
      </c>
      <c r="F548">
        <f t="shared" si="285"/>
        <v>360</v>
      </c>
      <c r="G548">
        <f t="shared" si="299"/>
        <v>0</v>
      </c>
      <c r="H548">
        <f t="shared" si="307"/>
        <v>4</v>
      </c>
      <c r="I548">
        <f t="shared" si="286"/>
        <v>360</v>
      </c>
      <c r="J548">
        <f t="shared" si="300"/>
        <v>0</v>
      </c>
      <c r="K548">
        <f t="shared" si="308"/>
        <v>3</v>
      </c>
      <c r="L548">
        <f t="shared" si="287"/>
        <v>360</v>
      </c>
      <c r="M548">
        <f t="shared" si="301"/>
        <v>0</v>
      </c>
      <c r="N548">
        <f t="shared" si="309"/>
        <v>2</v>
      </c>
      <c r="O548">
        <f t="shared" si="288"/>
        <v>300</v>
      </c>
      <c r="P548">
        <f t="shared" si="310"/>
        <v>0</v>
      </c>
      <c r="Q548">
        <f t="shared" si="311"/>
        <v>2</v>
      </c>
      <c r="R548">
        <f t="shared" si="289"/>
        <v>300</v>
      </c>
      <c r="S548">
        <f t="shared" si="312"/>
        <v>0</v>
      </c>
      <c r="T548">
        <f t="shared" si="313"/>
        <v>-1</v>
      </c>
      <c r="U548">
        <f t="shared" si="302"/>
        <v>1</v>
      </c>
      <c r="V548">
        <f t="shared" si="303"/>
        <v>1</v>
      </c>
      <c r="W548">
        <f t="shared" si="290"/>
        <v>0</v>
      </c>
      <c r="X548">
        <f t="shared" si="314"/>
        <v>0</v>
      </c>
      <c r="Y548">
        <f t="shared" si="291"/>
        <v>0</v>
      </c>
      <c r="Z548">
        <f t="shared" si="292"/>
        <v>0</v>
      </c>
      <c r="AA548">
        <f t="shared" si="293"/>
        <v>0</v>
      </c>
      <c r="AB548" s="29">
        <f t="shared" si="294"/>
        <v>0</v>
      </c>
      <c r="AC548" s="25">
        <f t="shared" si="304"/>
        <v>0</v>
      </c>
      <c r="AD548" s="29">
        <f t="shared" si="295"/>
        <v>0</v>
      </c>
      <c r="AE548" s="25">
        <f t="shared" si="305"/>
        <v>0</v>
      </c>
      <c r="AF548" s="25">
        <f t="shared" si="296"/>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7"/>
        <v>-1</v>
      </c>
      <c r="B549">
        <f t="shared" si="306"/>
        <v>6</v>
      </c>
      <c r="C549">
        <f t="shared" si="284"/>
        <v>300</v>
      </c>
      <c r="D549">
        <f t="shared" si="298"/>
        <v>0</v>
      </c>
      <c r="E549">
        <f t="shared" si="318"/>
        <v>5</v>
      </c>
      <c r="F549">
        <f t="shared" si="285"/>
        <v>360</v>
      </c>
      <c r="G549">
        <f t="shared" si="299"/>
        <v>0</v>
      </c>
      <c r="H549">
        <f t="shared" si="307"/>
        <v>4</v>
      </c>
      <c r="I549">
        <f t="shared" si="286"/>
        <v>360</v>
      </c>
      <c r="J549">
        <f t="shared" si="300"/>
        <v>0</v>
      </c>
      <c r="K549">
        <f t="shared" si="308"/>
        <v>3</v>
      </c>
      <c r="L549">
        <f t="shared" si="287"/>
        <v>360</v>
      </c>
      <c r="M549">
        <f t="shared" si="301"/>
        <v>0</v>
      </c>
      <c r="N549">
        <f t="shared" si="309"/>
        <v>2</v>
      </c>
      <c r="O549">
        <f t="shared" si="288"/>
        <v>300</v>
      </c>
      <c r="P549">
        <f t="shared" si="310"/>
        <v>0</v>
      </c>
      <c r="Q549">
        <f t="shared" si="311"/>
        <v>2</v>
      </c>
      <c r="R549">
        <f t="shared" si="289"/>
        <v>300</v>
      </c>
      <c r="S549">
        <f t="shared" si="312"/>
        <v>0</v>
      </c>
      <c r="T549">
        <f t="shared" si="313"/>
        <v>-1</v>
      </c>
      <c r="U549">
        <f t="shared" si="302"/>
        <v>1</v>
      </c>
      <c r="V549">
        <f t="shared" si="303"/>
        <v>1</v>
      </c>
      <c r="W549">
        <f t="shared" si="290"/>
        <v>0</v>
      </c>
      <c r="X549">
        <f t="shared" si="314"/>
        <v>0</v>
      </c>
      <c r="Y549">
        <f t="shared" si="291"/>
        <v>0</v>
      </c>
      <c r="Z549">
        <f t="shared" si="292"/>
        <v>0</v>
      </c>
      <c r="AA549">
        <f t="shared" si="293"/>
        <v>0</v>
      </c>
      <c r="AB549" s="29">
        <f t="shared" si="294"/>
        <v>0</v>
      </c>
      <c r="AC549" s="25">
        <f t="shared" si="304"/>
        <v>0</v>
      </c>
      <c r="AD549" s="29">
        <f t="shared" si="295"/>
        <v>0</v>
      </c>
      <c r="AE549" s="25">
        <f t="shared" si="305"/>
        <v>0</v>
      </c>
      <c r="AF549" s="25">
        <f t="shared" si="296"/>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7"/>
        <v>-1</v>
      </c>
      <c r="B550">
        <f t="shared" si="306"/>
        <v>6</v>
      </c>
      <c r="C550">
        <f t="shared" si="284"/>
        <v>300</v>
      </c>
      <c r="D550">
        <f t="shared" si="298"/>
        <v>0</v>
      </c>
      <c r="E550">
        <f t="shared" si="318"/>
        <v>5</v>
      </c>
      <c r="F550">
        <f t="shared" si="285"/>
        <v>360</v>
      </c>
      <c r="G550">
        <f t="shared" si="299"/>
        <v>0</v>
      </c>
      <c r="H550">
        <f t="shared" si="307"/>
        <v>4</v>
      </c>
      <c r="I550">
        <f t="shared" si="286"/>
        <v>360</v>
      </c>
      <c r="J550">
        <f t="shared" si="300"/>
        <v>0</v>
      </c>
      <c r="K550">
        <f t="shared" si="308"/>
        <v>3</v>
      </c>
      <c r="L550">
        <f t="shared" si="287"/>
        <v>360</v>
      </c>
      <c r="M550">
        <f t="shared" si="301"/>
        <v>0</v>
      </c>
      <c r="N550">
        <f t="shared" si="309"/>
        <v>2</v>
      </c>
      <c r="O550">
        <f t="shared" si="288"/>
        <v>300</v>
      </c>
      <c r="P550">
        <f t="shared" si="310"/>
        <v>0</v>
      </c>
      <c r="Q550">
        <f t="shared" si="311"/>
        <v>2</v>
      </c>
      <c r="R550">
        <f t="shared" si="289"/>
        <v>300</v>
      </c>
      <c r="S550">
        <f t="shared" si="312"/>
        <v>0</v>
      </c>
      <c r="T550">
        <f t="shared" si="313"/>
        <v>-1</v>
      </c>
      <c r="U550">
        <f t="shared" si="302"/>
        <v>1</v>
      </c>
      <c r="V550">
        <f t="shared" si="303"/>
        <v>1</v>
      </c>
      <c r="W550">
        <f t="shared" si="290"/>
        <v>0</v>
      </c>
      <c r="X550">
        <f t="shared" si="314"/>
        <v>0</v>
      </c>
      <c r="Y550">
        <f t="shared" si="291"/>
        <v>0</v>
      </c>
      <c r="Z550">
        <f t="shared" si="292"/>
        <v>0</v>
      </c>
      <c r="AA550">
        <f t="shared" si="293"/>
        <v>0</v>
      </c>
      <c r="AB550" s="29">
        <f t="shared" si="294"/>
        <v>0</v>
      </c>
      <c r="AC550" s="25">
        <f t="shared" si="304"/>
        <v>0</v>
      </c>
      <c r="AD550" s="29">
        <f t="shared" si="295"/>
        <v>0</v>
      </c>
      <c r="AE550" s="25">
        <f t="shared" si="305"/>
        <v>0</v>
      </c>
      <c r="AF550" s="25">
        <f t="shared" si="296"/>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7"/>
        <v>-1</v>
      </c>
      <c r="B551">
        <f t="shared" si="306"/>
        <v>6</v>
      </c>
      <c r="C551">
        <f t="shared" si="284"/>
        <v>300</v>
      </c>
      <c r="D551">
        <f t="shared" si="298"/>
        <v>0</v>
      </c>
      <c r="E551">
        <f t="shared" si="318"/>
        <v>5</v>
      </c>
      <c r="F551">
        <f t="shared" si="285"/>
        <v>360</v>
      </c>
      <c r="G551">
        <f t="shared" si="299"/>
        <v>0</v>
      </c>
      <c r="H551">
        <f t="shared" si="307"/>
        <v>4</v>
      </c>
      <c r="I551">
        <f t="shared" si="286"/>
        <v>360</v>
      </c>
      <c r="J551">
        <f t="shared" si="300"/>
        <v>0</v>
      </c>
      <c r="K551">
        <f t="shared" si="308"/>
        <v>3</v>
      </c>
      <c r="L551">
        <f t="shared" si="287"/>
        <v>360</v>
      </c>
      <c r="M551">
        <f t="shared" si="301"/>
        <v>0</v>
      </c>
      <c r="N551">
        <f t="shared" si="309"/>
        <v>2</v>
      </c>
      <c r="O551">
        <f t="shared" si="288"/>
        <v>300</v>
      </c>
      <c r="P551">
        <f t="shared" si="310"/>
        <v>0</v>
      </c>
      <c r="Q551">
        <f t="shared" si="311"/>
        <v>2</v>
      </c>
      <c r="R551">
        <f t="shared" si="289"/>
        <v>300</v>
      </c>
      <c r="S551">
        <f t="shared" si="312"/>
        <v>0</v>
      </c>
      <c r="T551">
        <f t="shared" si="313"/>
        <v>-1</v>
      </c>
      <c r="U551">
        <f t="shared" si="302"/>
        <v>1</v>
      </c>
      <c r="V551">
        <f t="shared" si="303"/>
        <v>1</v>
      </c>
      <c r="W551">
        <f t="shared" si="290"/>
        <v>0</v>
      </c>
      <c r="X551">
        <f t="shared" si="314"/>
        <v>0</v>
      </c>
      <c r="Y551">
        <f t="shared" si="291"/>
        <v>0</v>
      </c>
      <c r="Z551">
        <f t="shared" si="292"/>
        <v>0</v>
      </c>
      <c r="AA551">
        <f t="shared" si="293"/>
        <v>0</v>
      </c>
      <c r="AB551" s="29">
        <f t="shared" si="294"/>
        <v>0</v>
      </c>
      <c r="AC551" s="25">
        <f t="shared" si="304"/>
        <v>0</v>
      </c>
      <c r="AD551" s="29">
        <f t="shared" si="295"/>
        <v>0</v>
      </c>
      <c r="AE551" s="25">
        <f t="shared" si="305"/>
        <v>0</v>
      </c>
      <c r="AF551" s="25">
        <f t="shared" si="296"/>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7"/>
        <v>-1</v>
      </c>
      <c r="B552">
        <f t="shared" si="306"/>
        <v>6</v>
      </c>
      <c r="C552">
        <f t="shared" si="284"/>
        <v>300</v>
      </c>
      <c r="D552">
        <f t="shared" si="298"/>
        <v>0</v>
      </c>
      <c r="E552">
        <f t="shared" si="318"/>
        <v>5</v>
      </c>
      <c r="F552">
        <f t="shared" si="285"/>
        <v>360</v>
      </c>
      <c r="G552">
        <f t="shared" si="299"/>
        <v>0</v>
      </c>
      <c r="H552">
        <f t="shared" si="307"/>
        <v>4</v>
      </c>
      <c r="I552">
        <f t="shared" si="286"/>
        <v>360</v>
      </c>
      <c r="J552">
        <f t="shared" si="300"/>
        <v>0</v>
      </c>
      <c r="K552">
        <f t="shared" si="308"/>
        <v>3</v>
      </c>
      <c r="L552">
        <f t="shared" si="287"/>
        <v>360</v>
      </c>
      <c r="M552">
        <f t="shared" si="301"/>
        <v>0</v>
      </c>
      <c r="N552">
        <f t="shared" si="309"/>
        <v>2</v>
      </c>
      <c r="O552">
        <f t="shared" si="288"/>
        <v>300</v>
      </c>
      <c r="P552">
        <f t="shared" si="310"/>
        <v>0</v>
      </c>
      <c r="Q552">
        <f t="shared" si="311"/>
        <v>2</v>
      </c>
      <c r="R552">
        <f t="shared" si="289"/>
        <v>300</v>
      </c>
      <c r="S552">
        <f t="shared" si="312"/>
        <v>0</v>
      </c>
      <c r="T552">
        <f t="shared" si="313"/>
        <v>-1</v>
      </c>
      <c r="U552">
        <f t="shared" si="302"/>
        <v>1</v>
      </c>
      <c r="V552">
        <f t="shared" si="303"/>
        <v>1</v>
      </c>
      <c r="W552">
        <f t="shared" si="290"/>
        <v>0</v>
      </c>
      <c r="X552">
        <f t="shared" si="314"/>
        <v>0</v>
      </c>
      <c r="Y552">
        <f t="shared" si="291"/>
        <v>0</v>
      </c>
      <c r="Z552">
        <f t="shared" si="292"/>
        <v>0</v>
      </c>
      <c r="AA552">
        <f t="shared" si="293"/>
        <v>0</v>
      </c>
      <c r="AB552" s="29">
        <f t="shared" si="294"/>
        <v>0</v>
      </c>
      <c r="AC552" s="25">
        <f t="shared" si="304"/>
        <v>0</v>
      </c>
      <c r="AD552" s="29">
        <f t="shared" si="295"/>
        <v>0</v>
      </c>
      <c r="AE552" s="25">
        <f t="shared" si="305"/>
        <v>0</v>
      </c>
      <c r="AF552" s="25">
        <f t="shared" si="296"/>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7"/>
        <v>-1</v>
      </c>
      <c r="B553">
        <f t="shared" si="306"/>
        <v>6</v>
      </c>
      <c r="C553">
        <f t="shared" si="284"/>
        <v>300</v>
      </c>
      <c r="D553">
        <f t="shared" si="298"/>
        <v>0</v>
      </c>
      <c r="E553">
        <f t="shared" si="318"/>
        <v>5</v>
      </c>
      <c r="F553">
        <f t="shared" si="285"/>
        <v>360</v>
      </c>
      <c r="G553">
        <f t="shared" si="299"/>
        <v>0</v>
      </c>
      <c r="H553">
        <f t="shared" si="307"/>
        <v>4</v>
      </c>
      <c r="I553">
        <f t="shared" si="286"/>
        <v>360</v>
      </c>
      <c r="J553">
        <f t="shared" si="300"/>
        <v>0</v>
      </c>
      <c r="K553">
        <f t="shared" si="308"/>
        <v>3</v>
      </c>
      <c r="L553">
        <f t="shared" si="287"/>
        <v>360</v>
      </c>
      <c r="M553">
        <f t="shared" si="301"/>
        <v>0</v>
      </c>
      <c r="N553">
        <f t="shared" si="309"/>
        <v>2</v>
      </c>
      <c r="O553">
        <f t="shared" si="288"/>
        <v>300</v>
      </c>
      <c r="P553">
        <f t="shared" si="310"/>
        <v>0</v>
      </c>
      <c r="Q553">
        <f t="shared" si="311"/>
        <v>2</v>
      </c>
      <c r="R553">
        <f t="shared" si="289"/>
        <v>300</v>
      </c>
      <c r="S553">
        <f t="shared" si="312"/>
        <v>0</v>
      </c>
      <c r="T553">
        <f t="shared" si="313"/>
        <v>-1</v>
      </c>
      <c r="U553">
        <f t="shared" si="302"/>
        <v>1</v>
      </c>
      <c r="V553">
        <f t="shared" si="303"/>
        <v>1</v>
      </c>
      <c r="W553">
        <f t="shared" si="290"/>
        <v>0</v>
      </c>
      <c r="X553">
        <f t="shared" si="314"/>
        <v>0</v>
      </c>
      <c r="Y553">
        <f t="shared" si="291"/>
        <v>0</v>
      </c>
      <c r="Z553">
        <f t="shared" si="292"/>
        <v>0</v>
      </c>
      <c r="AA553">
        <f t="shared" si="293"/>
        <v>0</v>
      </c>
      <c r="AB553" s="29">
        <f t="shared" si="294"/>
        <v>0</v>
      </c>
      <c r="AC553" s="25">
        <f t="shared" si="304"/>
        <v>0</v>
      </c>
      <c r="AD553" s="29">
        <f t="shared" si="295"/>
        <v>0</v>
      </c>
      <c r="AE553" s="25">
        <f t="shared" si="305"/>
        <v>0</v>
      </c>
      <c r="AF553" s="25">
        <f t="shared" si="296"/>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7"/>
        <v>-1</v>
      </c>
      <c r="B554">
        <f t="shared" si="306"/>
        <v>6</v>
      </c>
      <c r="C554">
        <f t="shared" si="284"/>
        <v>300</v>
      </c>
      <c r="D554">
        <f t="shared" si="298"/>
        <v>0</v>
      </c>
      <c r="E554">
        <f t="shared" si="318"/>
        <v>5</v>
      </c>
      <c r="F554">
        <f t="shared" si="285"/>
        <v>360</v>
      </c>
      <c r="G554">
        <f t="shared" si="299"/>
        <v>0</v>
      </c>
      <c r="H554">
        <f t="shared" si="307"/>
        <v>4</v>
      </c>
      <c r="I554">
        <f t="shared" si="286"/>
        <v>360</v>
      </c>
      <c r="J554">
        <f t="shared" si="300"/>
        <v>0</v>
      </c>
      <c r="K554">
        <f t="shared" si="308"/>
        <v>3</v>
      </c>
      <c r="L554">
        <f t="shared" si="287"/>
        <v>360</v>
      </c>
      <c r="M554">
        <f t="shared" si="301"/>
        <v>0</v>
      </c>
      <c r="N554">
        <f t="shared" si="309"/>
        <v>2</v>
      </c>
      <c r="O554">
        <f t="shared" si="288"/>
        <v>300</v>
      </c>
      <c r="P554">
        <f t="shared" si="310"/>
        <v>0</v>
      </c>
      <c r="Q554">
        <f t="shared" si="311"/>
        <v>2</v>
      </c>
      <c r="R554">
        <f t="shared" si="289"/>
        <v>300</v>
      </c>
      <c r="S554">
        <f t="shared" si="312"/>
        <v>0</v>
      </c>
      <c r="T554">
        <f t="shared" si="313"/>
        <v>-1</v>
      </c>
      <c r="U554">
        <f t="shared" si="302"/>
        <v>1</v>
      </c>
      <c r="V554">
        <f t="shared" si="303"/>
        <v>1</v>
      </c>
      <c r="W554">
        <f t="shared" si="290"/>
        <v>0</v>
      </c>
      <c r="X554">
        <f t="shared" si="314"/>
        <v>0</v>
      </c>
      <c r="Y554">
        <f t="shared" si="291"/>
        <v>0</v>
      </c>
      <c r="Z554">
        <f t="shared" si="292"/>
        <v>0</v>
      </c>
      <c r="AA554">
        <f t="shared" si="293"/>
        <v>0</v>
      </c>
      <c r="AB554" s="29">
        <f t="shared" si="294"/>
        <v>0</v>
      </c>
      <c r="AC554" s="25">
        <f t="shared" si="304"/>
        <v>0</v>
      </c>
      <c r="AD554" s="29">
        <f t="shared" si="295"/>
        <v>0</v>
      </c>
      <c r="AE554" s="25">
        <f t="shared" si="305"/>
        <v>0</v>
      </c>
      <c r="AF554" s="25">
        <f t="shared" si="296"/>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7"/>
        <v>-1</v>
      </c>
      <c r="B555">
        <f t="shared" si="306"/>
        <v>6</v>
      </c>
      <c r="C555">
        <f t="shared" si="284"/>
        <v>300</v>
      </c>
      <c r="D555">
        <f t="shared" si="298"/>
        <v>0</v>
      </c>
      <c r="E555">
        <f t="shared" si="318"/>
        <v>5</v>
      </c>
      <c r="F555">
        <f t="shared" si="285"/>
        <v>360</v>
      </c>
      <c r="G555">
        <f t="shared" si="299"/>
        <v>0</v>
      </c>
      <c r="H555">
        <f t="shared" si="307"/>
        <v>4</v>
      </c>
      <c r="I555">
        <f t="shared" si="286"/>
        <v>360</v>
      </c>
      <c r="J555">
        <f t="shared" si="300"/>
        <v>0</v>
      </c>
      <c r="K555">
        <f t="shared" si="308"/>
        <v>3</v>
      </c>
      <c r="L555">
        <f t="shared" si="287"/>
        <v>360</v>
      </c>
      <c r="M555">
        <f t="shared" si="301"/>
        <v>0</v>
      </c>
      <c r="N555">
        <f t="shared" si="309"/>
        <v>2</v>
      </c>
      <c r="O555">
        <f t="shared" si="288"/>
        <v>300</v>
      </c>
      <c r="P555">
        <f t="shared" si="310"/>
        <v>0</v>
      </c>
      <c r="Q555">
        <f t="shared" si="311"/>
        <v>2</v>
      </c>
      <c r="R555">
        <f t="shared" si="289"/>
        <v>300</v>
      </c>
      <c r="S555">
        <f t="shared" si="312"/>
        <v>0</v>
      </c>
      <c r="T555">
        <f t="shared" si="313"/>
        <v>-1</v>
      </c>
      <c r="U555">
        <f t="shared" si="302"/>
        <v>1</v>
      </c>
      <c r="V555">
        <f t="shared" si="303"/>
        <v>1</v>
      </c>
      <c r="W555">
        <f t="shared" si="290"/>
        <v>0</v>
      </c>
      <c r="X555">
        <f t="shared" si="314"/>
        <v>0</v>
      </c>
      <c r="Y555">
        <f t="shared" si="291"/>
        <v>0</v>
      </c>
      <c r="Z555">
        <f t="shared" si="292"/>
        <v>0</v>
      </c>
      <c r="AA555">
        <f t="shared" si="293"/>
        <v>0</v>
      </c>
      <c r="AB555" s="29">
        <f t="shared" si="294"/>
        <v>0</v>
      </c>
      <c r="AC555" s="25">
        <f t="shared" si="304"/>
        <v>0</v>
      </c>
      <c r="AD555" s="29">
        <f t="shared" si="295"/>
        <v>0</v>
      </c>
      <c r="AE555" s="25">
        <f t="shared" si="305"/>
        <v>0</v>
      </c>
      <c r="AF555" s="25">
        <f t="shared" si="296"/>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7"/>
        <v>-1</v>
      </c>
      <c r="B556">
        <f t="shared" si="306"/>
        <v>6</v>
      </c>
      <c r="C556">
        <f t="shared" si="284"/>
        <v>300</v>
      </c>
      <c r="D556">
        <f t="shared" si="298"/>
        <v>0</v>
      </c>
      <c r="E556">
        <f t="shared" si="318"/>
        <v>5</v>
      </c>
      <c r="F556">
        <f t="shared" si="285"/>
        <v>360</v>
      </c>
      <c r="G556">
        <f t="shared" si="299"/>
        <v>0</v>
      </c>
      <c r="H556">
        <f t="shared" si="307"/>
        <v>4</v>
      </c>
      <c r="I556">
        <f t="shared" si="286"/>
        <v>360</v>
      </c>
      <c r="J556">
        <f t="shared" si="300"/>
        <v>0</v>
      </c>
      <c r="K556">
        <f t="shared" si="308"/>
        <v>3</v>
      </c>
      <c r="L556">
        <f t="shared" si="287"/>
        <v>360</v>
      </c>
      <c r="M556">
        <f t="shared" si="301"/>
        <v>0</v>
      </c>
      <c r="N556">
        <f t="shared" si="309"/>
        <v>2</v>
      </c>
      <c r="O556">
        <f t="shared" si="288"/>
        <v>300</v>
      </c>
      <c r="P556">
        <f t="shared" si="310"/>
        <v>0</v>
      </c>
      <c r="Q556">
        <f t="shared" si="311"/>
        <v>2</v>
      </c>
      <c r="R556">
        <f t="shared" si="289"/>
        <v>300</v>
      </c>
      <c r="S556">
        <f t="shared" si="312"/>
        <v>0</v>
      </c>
      <c r="T556">
        <f t="shared" si="313"/>
        <v>-1</v>
      </c>
      <c r="U556">
        <f t="shared" si="302"/>
        <v>1</v>
      </c>
      <c r="V556">
        <f t="shared" si="303"/>
        <v>1</v>
      </c>
      <c r="W556">
        <f t="shared" si="290"/>
        <v>0</v>
      </c>
      <c r="X556">
        <f t="shared" si="314"/>
        <v>0</v>
      </c>
      <c r="Y556">
        <f t="shared" si="291"/>
        <v>0</v>
      </c>
      <c r="Z556">
        <f t="shared" si="292"/>
        <v>0</v>
      </c>
      <c r="AA556">
        <f t="shared" si="293"/>
        <v>0</v>
      </c>
      <c r="AB556" s="29">
        <f t="shared" si="294"/>
        <v>0</v>
      </c>
      <c r="AC556" s="25">
        <f t="shared" si="304"/>
        <v>0</v>
      </c>
      <c r="AD556" s="29">
        <f t="shared" si="295"/>
        <v>0</v>
      </c>
      <c r="AE556" s="25">
        <f t="shared" si="305"/>
        <v>0</v>
      </c>
      <c r="AF556" s="25">
        <f t="shared" si="296"/>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7"/>
        <v>-1</v>
      </c>
      <c r="B557">
        <f t="shared" si="306"/>
        <v>6</v>
      </c>
      <c r="C557">
        <f t="shared" si="284"/>
        <v>300</v>
      </c>
      <c r="D557">
        <f t="shared" si="298"/>
        <v>0</v>
      </c>
      <c r="E557">
        <f t="shared" si="318"/>
        <v>5</v>
      </c>
      <c r="F557">
        <f t="shared" si="285"/>
        <v>360</v>
      </c>
      <c r="G557">
        <f t="shared" si="299"/>
        <v>0</v>
      </c>
      <c r="H557">
        <f t="shared" si="307"/>
        <v>4</v>
      </c>
      <c r="I557">
        <f t="shared" si="286"/>
        <v>360</v>
      </c>
      <c r="J557">
        <f t="shared" si="300"/>
        <v>0</v>
      </c>
      <c r="K557">
        <f t="shared" si="308"/>
        <v>3</v>
      </c>
      <c r="L557">
        <f t="shared" si="287"/>
        <v>360</v>
      </c>
      <c r="M557">
        <f t="shared" si="301"/>
        <v>0</v>
      </c>
      <c r="N557">
        <f t="shared" si="309"/>
        <v>2</v>
      </c>
      <c r="O557">
        <f t="shared" si="288"/>
        <v>300</v>
      </c>
      <c r="P557">
        <f t="shared" si="310"/>
        <v>0</v>
      </c>
      <c r="Q557">
        <f t="shared" si="311"/>
        <v>2</v>
      </c>
      <c r="R557">
        <f t="shared" si="289"/>
        <v>300</v>
      </c>
      <c r="S557">
        <f t="shared" si="312"/>
        <v>0</v>
      </c>
      <c r="T557">
        <f t="shared" si="313"/>
        <v>-1</v>
      </c>
      <c r="U557">
        <f t="shared" si="302"/>
        <v>1</v>
      </c>
      <c r="V557">
        <f t="shared" si="303"/>
        <v>1</v>
      </c>
      <c r="W557">
        <f t="shared" si="290"/>
        <v>0</v>
      </c>
      <c r="X557">
        <f t="shared" si="314"/>
        <v>0</v>
      </c>
      <c r="Y557">
        <f t="shared" si="291"/>
        <v>0</v>
      </c>
      <c r="Z557">
        <f t="shared" si="292"/>
        <v>0</v>
      </c>
      <c r="AA557">
        <f t="shared" si="293"/>
        <v>0</v>
      </c>
      <c r="AB557" s="29">
        <f t="shared" si="294"/>
        <v>0</v>
      </c>
      <c r="AC557" s="25">
        <f t="shared" si="304"/>
        <v>0</v>
      </c>
      <c r="AD557" s="29">
        <f t="shared" si="295"/>
        <v>0</v>
      </c>
      <c r="AE557" s="25">
        <f t="shared" si="305"/>
        <v>0</v>
      </c>
      <c r="AF557" s="25">
        <f t="shared" si="296"/>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7"/>
        <v>-1</v>
      </c>
      <c r="B558">
        <f t="shared" si="306"/>
        <v>6</v>
      </c>
      <c r="C558">
        <f t="shared" si="284"/>
        <v>300</v>
      </c>
      <c r="D558">
        <f t="shared" si="298"/>
        <v>0</v>
      </c>
      <c r="E558">
        <f t="shared" si="318"/>
        <v>5</v>
      </c>
      <c r="F558">
        <f t="shared" si="285"/>
        <v>360</v>
      </c>
      <c r="G558">
        <f t="shared" si="299"/>
        <v>0</v>
      </c>
      <c r="H558">
        <f t="shared" si="307"/>
        <v>4</v>
      </c>
      <c r="I558">
        <f t="shared" si="286"/>
        <v>360</v>
      </c>
      <c r="J558">
        <f t="shared" si="300"/>
        <v>0</v>
      </c>
      <c r="K558">
        <f t="shared" si="308"/>
        <v>3</v>
      </c>
      <c r="L558">
        <f t="shared" si="287"/>
        <v>360</v>
      </c>
      <c r="M558">
        <f t="shared" si="301"/>
        <v>0</v>
      </c>
      <c r="N558">
        <f t="shared" si="309"/>
        <v>2</v>
      </c>
      <c r="O558">
        <f t="shared" si="288"/>
        <v>300</v>
      </c>
      <c r="P558">
        <f t="shared" si="310"/>
        <v>0</v>
      </c>
      <c r="Q558">
        <f t="shared" si="311"/>
        <v>2</v>
      </c>
      <c r="R558">
        <f t="shared" si="289"/>
        <v>300</v>
      </c>
      <c r="S558">
        <f t="shared" si="312"/>
        <v>0</v>
      </c>
      <c r="T558">
        <f t="shared" si="313"/>
        <v>-1</v>
      </c>
      <c r="U558">
        <f t="shared" si="302"/>
        <v>1</v>
      </c>
      <c r="V558">
        <f t="shared" si="303"/>
        <v>1</v>
      </c>
      <c r="W558">
        <f t="shared" si="290"/>
        <v>0</v>
      </c>
      <c r="X558">
        <f t="shared" si="314"/>
        <v>0</v>
      </c>
      <c r="Y558">
        <f t="shared" si="291"/>
        <v>0</v>
      </c>
      <c r="Z558">
        <f t="shared" si="292"/>
        <v>0</v>
      </c>
      <c r="AA558">
        <f t="shared" si="293"/>
        <v>0</v>
      </c>
      <c r="AB558" s="29">
        <f t="shared" si="294"/>
        <v>0</v>
      </c>
      <c r="AC558" s="25">
        <f t="shared" si="304"/>
        <v>0</v>
      </c>
      <c r="AD558" s="29">
        <f t="shared" si="295"/>
        <v>0</v>
      </c>
      <c r="AE558" s="25">
        <f t="shared" si="305"/>
        <v>0</v>
      </c>
      <c r="AF558" s="25">
        <f t="shared" si="296"/>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7"/>
        <v>-1</v>
      </c>
      <c r="B559">
        <f t="shared" si="306"/>
        <v>6</v>
      </c>
      <c r="C559">
        <f t="shared" si="284"/>
        <v>300</v>
      </c>
      <c r="D559">
        <f t="shared" si="298"/>
        <v>0</v>
      </c>
      <c r="E559">
        <f t="shared" si="318"/>
        <v>5</v>
      </c>
      <c r="F559">
        <f t="shared" si="285"/>
        <v>360</v>
      </c>
      <c r="G559">
        <f t="shared" si="299"/>
        <v>0</v>
      </c>
      <c r="H559">
        <f t="shared" si="307"/>
        <v>4</v>
      </c>
      <c r="I559">
        <f t="shared" si="286"/>
        <v>360</v>
      </c>
      <c r="J559">
        <f t="shared" si="300"/>
        <v>0</v>
      </c>
      <c r="K559">
        <f t="shared" si="308"/>
        <v>3</v>
      </c>
      <c r="L559">
        <f t="shared" si="287"/>
        <v>360</v>
      </c>
      <c r="M559">
        <f t="shared" si="301"/>
        <v>0</v>
      </c>
      <c r="N559">
        <f t="shared" si="309"/>
        <v>2</v>
      </c>
      <c r="O559">
        <f t="shared" si="288"/>
        <v>300</v>
      </c>
      <c r="P559">
        <f t="shared" si="310"/>
        <v>0</v>
      </c>
      <c r="Q559">
        <f t="shared" si="311"/>
        <v>2</v>
      </c>
      <c r="R559">
        <f t="shared" si="289"/>
        <v>300</v>
      </c>
      <c r="S559">
        <f t="shared" si="312"/>
        <v>0</v>
      </c>
      <c r="T559">
        <f t="shared" si="313"/>
        <v>-1</v>
      </c>
      <c r="U559">
        <f t="shared" si="302"/>
        <v>1</v>
      </c>
      <c r="V559">
        <f t="shared" si="303"/>
        <v>1</v>
      </c>
      <c r="W559">
        <f t="shared" si="290"/>
        <v>0</v>
      </c>
      <c r="X559">
        <f t="shared" si="314"/>
        <v>0</v>
      </c>
      <c r="Y559">
        <f t="shared" si="291"/>
        <v>0</v>
      </c>
      <c r="Z559">
        <f t="shared" si="292"/>
        <v>0</v>
      </c>
      <c r="AA559">
        <f t="shared" si="293"/>
        <v>0</v>
      </c>
      <c r="AB559" s="29">
        <f t="shared" si="294"/>
        <v>0</v>
      </c>
      <c r="AC559" s="25">
        <f t="shared" si="304"/>
        <v>0</v>
      </c>
      <c r="AD559" s="29">
        <f t="shared" si="295"/>
        <v>0</v>
      </c>
      <c r="AE559" s="25">
        <f t="shared" si="305"/>
        <v>0</v>
      </c>
      <c r="AF559" s="25">
        <f t="shared" si="296"/>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7"/>
        <v>-1</v>
      </c>
      <c r="B560">
        <f t="shared" si="306"/>
        <v>6</v>
      </c>
      <c r="C560">
        <f t="shared" si="284"/>
        <v>300</v>
      </c>
      <c r="D560">
        <f t="shared" si="298"/>
        <v>0</v>
      </c>
      <c r="E560">
        <f t="shared" si="318"/>
        <v>5</v>
      </c>
      <c r="F560">
        <f t="shared" si="285"/>
        <v>360</v>
      </c>
      <c r="G560">
        <f t="shared" si="299"/>
        <v>0</v>
      </c>
      <c r="H560">
        <f t="shared" si="307"/>
        <v>4</v>
      </c>
      <c r="I560">
        <f t="shared" si="286"/>
        <v>360</v>
      </c>
      <c r="J560">
        <f t="shared" si="300"/>
        <v>0</v>
      </c>
      <c r="K560">
        <f t="shared" si="308"/>
        <v>3</v>
      </c>
      <c r="L560">
        <f t="shared" si="287"/>
        <v>360</v>
      </c>
      <c r="M560">
        <f t="shared" si="301"/>
        <v>0</v>
      </c>
      <c r="N560">
        <f t="shared" si="309"/>
        <v>2</v>
      </c>
      <c r="O560">
        <f t="shared" si="288"/>
        <v>300</v>
      </c>
      <c r="P560">
        <f t="shared" si="310"/>
        <v>0</v>
      </c>
      <c r="Q560">
        <f t="shared" si="311"/>
        <v>2</v>
      </c>
      <c r="R560">
        <f t="shared" si="289"/>
        <v>300</v>
      </c>
      <c r="S560">
        <f t="shared" si="312"/>
        <v>0</v>
      </c>
      <c r="T560">
        <f t="shared" si="313"/>
        <v>-1</v>
      </c>
      <c r="U560">
        <f t="shared" si="302"/>
        <v>1</v>
      </c>
      <c r="V560">
        <f t="shared" si="303"/>
        <v>1</v>
      </c>
      <c r="W560">
        <f t="shared" si="290"/>
        <v>0</v>
      </c>
      <c r="X560">
        <f t="shared" si="314"/>
        <v>0</v>
      </c>
      <c r="Y560">
        <f t="shared" si="291"/>
        <v>0</v>
      </c>
      <c r="Z560">
        <f t="shared" si="292"/>
        <v>0</v>
      </c>
      <c r="AA560">
        <f t="shared" si="293"/>
        <v>0</v>
      </c>
      <c r="AB560" s="29">
        <f t="shared" si="294"/>
        <v>0</v>
      </c>
      <c r="AC560" s="25">
        <f t="shared" si="304"/>
        <v>0</v>
      </c>
      <c r="AD560" s="29">
        <f t="shared" si="295"/>
        <v>0</v>
      </c>
      <c r="AE560" s="25">
        <f t="shared" si="305"/>
        <v>0</v>
      </c>
      <c r="AF560" s="25">
        <f t="shared" si="296"/>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7"/>
        <v>-1</v>
      </c>
      <c r="B561">
        <f t="shared" si="306"/>
        <v>6</v>
      </c>
      <c r="C561">
        <f t="shared" si="284"/>
        <v>300</v>
      </c>
      <c r="D561">
        <f t="shared" si="298"/>
        <v>0</v>
      </c>
      <c r="E561">
        <f t="shared" si="318"/>
        <v>5</v>
      </c>
      <c r="F561">
        <f t="shared" si="285"/>
        <v>360</v>
      </c>
      <c r="G561">
        <f t="shared" si="299"/>
        <v>0</v>
      </c>
      <c r="H561">
        <f t="shared" si="307"/>
        <v>4</v>
      </c>
      <c r="I561">
        <f t="shared" si="286"/>
        <v>360</v>
      </c>
      <c r="J561">
        <f t="shared" si="300"/>
        <v>0</v>
      </c>
      <c r="K561">
        <f t="shared" si="308"/>
        <v>3</v>
      </c>
      <c r="L561">
        <f t="shared" si="287"/>
        <v>360</v>
      </c>
      <c r="M561">
        <f t="shared" si="301"/>
        <v>0</v>
      </c>
      <c r="N561">
        <f t="shared" si="309"/>
        <v>2</v>
      </c>
      <c r="O561">
        <f t="shared" si="288"/>
        <v>300</v>
      </c>
      <c r="P561">
        <f t="shared" si="310"/>
        <v>0</v>
      </c>
      <c r="Q561">
        <f t="shared" si="311"/>
        <v>2</v>
      </c>
      <c r="R561">
        <f t="shared" si="289"/>
        <v>300</v>
      </c>
      <c r="S561">
        <f t="shared" si="312"/>
        <v>0</v>
      </c>
      <c r="T561">
        <f t="shared" si="313"/>
        <v>-1</v>
      </c>
      <c r="U561">
        <f t="shared" si="302"/>
        <v>1</v>
      </c>
      <c r="V561">
        <f t="shared" si="303"/>
        <v>1</v>
      </c>
      <c r="W561">
        <f t="shared" si="290"/>
        <v>0</v>
      </c>
      <c r="X561">
        <f t="shared" si="314"/>
        <v>0</v>
      </c>
      <c r="Y561">
        <f t="shared" si="291"/>
        <v>0</v>
      </c>
      <c r="Z561">
        <f t="shared" si="292"/>
        <v>0</v>
      </c>
      <c r="AA561">
        <f t="shared" si="293"/>
        <v>0</v>
      </c>
      <c r="AB561" s="29">
        <f t="shared" si="294"/>
        <v>0</v>
      </c>
      <c r="AC561" s="25">
        <f t="shared" si="304"/>
        <v>0</v>
      </c>
      <c r="AD561" s="29">
        <f t="shared" si="295"/>
        <v>0</v>
      </c>
      <c r="AE561" s="25">
        <f t="shared" si="305"/>
        <v>0</v>
      </c>
      <c r="AF561" s="25">
        <f t="shared" si="296"/>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7"/>
        <v>-1</v>
      </c>
      <c r="B562">
        <f t="shared" si="306"/>
        <v>6</v>
      </c>
      <c r="C562">
        <f t="shared" si="284"/>
        <v>300</v>
      </c>
      <c r="D562">
        <f t="shared" si="298"/>
        <v>0</v>
      </c>
      <c r="E562">
        <f t="shared" si="318"/>
        <v>5</v>
      </c>
      <c r="F562">
        <f t="shared" si="285"/>
        <v>360</v>
      </c>
      <c r="G562">
        <f t="shared" si="299"/>
        <v>0</v>
      </c>
      <c r="H562">
        <f t="shared" si="307"/>
        <v>4</v>
      </c>
      <c r="I562">
        <f t="shared" si="286"/>
        <v>360</v>
      </c>
      <c r="J562">
        <f t="shared" si="300"/>
        <v>0</v>
      </c>
      <c r="K562">
        <f t="shared" si="308"/>
        <v>3</v>
      </c>
      <c r="L562">
        <f t="shared" si="287"/>
        <v>360</v>
      </c>
      <c r="M562">
        <f t="shared" si="301"/>
        <v>0</v>
      </c>
      <c r="N562">
        <f t="shared" si="309"/>
        <v>2</v>
      </c>
      <c r="O562">
        <f t="shared" si="288"/>
        <v>300</v>
      </c>
      <c r="P562">
        <f t="shared" si="310"/>
        <v>0</v>
      </c>
      <c r="Q562">
        <f t="shared" si="311"/>
        <v>2</v>
      </c>
      <c r="R562">
        <f t="shared" si="289"/>
        <v>300</v>
      </c>
      <c r="S562">
        <f t="shared" si="312"/>
        <v>0</v>
      </c>
      <c r="T562">
        <f t="shared" si="313"/>
        <v>-1</v>
      </c>
      <c r="U562">
        <f t="shared" si="302"/>
        <v>1</v>
      </c>
      <c r="V562">
        <f t="shared" si="303"/>
        <v>1</v>
      </c>
      <c r="W562">
        <f t="shared" si="290"/>
        <v>0</v>
      </c>
      <c r="X562">
        <f t="shared" si="314"/>
        <v>0</v>
      </c>
      <c r="Y562">
        <f t="shared" si="291"/>
        <v>0</v>
      </c>
      <c r="Z562">
        <f t="shared" si="292"/>
        <v>0</v>
      </c>
      <c r="AA562">
        <f t="shared" si="293"/>
        <v>0</v>
      </c>
      <c r="AB562" s="29">
        <f t="shared" si="294"/>
        <v>0</v>
      </c>
      <c r="AC562" s="25">
        <f t="shared" si="304"/>
        <v>0</v>
      </c>
      <c r="AD562" s="29">
        <f t="shared" si="295"/>
        <v>0</v>
      </c>
      <c r="AE562" s="25">
        <f t="shared" si="305"/>
        <v>0</v>
      </c>
      <c r="AF562" s="25">
        <f t="shared" si="296"/>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7"/>
        <v>-1</v>
      </c>
      <c r="B563">
        <f t="shared" si="306"/>
        <v>6</v>
      </c>
      <c r="C563">
        <f t="shared" si="284"/>
        <v>300</v>
      </c>
      <c r="D563">
        <f t="shared" si="298"/>
        <v>0</v>
      </c>
      <c r="E563">
        <f t="shared" si="318"/>
        <v>5</v>
      </c>
      <c r="F563">
        <f t="shared" si="285"/>
        <v>360</v>
      </c>
      <c r="G563">
        <f t="shared" si="299"/>
        <v>0</v>
      </c>
      <c r="H563">
        <f t="shared" si="307"/>
        <v>4</v>
      </c>
      <c r="I563">
        <f t="shared" si="286"/>
        <v>360</v>
      </c>
      <c r="J563">
        <f t="shared" si="300"/>
        <v>0</v>
      </c>
      <c r="K563">
        <f t="shared" si="308"/>
        <v>3</v>
      </c>
      <c r="L563">
        <f t="shared" si="287"/>
        <v>360</v>
      </c>
      <c r="M563">
        <f t="shared" si="301"/>
        <v>0</v>
      </c>
      <c r="N563">
        <f t="shared" si="309"/>
        <v>2</v>
      </c>
      <c r="O563">
        <f t="shared" si="288"/>
        <v>300</v>
      </c>
      <c r="P563">
        <f t="shared" si="310"/>
        <v>0</v>
      </c>
      <c r="Q563">
        <f t="shared" si="311"/>
        <v>2</v>
      </c>
      <c r="R563">
        <f t="shared" si="289"/>
        <v>300</v>
      </c>
      <c r="S563">
        <f t="shared" si="312"/>
        <v>0</v>
      </c>
      <c r="T563">
        <f t="shared" si="313"/>
        <v>-1</v>
      </c>
      <c r="U563">
        <f t="shared" si="302"/>
        <v>1</v>
      </c>
      <c r="V563">
        <f t="shared" si="303"/>
        <v>1</v>
      </c>
      <c r="W563">
        <f t="shared" si="290"/>
        <v>0</v>
      </c>
      <c r="X563">
        <f t="shared" si="314"/>
        <v>0</v>
      </c>
      <c r="Y563">
        <f t="shared" si="291"/>
        <v>0</v>
      </c>
      <c r="Z563">
        <f t="shared" si="292"/>
        <v>0</v>
      </c>
      <c r="AA563">
        <f t="shared" si="293"/>
        <v>0</v>
      </c>
      <c r="AB563" s="29">
        <f t="shared" si="294"/>
        <v>0</v>
      </c>
      <c r="AC563" s="25">
        <f t="shared" si="304"/>
        <v>0</v>
      </c>
      <c r="AD563" s="29">
        <f t="shared" si="295"/>
        <v>0</v>
      </c>
      <c r="AE563" s="25">
        <f t="shared" si="305"/>
        <v>0</v>
      </c>
      <c r="AF563" s="25">
        <f t="shared" si="296"/>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7"/>
        <v>-1</v>
      </c>
      <c r="B564">
        <f t="shared" si="306"/>
        <v>6</v>
      </c>
      <c r="C564">
        <f t="shared" si="284"/>
        <v>300</v>
      </c>
      <c r="D564">
        <f t="shared" si="298"/>
        <v>0</v>
      </c>
      <c r="E564">
        <f t="shared" si="318"/>
        <v>5</v>
      </c>
      <c r="F564">
        <f t="shared" si="285"/>
        <v>360</v>
      </c>
      <c r="G564">
        <f t="shared" si="299"/>
        <v>0</v>
      </c>
      <c r="H564">
        <f t="shared" si="307"/>
        <v>4</v>
      </c>
      <c r="I564">
        <f t="shared" si="286"/>
        <v>360</v>
      </c>
      <c r="J564">
        <f t="shared" si="300"/>
        <v>0</v>
      </c>
      <c r="K564">
        <f t="shared" si="308"/>
        <v>3</v>
      </c>
      <c r="L564">
        <f t="shared" si="287"/>
        <v>360</v>
      </c>
      <c r="M564">
        <f t="shared" si="301"/>
        <v>0</v>
      </c>
      <c r="N564">
        <f t="shared" si="309"/>
        <v>2</v>
      </c>
      <c r="O564">
        <f t="shared" si="288"/>
        <v>300</v>
      </c>
      <c r="P564">
        <f t="shared" si="310"/>
        <v>0</v>
      </c>
      <c r="Q564">
        <f t="shared" si="311"/>
        <v>2</v>
      </c>
      <c r="R564">
        <f t="shared" si="289"/>
        <v>300</v>
      </c>
      <c r="S564">
        <f t="shared" si="312"/>
        <v>0</v>
      </c>
      <c r="T564">
        <f t="shared" si="313"/>
        <v>-1</v>
      </c>
      <c r="U564">
        <f t="shared" si="302"/>
        <v>1</v>
      </c>
      <c r="V564">
        <f t="shared" si="303"/>
        <v>1</v>
      </c>
      <c r="W564">
        <f t="shared" si="290"/>
        <v>0</v>
      </c>
      <c r="X564">
        <f t="shared" si="314"/>
        <v>0</v>
      </c>
      <c r="Y564">
        <f t="shared" si="291"/>
        <v>0</v>
      </c>
      <c r="Z564">
        <f t="shared" si="292"/>
        <v>0</v>
      </c>
      <c r="AA564">
        <f t="shared" si="293"/>
        <v>0</v>
      </c>
      <c r="AB564" s="29">
        <f t="shared" si="294"/>
        <v>0</v>
      </c>
      <c r="AC564" s="25">
        <f t="shared" si="304"/>
        <v>0</v>
      </c>
      <c r="AD564" s="29">
        <f t="shared" si="295"/>
        <v>0</v>
      </c>
      <c r="AE564" s="25">
        <f t="shared" si="305"/>
        <v>0</v>
      </c>
      <c r="AF564" s="25">
        <f t="shared" si="296"/>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7"/>
        <v>-1</v>
      </c>
      <c r="B565">
        <f t="shared" si="306"/>
        <v>6</v>
      </c>
      <c r="C565">
        <f t="shared" si="284"/>
        <v>300</v>
      </c>
      <c r="D565">
        <f t="shared" si="298"/>
        <v>0</v>
      </c>
      <c r="E565">
        <f t="shared" si="318"/>
        <v>5</v>
      </c>
      <c r="F565">
        <f t="shared" si="285"/>
        <v>360</v>
      </c>
      <c r="G565">
        <f t="shared" si="299"/>
        <v>0</v>
      </c>
      <c r="H565">
        <f t="shared" si="307"/>
        <v>4</v>
      </c>
      <c r="I565">
        <f t="shared" si="286"/>
        <v>360</v>
      </c>
      <c r="J565">
        <f t="shared" si="300"/>
        <v>0</v>
      </c>
      <c r="K565">
        <f t="shared" si="308"/>
        <v>3</v>
      </c>
      <c r="L565">
        <f t="shared" si="287"/>
        <v>360</v>
      </c>
      <c r="M565">
        <f t="shared" si="301"/>
        <v>0</v>
      </c>
      <c r="N565">
        <f t="shared" si="309"/>
        <v>2</v>
      </c>
      <c r="O565">
        <f t="shared" si="288"/>
        <v>300</v>
      </c>
      <c r="P565">
        <f t="shared" si="310"/>
        <v>0</v>
      </c>
      <c r="Q565">
        <f t="shared" si="311"/>
        <v>2</v>
      </c>
      <c r="R565">
        <f t="shared" si="289"/>
        <v>300</v>
      </c>
      <c r="S565">
        <f t="shared" si="312"/>
        <v>0</v>
      </c>
      <c r="T565">
        <f t="shared" si="313"/>
        <v>-1</v>
      </c>
      <c r="U565">
        <f t="shared" si="302"/>
        <v>1</v>
      </c>
      <c r="V565">
        <f t="shared" si="303"/>
        <v>1</v>
      </c>
      <c r="W565">
        <f t="shared" si="290"/>
        <v>0</v>
      </c>
      <c r="X565">
        <f t="shared" si="314"/>
        <v>0</v>
      </c>
      <c r="Y565">
        <f t="shared" si="291"/>
        <v>0</v>
      </c>
      <c r="Z565">
        <f t="shared" si="292"/>
        <v>0</v>
      </c>
      <c r="AA565">
        <f t="shared" si="293"/>
        <v>0</v>
      </c>
      <c r="AB565" s="29">
        <f t="shared" si="294"/>
        <v>0</v>
      </c>
      <c r="AC565" s="25">
        <f t="shared" si="304"/>
        <v>0</v>
      </c>
      <c r="AD565" s="29">
        <f t="shared" si="295"/>
        <v>0</v>
      </c>
      <c r="AE565" s="25">
        <f t="shared" si="305"/>
        <v>0</v>
      </c>
      <c r="AF565" s="25">
        <f t="shared" si="296"/>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7"/>
        <v>-1</v>
      </c>
      <c r="B566">
        <f t="shared" si="306"/>
        <v>6</v>
      </c>
      <c r="C566">
        <f t="shared" si="284"/>
        <v>300</v>
      </c>
      <c r="D566">
        <f t="shared" si="298"/>
        <v>0</v>
      </c>
      <c r="E566">
        <f t="shared" si="318"/>
        <v>5</v>
      </c>
      <c r="F566">
        <f t="shared" si="285"/>
        <v>360</v>
      </c>
      <c r="G566">
        <f t="shared" si="299"/>
        <v>0</v>
      </c>
      <c r="H566">
        <f t="shared" si="307"/>
        <v>4</v>
      </c>
      <c r="I566">
        <f t="shared" si="286"/>
        <v>360</v>
      </c>
      <c r="J566">
        <f t="shared" si="300"/>
        <v>0</v>
      </c>
      <c r="K566">
        <f t="shared" si="308"/>
        <v>3</v>
      </c>
      <c r="L566">
        <f t="shared" si="287"/>
        <v>360</v>
      </c>
      <c r="M566">
        <f t="shared" si="301"/>
        <v>0</v>
      </c>
      <c r="N566">
        <f t="shared" si="309"/>
        <v>2</v>
      </c>
      <c r="O566">
        <f t="shared" si="288"/>
        <v>300</v>
      </c>
      <c r="P566">
        <f t="shared" si="310"/>
        <v>0</v>
      </c>
      <c r="Q566">
        <f t="shared" si="311"/>
        <v>2</v>
      </c>
      <c r="R566">
        <f t="shared" si="289"/>
        <v>300</v>
      </c>
      <c r="S566">
        <f t="shared" si="312"/>
        <v>0</v>
      </c>
      <c r="T566">
        <f t="shared" si="313"/>
        <v>-1</v>
      </c>
      <c r="U566">
        <f t="shared" si="302"/>
        <v>1</v>
      </c>
      <c r="V566">
        <f t="shared" si="303"/>
        <v>1</v>
      </c>
      <c r="W566">
        <f t="shared" si="290"/>
        <v>0</v>
      </c>
      <c r="X566">
        <f t="shared" si="314"/>
        <v>0</v>
      </c>
      <c r="Y566">
        <f t="shared" si="291"/>
        <v>0</v>
      </c>
      <c r="Z566">
        <f t="shared" si="292"/>
        <v>0</v>
      </c>
      <c r="AA566">
        <f t="shared" si="293"/>
        <v>0</v>
      </c>
      <c r="AB566" s="29">
        <f t="shared" si="294"/>
        <v>0</v>
      </c>
      <c r="AC566" s="25">
        <f t="shared" si="304"/>
        <v>0</v>
      </c>
      <c r="AD566" s="29">
        <f t="shared" si="295"/>
        <v>0</v>
      </c>
      <c r="AE566" s="25">
        <f t="shared" si="305"/>
        <v>0</v>
      </c>
      <c r="AF566" s="25">
        <f t="shared" si="296"/>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7"/>
        <v>-1</v>
      </c>
      <c r="B567">
        <f t="shared" si="306"/>
        <v>6</v>
      </c>
      <c r="C567">
        <f t="shared" si="284"/>
        <v>300</v>
      </c>
      <c r="D567">
        <f t="shared" si="298"/>
        <v>0</v>
      </c>
      <c r="E567">
        <f t="shared" si="318"/>
        <v>5</v>
      </c>
      <c r="F567">
        <f t="shared" si="285"/>
        <v>360</v>
      </c>
      <c r="G567">
        <f t="shared" si="299"/>
        <v>0</v>
      </c>
      <c r="H567">
        <f t="shared" si="307"/>
        <v>4</v>
      </c>
      <c r="I567">
        <f t="shared" si="286"/>
        <v>360</v>
      </c>
      <c r="J567">
        <f t="shared" si="300"/>
        <v>0</v>
      </c>
      <c r="K567">
        <f t="shared" si="308"/>
        <v>3</v>
      </c>
      <c r="L567">
        <f t="shared" si="287"/>
        <v>360</v>
      </c>
      <c r="M567">
        <f t="shared" si="301"/>
        <v>0</v>
      </c>
      <c r="N567">
        <f t="shared" si="309"/>
        <v>2</v>
      </c>
      <c r="O567">
        <f t="shared" si="288"/>
        <v>300</v>
      </c>
      <c r="P567">
        <f t="shared" si="310"/>
        <v>0</v>
      </c>
      <c r="Q567">
        <f t="shared" si="311"/>
        <v>2</v>
      </c>
      <c r="R567">
        <f t="shared" si="289"/>
        <v>300</v>
      </c>
      <c r="S567">
        <f t="shared" si="312"/>
        <v>0</v>
      </c>
      <c r="T567">
        <f t="shared" si="313"/>
        <v>-1</v>
      </c>
      <c r="U567">
        <f t="shared" si="302"/>
        <v>1</v>
      </c>
      <c r="V567">
        <f t="shared" si="303"/>
        <v>1</v>
      </c>
      <c r="W567">
        <f t="shared" si="290"/>
        <v>0</v>
      </c>
      <c r="X567">
        <f t="shared" si="314"/>
        <v>0</v>
      </c>
      <c r="Y567">
        <f t="shared" si="291"/>
        <v>0</v>
      </c>
      <c r="Z567">
        <f t="shared" si="292"/>
        <v>0</v>
      </c>
      <c r="AA567">
        <f t="shared" si="293"/>
        <v>0</v>
      </c>
      <c r="AB567" s="29">
        <f t="shared" si="294"/>
        <v>0</v>
      </c>
      <c r="AC567" s="25">
        <f t="shared" si="304"/>
        <v>0</v>
      </c>
      <c r="AD567" s="29">
        <f t="shared" si="295"/>
        <v>0</v>
      </c>
      <c r="AE567" s="25">
        <f t="shared" si="305"/>
        <v>0</v>
      </c>
      <c r="AF567" s="25">
        <f t="shared" si="296"/>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7"/>
        <v>-1</v>
      </c>
      <c r="B568">
        <f t="shared" si="306"/>
        <v>6</v>
      </c>
      <c r="C568">
        <f t="shared" si="284"/>
        <v>300</v>
      </c>
      <c r="D568">
        <f t="shared" si="298"/>
        <v>0</v>
      </c>
      <c r="E568">
        <f t="shared" si="318"/>
        <v>5</v>
      </c>
      <c r="F568">
        <f t="shared" si="285"/>
        <v>360</v>
      </c>
      <c r="G568">
        <f t="shared" si="299"/>
        <v>0</v>
      </c>
      <c r="H568">
        <f t="shared" si="307"/>
        <v>4</v>
      </c>
      <c r="I568">
        <f t="shared" si="286"/>
        <v>360</v>
      </c>
      <c r="J568">
        <f t="shared" si="300"/>
        <v>0</v>
      </c>
      <c r="K568">
        <f t="shared" si="308"/>
        <v>3</v>
      </c>
      <c r="L568">
        <f t="shared" si="287"/>
        <v>360</v>
      </c>
      <c r="M568">
        <f t="shared" si="301"/>
        <v>0</v>
      </c>
      <c r="N568">
        <f t="shared" si="309"/>
        <v>2</v>
      </c>
      <c r="O568">
        <f t="shared" si="288"/>
        <v>300</v>
      </c>
      <c r="P568">
        <f t="shared" si="310"/>
        <v>0</v>
      </c>
      <c r="Q568">
        <f t="shared" si="311"/>
        <v>2</v>
      </c>
      <c r="R568">
        <f t="shared" si="289"/>
        <v>300</v>
      </c>
      <c r="S568">
        <f t="shared" si="312"/>
        <v>0</v>
      </c>
      <c r="T568">
        <f t="shared" si="313"/>
        <v>-1</v>
      </c>
      <c r="U568">
        <f t="shared" si="302"/>
        <v>1</v>
      </c>
      <c r="V568">
        <f t="shared" si="303"/>
        <v>1</v>
      </c>
      <c r="W568">
        <f t="shared" si="290"/>
        <v>0</v>
      </c>
      <c r="X568">
        <f t="shared" si="314"/>
        <v>0</v>
      </c>
      <c r="Y568">
        <f t="shared" si="291"/>
        <v>0</v>
      </c>
      <c r="Z568">
        <f t="shared" si="292"/>
        <v>0</v>
      </c>
      <c r="AA568">
        <f t="shared" si="293"/>
        <v>0</v>
      </c>
      <c r="AB568" s="29">
        <f t="shared" si="294"/>
        <v>0</v>
      </c>
      <c r="AC568" s="25">
        <f t="shared" si="304"/>
        <v>0</v>
      </c>
      <c r="AD568" s="29">
        <f t="shared" si="295"/>
        <v>0</v>
      </c>
      <c r="AE568" s="25">
        <f t="shared" si="305"/>
        <v>0</v>
      </c>
      <c r="AF568" s="25">
        <f t="shared" si="296"/>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7"/>
        <v>-1</v>
      </c>
      <c r="B569">
        <f t="shared" si="306"/>
        <v>6</v>
      </c>
      <c r="C569">
        <f t="shared" si="284"/>
        <v>300</v>
      </c>
      <c r="D569">
        <f t="shared" si="298"/>
        <v>0</v>
      </c>
      <c r="E569">
        <f t="shared" si="318"/>
        <v>5</v>
      </c>
      <c r="F569">
        <f t="shared" si="285"/>
        <v>360</v>
      </c>
      <c r="G569">
        <f t="shared" si="299"/>
        <v>0</v>
      </c>
      <c r="H569">
        <f t="shared" si="307"/>
        <v>4</v>
      </c>
      <c r="I569">
        <f t="shared" si="286"/>
        <v>360</v>
      </c>
      <c r="J569">
        <f t="shared" si="300"/>
        <v>0</v>
      </c>
      <c r="K569">
        <f t="shared" si="308"/>
        <v>3</v>
      </c>
      <c r="L569">
        <f t="shared" si="287"/>
        <v>360</v>
      </c>
      <c r="M569">
        <f t="shared" si="301"/>
        <v>0</v>
      </c>
      <c r="N569">
        <f t="shared" si="309"/>
        <v>2</v>
      </c>
      <c r="O569">
        <f t="shared" si="288"/>
        <v>300</v>
      </c>
      <c r="P569">
        <f t="shared" si="310"/>
        <v>0</v>
      </c>
      <c r="Q569">
        <f t="shared" si="311"/>
        <v>2</v>
      </c>
      <c r="R569">
        <f t="shared" si="289"/>
        <v>300</v>
      </c>
      <c r="S569">
        <f t="shared" si="312"/>
        <v>0</v>
      </c>
      <c r="T569">
        <f t="shared" si="313"/>
        <v>-1</v>
      </c>
      <c r="U569">
        <f t="shared" si="302"/>
        <v>1</v>
      </c>
      <c r="V569">
        <f t="shared" si="303"/>
        <v>1</v>
      </c>
      <c r="W569">
        <f t="shared" si="290"/>
        <v>0</v>
      </c>
      <c r="X569">
        <f t="shared" si="314"/>
        <v>0</v>
      </c>
      <c r="Y569">
        <f t="shared" si="291"/>
        <v>0</v>
      </c>
      <c r="Z569">
        <f t="shared" si="292"/>
        <v>0</v>
      </c>
      <c r="AA569">
        <f t="shared" si="293"/>
        <v>0</v>
      </c>
      <c r="AB569" s="29">
        <f t="shared" si="294"/>
        <v>0</v>
      </c>
      <c r="AC569" s="25">
        <f t="shared" si="304"/>
        <v>0</v>
      </c>
      <c r="AD569" s="29">
        <f t="shared" si="295"/>
        <v>0</v>
      </c>
      <c r="AE569" s="25">
        <f t="shared" si="305"/>
        <v>0</v>
      </c>
      <c r="AF569" s="25">
        <f t="shared" si="296"/>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7"/>
        <v>-1</v>
      </c>
      <c r="B570">
        <f t="shared" si="306"/>
        <v>6</v>
      </c>
      <c r="C570">
        <f t="shared" si="284"/>
        <v>300</v>
      </c>
      <c r="D570">
        <f t="shared" si="298"/>
        <v>0</v>
      </c>
      <c r="E570">
        <f t="shared" si="318"/>
        <v>5</v>
      </c>
      <c r="F570">
        <f t="shared" si="285"/>
        <v>360</v>
      </c>
      <c r="G570">
        <f t="shared" si="299"/>
        <v>0</v>
      </c>
      <c r="H570">
        <f t="shared" si="307"/>
        <v>4</v>
      </c>
      <c r="I570">
        <f t="shared" si="286"/>
        <v>360</v>
      </c>
      <c r="J570">
        <f t="shared" si="300"/>
        <v>0</v>
      </c>
      <c r="K570">
        <f t="shared" si="308"/>
        <v>3</v>
      </c>
      <c r="L570">
        <f t="shared" si="287"/>
        <v>360</v>
      </c>
      <c r="M570">
        <f t="shared" si="301"/>
        <v>0</v>
      </c>
      <c r="N570">
        <f t="shared" si="309"/>
        <v>2</v>
      </c>
      <c r="O570">
        <f t="shared" si="288"/>
        <v>300</v>
      </c>
      <c r="P570">
        <f t="shared" si="310"/>
        <v>0</v>
      </c>
      <c r="Q570">
        <f t="shared" si="311"/>
        <v>2</v>
      </c>
      <c r="R570">
        <f t="shared" si="289"/>
        <v>300</v>
      </c>
      <c r="S570">
        <f t="shared" si="312"/>
        <v>0</v>
      </c>
      <c r="T570">
        <f t="shared" si="313"/>
        <v>-1</v>
      </c>
      <c r="U570">
        <f t="shared" si="302"/>
        <v>1</v>
      </c>
      <c r="V570">
        <f t="shared" si="303"/>
        <v>1</v>
      </c>
      <c r="W570">
        <f t="shared" si="290"/>
        <v>0</v>
      </c>
      <c r="X570">
        <f t="shared" si="314"/>
        <v>0</v>
      </c>
      <c r="Y570">
        <f t="shared" si="291"/>
        <v>0</v>
      </c>
      <c r="Z570">
        <f t="shared" si="292"/>
        <v>0</v>
      </c>
      <c r="AA570">
        <f t="shared" si="293"/>
        <v>0</v>
      </c>
      <c r="AB570" s="29">
        <f t="shared" si="294"/>
        <v>0</v>
      </c>
      <c r="AC570" s="25">
        <f t="shared" si="304"/>
        <v>0</v>
      </c>
      <c r="AD570" s="29">
        <f t="shared" si="295"/>
        <v>0</v>
      </c>
      <c r="AE570" s="25">
        <f t="shared" si="305"/>
        <v>0</v>
      </c>
      <c r="AF570" s="25">
        <f t="shared" si="296"/>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7"/>
        <v>-1</v>
      </c>
      <c r="B571">
        <f t="shared" si="306"/>
        <v>6</v>
      </c>
      <c r="C571">
        <f t="shared" si="284"/>
        <v>300</v>
      </c>
      <c r="D571">
        <f t="shared" si="298"/>
        <v>0</v>
      </c>
      <c r="E571">
        <f t="shared" si="318"/>
        <v>5</v>
      </c>
      <c r="F571">
        <f t="shared" si="285"/>
        <v>360</v>
      </c>
      <c r="G571">
        <f t="shared" si="299"/>
        <v>0</v>
      </c>
      <c r="H571">
        <f t="shared" si="307"/>
        <v>4</v>
      </c>
      <c r="I571">
        <f t="shared" si="286"/>
        <v>360</v>
      </c>
      <c r="J571">
        <f t="shared" si="300"/>
        <v>0</v>
      </c>
      <c r="K571">
        <f t="shared" si="308"/>
        <v>3</v>
      </c>
      <c r="L571">
        <f t="shared" si="287"/>
        <v>360</v>
      </c>
      <c r="M571">
        <f t="shared" si="301"/>
        <v>0</v>
      </c>
      <c r="N571">
        <f t="shared" si="309"/>
        <v>2</v>
      </c>
      <c r="O571">
        <f t="shared" si="288"/>
        <v>300</v>
      </c>
      <c r="P571">
        <f t="shared" si="310"/>
        <v>0</v>
      </c>
      <c r="Q571">
        <f t="shared" si="311"/>
        <v>2</v>
      </c>
      <c r="R571">
        <f t="shared" si="289"/>
        <v>300</v>
      </c>
      <c r="S571">
        <f t="shared" si="312"/>
        <v>0</v>
      </c>
      <c r="T571">
        <f t="shared" si="313"/>
        <v>-1</v>
      </c>
      <c r="U571">
        <f t="shared" si="302"/>
        <v>1</v>
      </c>
      <c r="V571">
        <f t="shared" si="303"/>
        <v>1</v>
      </c>
      <c r="W571">
        <f t="shared" si="290"/>
        <v>0</v>
      </c>
      <c r="X571">
        <f t="shared" si="314"/>
        <v>0</v>
      </c>
      <c r="Y571">
        <f t="shared" si="291"/>
        <v>0</v>
      </c>
      <c r="Z571">
        <f t="shared" si="292"/>
        <v>0</v>
      </c>
      <c r="AA571">
        <f t="shared" si="293"/>
        <v>0</v>
      </c>
      <c r="AB571" s="29">
        <f t="shared" si="294"/>
        <v>0</v>
      </c>
      <c r="AC571" s="25">
        <f t="shared" si="304"/>
        <v>0</v>
      </c>
      <c r="AD571" s="29">
        <f t="shared" si="295"/>
        <v>0</v>
      </c>
      <c r="AE571" s="25">
        <f t="shared" si="305"/>
        <v>0</v>
      </c>
      <c r="AF571" s="25">
        <f t="shared" si="296"/>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7"/>
        <v>-1</v>
      </c>
      <c r="B572">
        <f t="shared" si="306"/>
        <v>6</v>
      </c>
      <c r="C572">
        <f t="shared" si="284"/>
        <v>300</v>
      </c>
      <c r="D572">
        <f t="shared" si="298"/>
        <v>0</v>
      </c>
      <c r="E572">
        <f t="shared" si="318"/>
        <v>5</v>
      </c>
      <c r="F572">
        <f t="shared" si="285"/>
        <v>360</v>
      </c>
      <c r="G572">
        <f t="shared" si="299"/>
        <v>0</v>
      </c>
      <c r="H572">
        <f t="shared" si="307"/>
        <v>4</v>
      </c>
      <c r="I572">
        <f t="shared" si="286"/>
        <v>360</v>
      </c>
      <c r="J572">
        <f t="shared" si="300"/>
        <v>0</v>
      </c>
      <c r="K572">
        <f t="shared" si="308"/>
        <v>3</v>
      </c>
      <c r="L572">
        <f t="shared" si="287"/>
        <v>360</v>
      </c>
      <c r="M572">
        <f t="shared" si="301"/>
        <v>0</v>
      </c>
      <c r="N572">
        <f t="shared" si="309"/>
        <v>2</v>
      </c>
      <c r="O572">
        <f t="shared" si="288"/>
        <v>300</v>
      </c>
      <c r="P572">
        <f t="shared" si="310"/>
        <v>0</v>
      </c>
      <c r="Q572">
        <f t="shared" si="311"/>
        <v>2</v>
      </c>
      <c r="R572">
        <f t="shared" si="289"/>
        <v>300</v>
      </c>
      <c r="S572">
        <f t="shared" si="312"/>
        <v>0</v>
      </c>
      <c r="T572">
        <f t="shared" si="313"/>
        <v>-1</v>
      </c>
      <c r="U572">
        <f t="shared" si="302"/>
        <v>1</v>
      </c>
      <c r="V572">
        <f t="shared" si="303"/>
        <v>1</v>
      </c>
      <c r="W572">
        <f t="shared" si="290"/>
        <v>0</v>
      </c>
      <c r="X572">
        <f t="shared" si="314"/>
        <v>0</v>
      </c>
      <c r="Y572">
        <f t="shared" si="291"/>
        <v>0</v>
      </c>
      <c r="Z572">
        <f t="shared" si="292"/>
        <v>0</v>
      </c>
      <c r="AA572">
        <f t="shared" si="293"/>
        <v>0</v>
      </c>
      <c r="AB572" s="29">
        <f t="shared" si="294"/>
        <v>0</v>
      </c>
      <c r="AC572" s="25">
        <f t="shared" si="304"/>
        <v>0</v>
      </c>
      <c r="AD572" s="29">
        <f t="shared" si="295"/>
        <v>0</v>
      </c>
      <c r="AE572" s="25">
        <f t="shared" si="305"/>
        <v>0</v>
      </c>
      <c r="AF572" s="25">
        <f t="shared" si="296"/>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7"/>
        <v>-1</v>
      </c>
      <c r="B573">
        <f t="shared" si="306"/>
        <v>6</v>
      </c>
      <c r="C573">
        <f t="shared" si="284"/>
        <v>300</v>
      </c>
      <c r="D573">
        <f t="shared" si="298"/>
        <v>0</v>
      </c>
      <c r="E573">
        <f t="shared" si="318"/>
        <v>5</v>
      </c>
      <c r="F573">
        <f t="shared" si="285"/>
        <v>360</v>
      </c>
      <c r="G573">
        <f t="shared" si="299"/>
        <v>0</v>
      </c>
      <c r="H573">
        <f t="shared" si="307"/>
        <v>4</v>
      </c>
      <c r="I573">
        <f t="shared" si="286"/>
        <v>360</v>
      </c>
      <c r="J573">
        <f t="shared" si="300"/>
        <v>0</v>
      </c>
      <c r="K573">
        <f t="shared" si="308"/>
        <v>3</v>
      </c>
      <c r="L573">
        <f t="shared" si="287"/>
        <v>360</v>
      </c>
      <c r="M573">
        <f t="shared" si="301"/>
        <v>0</v>
      </c>
      <c r="N573">
        <f t="shared" si="309"/>
        <v>2</v>
      </c>
      <c r="O573">
        <f t="shared" si="288"/>
        <v>300</v>
      </c>
      <c r="P573">
        <f t="shared" si="310"/>
        <v>0</v>
      </c>
      <c r="Q573">
        <f t="shared" si="311"/>
        <v>2</v>
      </c>
      <c r="R573">
        <f t="shared" si="289"/>
        <v>300</v>
      </c>
      <c r="S573">
        <f t="shared" si="312"/>
        <v>0</v>
      </c>
      <c r="T573">
        <f t="shared" si="313"/>
        <v>-1</v>
      </c>
      <c r="U573">
        <f t="shared" si="302"/>
        <v>1</v>
      </c>
      <c r="V573">
        <f t="shared" si="303"/>
        <v>1</v>
      </c>
      <c r="W573">
        <f t="shared" si="290"/>
        <v>0</v>
      </c>
      <c r="X573">
        <f t="shared" si="314"/>
        <v>0</v>
      </c>
      <c r="Y573">
        <f t="shared" si="291"/>
        <v>0</v>
      </c>
      <c r="Z573">
        <f t="shared" si="292"/>
        <v>0</v>
      </c>
      <c r="AA573">
        <f t="shared" si="293"/>
        <v>0</v>
      </c>
      <c r="AB573" s="29">
        <f t="shared" si="294"/>
        <v>0</v>
      </c>
      <c r="AC573" s="25">
        <f t="shared" si="304"/>
        <v>0</v>
      </c>
      <c r="AD573" s="29">
        <f t="shared" si="295"/>
        <v>0</v>
      </c>
      <c r="AE573" s="25">
        <f t="shared" si="305"/>
        <v>0</v>
      </c>
      <c r="AF573" s="25">
        <f t="shared" si="296"/>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7"/>
        <v>-1</v>
      </c>
      <c r="B574">
        <f t="shared" si="306"/>
        <v>6</v>
      </c>
      <c r="C574">
        <f t="shared" si="284"/>
        <v>300</v>
      </c>
      <c r="D574">
        <f t="shared" si="298"/>
        <v>0</v>
      </c>
      <c r="E574">
        <f t="shared" si="318"/>
        <v>5</v>
      </c>
      <c r="F574">
        <f t="shared" si="285"/>
        <v>360</v>
      </c>
      <c r="G574">
        <f t="shared" si="299"/>
        <v>0</v>
      </c>
      <c r="H574">
        <f t="shared" si="307"/>
        <v>4</v>
      </c>
      <c r="I574">
        <f t="shared" si="286"/>
        <v>360</v>
      </c>
      <c r="J574">
        <f t="shared" si="300"/>
        <v>0</v>
      </c>
      <c r="K574">
        <f t="shared" si="308"/>
        <v>3</v>
      </c>
      <c r="L574">
        <f t="shared" si="287"/>
        <v>360</v>
      </c>
      <c r="M574">
        <f t="shared" si="301"/>
        <v>0</v>
      </c>
      <c r="N574">
        <f t="shared" si="309"/>
        <v>2</v>
      </c>
      <c r="O574">
        <f t="shared" si="288"/>
        <v>300</v>
      </c>
      <c r="P574">
        <f t="shared" si="310"/>
        <v>0</v>
      </c>
      <c r="Q574">
        <f t="shared" si="311"/>
        <v>2</v>
      </c>
      <c r="R574">
        <f t="shared" si="289"/>
        <v>300</v>
      </c>
      <c r="S574">
        <f t="shared" si="312"/>
        <v>0</v>
      </c>
      <c r="T574">
        <f t="shared" si="313"/>
        <v>-1</v>
      </c>
      <c r="U574">
        <f t="shared" si="302"/>
        <v>1</v>
      </c>
      <c r="V574">
        <f t="shared" si="303"/>
        <v>1</v>
      </c>
      <c r="W574">
        <f t="shared" si="290"/>
        <v>0</v>
      </c>
      <c r="X574">
        <f t="shared" si="314"/>
        <v>0</v>
      </c>
      <c r="Y574">
        <f t="shared" si="291"/>
        <v>0</v>
      </c>
      <c r="Z574">
        <f t="shared" si="292"/>
        <v>0</v>
      </c>
      <c r="AA574">
        <f t="shared" si="293"/>
        <v>0</v>
      </c>
      <c r="AB574" s="29">
        <f t="shared" si="294"/>
        <v>0</v>
      </c>
      <c r="AC574" s="25">
        <f t="shared" si="304"/>
        <v>0</v>
      </c>
      <c r="AD574" s="29">
        <f t="shared" si="295"/>
        <v>0</v>
      </c>
      <c r="AE574" s="25">
        <f t="shared" si="305"/>
        <v>0</v>
      </c>
      <c r="AF574" s="25">
        <f t="shared" si="296"/>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7"/>
        <v>-1</v>
      </c>
      <c r="B575">
        <f t="shared" si="306"/>
        <v>6</v>
      </c>
      <c r="C575">
        <f t="shared" si="284"/>
        <v>300</v>
      </c>
      <c r="D575">
        <f t="shared" si="298"/>
        <v>0</v>
      </c>
      <c r="E575">
        <f t="shared" si="318"/>
        <v>5</v>
      </c>
      <c r="F575">
        <f t="shared" si="285"/>
        <v>360</v>
      </c>
      <c r="G575">
        <f t="shared" si="299"/>
        <v>0</v>
      </c>
      <c r="H575">
        <f t="shared" si="307"/>
        <v>4</v>
      </c>
      <c r="I575">
        <f t="shared" si="286"/>
        <v>360</v>
      </c>
      <c r="J575">
        <f t="shared" si="300"/>
        <v>0</v>
      </c>
      <c r="K575">
        <f t="shared" si="308"/>
        <v>3</v>
      </c>
      <c r="L575">
        <f t="shared" si="287"/>
        <v>360</v>
      </c>
      <c r="M575">
        <f t="shared" si="301"/>
        <v>0</v>
      </c>
      <c r="N575">
        <f t="shared" si="309"/>
        <v>2</v>
      </c>
      <c r="O575">
        <f t="shared" si="288"/>
        <v>300</v>
      </c>
      <c r="P575">
        <f t="shared" si="310"/>
        <v>0</v>
      </c>
      <c r="Q575">
        <f t="shared" si="311"/>
        <v>2</v>
      </c>
      <c r="R575">
        <f t="shared" si="289"/>
        <v>300</v>
      </c>
      <c r="S575">
        <f t="shared" si="312"/>
        <v>0</v>
      </c>
      <c r="T575">
        <f t="shared" si="313"/>
        <v>-1</v>
      </c>
      <c r="U575">
        <f t="shared" si="302"/>
        <v>1</v>
      </c>
      <c r="V575">
        <f t="shared" si="303"/>
        <v>1</v>
      </c>
      <c r="W575">
        <f t="shared" si="290"/>
        <v>0</v>
      </c>
      <c r="X575">
        <f t="shared" si="314"/>
        <v>0</v>
      </c>
      <c r="Y575">
        <f t="shared" si="291"/>
        <v>0</v>
      </c>
      <c r="Z575">
        <f t="shared" si="292"/>
        <v>0</v>
      </c>
      <c r="AA575">
        <f t="shared" si="293"/>
        <v>0</v>
      </c>
      <c r="AB575" s="29">
        <f t="shared" si="294"/>
        <v>0</v>
      </c>
      <c r="AC575" s="25">
        <f t="shared" si="304"/>
        <v>0</v>
      </c>
      <c r="AD575" s="29">
        <f t="shared" si="295"/>
        <v>0</v>
      </c>
      <c r="AE575" s="25">
        <f t="shared" si="305"/>
        <v>0</v>
      </c>
      <c r="AF575" s="25">
        <f t="shared" si="296"/>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7"/>
        <v>-1</v>
      </c>
      <c r="B576">
        <f t="shared" si="306"/>
        <v>6</v>
      </c>
      <c r="C576">
        <f t="shared" si="284"/>
        <v>300</v>
      </c>
      <c r="D576">
        <f t="shared" si="298"/>
        <v>0</v>
      </c>
      <c r="E576">
        <f t="shared" si="318"/>
        <v>5</v>
      </c>
      <c r="F576">
        <f t="shared" si="285"/>
        <v>360</v>
      </c>
      <c r="G576">
        <f t="shared" si="299"/>
        <v>0</v>
      </c>
      <c r="H576">
        <f t="shared" si="307"/>
        <v>4</v>
      </c>
      <c r="I576">
        <f t="shared" si="286"/>
        <v>360</v>
      </c>
      <c r="J576">
        <f t="shared" si="300"/>
        <v>0</v>
      </c>
      <c r="K576">
        <f t="shared" si="308"/>
        <v>3</v>
      </c>
      <c r="L576">
        <f t="shared" si="287"/>
        <v>360</v>
      </c>
      <c r="M576">
        <f t="shared" si="301"/>
        <v>0</v>
      </c>
      <c r="N576">
        <f t="shared" si="309"/>
        <v>2</v>
      </c>
      <c r="O576">
        <f t="shared" si="288"/>
        <v>300</v>
      </c>
      <c r="P576">
        <f t="shared" si="310"/>
        <v>0</v>
      </c>
      <c r="Q576">
        <f t="shared" si="311"/>
        <v>2</v>
      </c>
      <c r="R576">
        <f t="shared" si="289"/>
        <v>300</v>
      </c>
      <c r="S576">
        <f t="shared" si="312"/>
        <v>0</v>
      </c>
      <c r="T576">
        <f t="shared" si="313"/>
        <v>-1</v>
      </c>
      <c r="U576">
        <f t="shared" si="302"/>
        <v>1</v>
      </c>
      <c r="V576">
        <f t="shared" si="303"/>
        <v>1</v>
      </c>
      <c r="W576">
        <f t="shared" si="290"/>
        <v>0</v>
      </c>
      <c r="X576">
        <f t="shared" si="314"/>
        <v>0</v>
      </c>
      <c r="Y576">
        <f t="shared" si="291"/>
        <v>0</v>
      </c>
      <c r="Z576">
        <f t="shared" si="292"/>
        <v>0</v>
      </c>
      <c r="AA576">
        <f t="shared" si="293"/>
        <v>0</v>
      </c>
      <c r="AB576" s="29">
        <f t="shared" si="294"/>
        <v>0</v>
      </c>
      <c r="AC576" s="25">
        <f t="shared" si="304"/>
        <v>0</v>
      </c>
      <c r="AD576" s="29">
        <f t="shared" si="295"/>
        <v>0</v>
      </c>
      <c r="AE576" s="25">
        <f t="shared" si="305"/>
        <v>0</v>
      </c>
      <c r="AF576" s="25">
        <f t="shared" si="296"/>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7"/>
        <v>-1</v>
      </c>
      <c r="B577">
        <f t="shared" si="306"/>
        <v>6</v>
      </c>
      <c r="C577">
        <f t="shared" si="284"/>
        <v>300</v>
      </c>
      <c r="D577">
        <f t="shared" si="298"/>
        <v>0</v>
      </c>
      <c r="E577">
        <f t="shared" si="318"/>
        <v>5</v>
      </c>
      <c r="F577">
        <f t="shared" si="285"/>
        <v>360</v>
      </c>
      <c r="G577">
        <f t="shared" si="299"/>
        <v>0</v>
      </c>
      <c r="H577">
        <f t="shared" si="307"/>
        <v>4</v>
      </c>
      <c r="I577">
        <f t="shared" si="286"/>
        <v>360</v>
      </c>
      <c r="J577">
        <f t="shared" si="300"/>
        <v>0</v>
      </c>
      <c r="K577">
        <f t="shared" si="308"/>
        <v>3</v>
      </c>
      <c r="L577">
        <f t="shared" si="287"/>
        <v>360</v>
      </c>
      <c r="M577">
        <f t="shared" si="301"/>
        <v>0</v>
      </c>
      <c r="N577">
        <f t="shared" si="309"/>
        <v>2</v>
      </c>
      <c r="O577">
        <f t="shared" si="288"/>
        <v>300</v>
      </c>
      <c r="P577">
        <f t="shared" si="310"/>
        <v>0</v>
      </c>
      <c r="Q577">
        <f t="shared" si="311"/>
        <v>2</v>
      </c>
      <c r="R577">
        <f t="shared" si="289"/>
        <v>300</v>
      </c>
      <c r="S577">
        <f t="shared" si="312"/>
        <v>0</v>
      </c>
      <c r="T577">
        <f t="shared" si="313"/>
        <v>-1</v>
      </c>
      <c r="U577">
        <f t="shared" si="302"/>
        <v>1</v>
      </c>
      <c r="V577">
        <f t="shared" si="303"/>
        <v>1</v>
      </c>
      <c r="W577">
        <f t="shared" si="290"/>
        <v>0</v>
      </c>
      <c r="X577">
        <f t="shared" si="314"/>
        <v>0</v>
      </c>
      <c r="Y577">
        <f t="shared" si="291"/>
        <v>0</v>
      </c>
      <c r="Z577">
        <f t="shared" si="292"/>
        <v>0</v>
      </c>
      <c r="AA577">
        <f t="shared" si="293"/>
        <v>0</v>
      </c>
      <c r="AB577" s="29">
        <f t="shared" si="294"/>
        <v>0</v>
      </c>
      <c r="AC577" s="25">
        <f t="shared" si="304"/>
        <v>0</v>
      </c>
      <c r="AD577" s="29">
        <f t="shared" si="295"/>
        <v>0</v>
      </c>
      <c r="AE577" s="25">
        <f t="shared" si="305"/>
        <v>0</v>
      </c>
      <c r="AF577" s="25">
        <f t="shared" si="296"/>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7"/>
        <v>-1</v>
      </c>
      <c r="B578">
        <f t="shared" si="306"/>
        <v>6</v>
      </c>
      <c r="C578">
        <f t="shared" si="284"/>
        <v>300</v>
      </c>
      <c r="D578">
        <f t="shared" si="298"/>
        <v>0</v>
      </c>
      <c r="E578">
        <f t="shared" si="318"/>
        <v>5</v>
      </c>
      <c r="F578">
        <f t="shared" si="285"/>
        <v>360</v>
      </c>
      <c r="G578">
        <f t="shared" si="299"/>
        <v>0</v>
      </c>
      <c r="H578">
        <f t="shared" si="307"/>
        <v>4</v>
      </c>
      <c r="I578">
        <f t="shared" si="286"/>
        <v>360</v>
      </c>
      <c r="J578">
        <f t="shared" si="300"/>
        <v>0</v>
      </c>
      <c r="K578">
        <f t="shared" si="308"/>
        <v>3</v>
      </c>
      <c r="L578">
        <f t="shared" si="287"/>
        <v>360</v>
      </c>
      <c r="M578">
        <f t="shared" si="301"/>
        <v>0</v>
      </c>
      <c r="N578">
        <f t="shared" si="309"/>
        <v>2</v>
      </c>
      <c r="O578">
        <f t="shared" si="288"/>
        <v>300</v>
      </c>
      <c r="P578">
        <f t="shared" si="310"/>
        <v>0</v>
      </c>
      <c r="Q578">
        <f t="shared" si="311"/>
        <v>2</v>
      </c>
      <c r="R578">
        <f t="shared" si="289"/>
        <v>300</v>
      </c>
      <c r="S578">
        <f t="shared" si="312"/>
        <v>0</v>
      </c>
      <c r="T578">
        <f t="shared" si="313"/>
        <v>-1</v>
      </c>
      <c r="U578">
        <f t="shared" si="302"/>
        <v>1</v>
      </c>
      <c r="V578">
        <f t="shared" si="303"/>
        <v>1</v>
      </c>
      <c r="W578">
        <f t="shared" si="290"/>
        <v>0</v>
      </c>
      <c r="X578">
        <f t="shared" si="314"/>
        <v>0</v>
      </c>
      <c r="Y578">
        <f t="shared" si="291"/>
        <v>0</v>
      </c>
      <c r="Z578">
        <f t="shared" si="292"/>
        <v>0</v>
      </c>
      <c r="AA578">
        <f t="shared" si="293"/>
        <v>0</v>
      </c>
      <c r="AB578" s="29">
        <f t="shared" si="294"/>
        <v>0</v>
      </c>
      <c r="AC578" s="25">
        <f t="shared" si="304"/>
        <v>0</v>
      </c>
      <c r="AD578" s="29">
        <f t="shared" si="295"/>
        <v>0</v>
      </c>
      <c r="AE578" s="25">
        <f t="shared" si="305"/>
        <v>0</v>
      </c>
      <c r="AF578" s="25">
        <f t="shared" si="296"/>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7"/>
        <v>-1</v>
      </c>
      <c r="B579">
        <f t="shared" si="306"/>
        <v>6</v>
      </c>
      <c r="C579">
        <f t="shared" ref="C579:C602" si="319">IF(AND(cdspec60,cdspec60plus),CHOOSE($B579,cdspec601,cdspec602,cdspec603,cdspec604,cdspec605,cdspec606,cdspec607,cdspec608,cdspec609,cdspec6010),($B579-1)*60+IF(cdspec60,cdspec601,0))</f>
        <v>300</v>
      </c>
      <c r="D579">
        <f t="shared" si="298"/>
        <v>0</v>
      </c>
      <c r="E579">
        <f t="shared" si="318"/>
        <v>5</v>
      </c>
      <c r="F579">
        <f t="shared" ref="F579:F602" si="320">IF(AND(cdspec90,cdspec90plus),CHOOSE(E579,cdspec901,cdspec902,cdspec903,cdspec904,cdspec905,cdspec906),(E579-1)*IF(cdtreat90as120,120,90)+IF(cdspec90,cdspec901,0))</f>
        <v>360</v>
      </c>
      <c r="G579">
        <f t="shared" si="299"/>
        <v>0</v>
      </c>
      <c r="H579">
        <f t="shared" si="307"/>
        <v>4</v>
      </c>
      <c r="I579">
        <f t="shared" ref="I579:I602" si="321">IF(AND(cdspec120,cdspec120plus),CHOOSE(H579,cdspec1201,cdspec1202,cdspec1203,cdspec1204,cdspec1205),(H579-1)*120+IF(cdspec120,cdspec1201,0))</f>
        <v>360</v>
      </c>
      <c r="J579">
        <f t="shared" si="300"/>
        <v>0</v>
      </c>
      <c r="K579">
        <f t="shared" si="308"/>
        <v>3</v>
      </c>
      <c r="L579">
        <f t="shared" ref="L579:L602" si="322">IF(AND(cdspec180,cdspec180plus),CHOOSE(K579,cdspec1801,cdspec1802,cdspec1803,cdspec1804),(K579-1)*IF(cdtreat180as240,240,180)+IF(cdspec180,cdspec1801,0))</f>
        <v>360</v>
      </c>
      <c r="M579">
        <f t="shared" si="301"/>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2"/>
        <v>1</v>
      </c>
      <c r="V579">
        <f t="shared" si="303"/>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si="304"/>
        <v>0</v>
      </c>
      <c r="AD579" s="29">
        <f t="shared" ref="AD579:AD602" si="330">IF($A579&lt;0,0,(1+$AC579/(hasterate*100))*(1+$AS$26/100*AND($J579&gt;0,$J579&lt;=$AT$26))*(1+$AS$35/100*AND($M579&gt;0,$M579&lt;=$AT$35))*(1+0.3*($X579&gt;0)))</f>
        <v>0</v>
      </c>
      <c r="AE579" s="25">
        <f t="shared" si="305"/>
        <v>0</v>
      </c>
      <c r="AF579" s="25">
        <f t="shared" ref="AF579:AF602" si="331">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2">IF(A579&lt;0,-1,IF(A579+1&gt;=time,-1,A579+1))</f>
        <v>-1</v>
      </c>
      <c r="B580">
        <f t="shared" si="306"/>
        <v>6</v>
      </c>
      <c r="C580">
        <f t="shared" si="319"/>
        <v>300</v>
      </c>
      <c r="D580">
        <f t="shared" ref="D580:D602" si="333">IF($A580=$C580,1,IF(AND($D579&gt;0,$D579&lt;30),$D579+1,0))</f>
        <v>0</v>
      </c>
      <c r="E580">
        <f t="shared" si="318"/>
        <v>5</v>
      </c>
      <c r="F580">
        <f t="shared" si="320"/>
        <v>360</v>
      </c>
      <c r="G580">
        <f t="shared" ref="G580:G602" si="334">IF($A580=F580,1,IF(AND(G579&gt;0,G579&lt;30),G579+1,0))</f>
        <v>0</v>
      </c>
      <c r="H580">
        <f t="shared" si="307"/>
        <v>4</v>
      </c>
      <c r="I580">
        <f t="shared" si="321"/>
        <v>360</v>
      </c>
      <c r="J580">
        <f t="shared" ref="J580:J602" si="335">IF($A580=I580,1,IF(AND(J579&gt;0,J579&lt;30),J579+1,0))</f>
        <v>0</v>
      </c>
      <c r="K580">
        <f t="shared" si="308"/>
        <v>3</v>
      </c>
      <c r="L580">
        <f t="shared" si="322"/>
        <v>360</v>
      </c>
      <c r="M580">
        <f t="shared" ref="M580:M602" si="336">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7">IF($A580=T580,1,IF(AND(U579&gt;0,U579&lt;$AT$3),U579+1,0))</f>
        <v>1</v>
      </c>
      <c r="V580">
        <f t="shared" ref="V580:V602" si="338">MIN(IF(X579=1,V579+1,V579),blustcount)</f>
        <v>1</v>
      </c>
      <c r="W580">
        <f t="shared" si="325"/>
        <v>0</v>
      </c>
      <c r="X580">
        <f t="shared" si="314"/>
        <v>0</v>
      </c>
      <c r="Y580">
        <f t="shared" si="326"/>
        <v>0</v>
      </c>
      <c r="Z580">
        <f t="shared" si="327"/>
        <v>0</v>
      </c>
      <c r="AA580">
        <f t="shared" si="328"/>
        <v>0</v>
      </c>
      <c r="AB580" s="29">
        <f t="shared" si="329"/>
        <v>0</v>
      </c>
      <c r="AC580" s="25">
        <f t="shared" ref="AC580:AC602" si="339">IF($A580&lt;0,0,$AN$43+IF($J580=0, 0, $AR$15*($J580&lt;=$AT$15)+$AR$22*($J580&lt;=$AT$22)+$AR$28*($J580&lt;=$AT$28)+$AR$29*($J580&lt;=$AT$29)-IF($AW$14, $AR$3*($J580&lt;=$AT$3)))+IF($U580=0,0,$AR$3))</f>
        <v>0</v>
      </c>
      <c r="AD580" s="29">
        <f t="shared" si="330"/>
        <v>0</v>
      </c>
      <c r="AE580" s="25">
        <f t="shared" ref="AE580:AE602" si="340">IF($A580&lt;0,0,$AN$45+IF($P580&gt;0,$AN$37*$AL$37,0)+$S580*(60-IF(CharLevel&gt;60,(CharLevel-60)*2,0))*$AL$38+IF($J580=1,$AL$26*-25+IF($AL$39, 30, 0),0)+IF($M580=1,$AL$35*-10,0)+IF(AE579&gt;instcost,AE579-instcost,0))</f>
        <v>0</v>
      </c>
      <c r="AF580" s="25">
        <f t="shared" si="331"/>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2"/>
        <v>-1</v>
      </c>
      <c r="B581">
        <f t="shared" ref="B581:B602" si="341">MIN(IF(D580=1,B580+1,B580),10)</f>
        <v>6</v>
      </c>
      <c r="C581">
        <f t="shared" si="319"/>
        <v>300</v>
      </c>
      <c r="D581">
        <f t="shared" si="333"/>
        <v>0</v>
      </c>
      <c r="E581">
        <f t="shared" si="318"/>
        <v>5</v>
      </c>
      <c r="F581">
        <f t="shared" si="320"/>
        <v>360</v>
      </c>
      <c r="G581">
        <f t="shared" si="334"/>
        <v>0</v>
      </c>
      <c r="H581">
        <f t="shared" ref="H581:H602" si="342">MIN(IF(J580=1,H580+1,H580),5)</f>
        <v>4</v>
      </c>
      <c r="I581">
        <f t="shared" si="321"/>
        <v>360</v>
      </c>
      <c r="J581">
        <f t="shared" si="335"/>
        <v>0</v>
      </c>
      <c r="K581">
        <f t="shared" ref="K581:K602" si="343">MIN(IF(M580=1,K580+1,K580),4)</f>
        <v>3</v>
      </c>
      <c r="L581">
        <f t="shared" si="322"/>
        <v>360</v>
      </c>
      <c r="M581">
        <f t="shared" si="336"/>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7"/>
        <v>1</v>
      </c>
      <c r="V581">
        <f t="shared" si="338"/>
        <v>1</v>
      </c>
      <c r="W581">
        <f t="shared" si="325"/>
        <v>0</v>
      </c>
      <c r="X581">
        <f t="shared" ref="X581:X602" si="349">IF($A581=W581,1,IF(AND(X580&gt;0,X580&lt;40),X580+1,0))</f>
        <v>0</v>
      </c>
      <c r="Y581">
        <f t="shared" si="326"/>
        <v>0</v>
      </c>
      <c r="Z581">
        <f t="shared" si="327"/>
        <v>0</v>
      </c>
      <c r="AA581">
        <f t="shared" si="328"/>
        <v>0</v>
      </c>
      <c r="AB581" s="29">
        <f t="shared" si="329"/>
        <v>0</v>
      </c>
      <c r="AC581" s="25">
        <f t="shared" si="339"/>
        <v>0</v>
      </c>
      <c r="AD581" s="29">
        <f t="shared" si="330"/>
        <v>0</v>
      </c>
      <c r="AE581" s="25">
        <f t="shared" si="340"/>
        <v>0</v>
      </c>
      <c r="AF581" s="25">
        <f t="shared" si="331"/>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2"/>
        <v>-1</v>
      </c>
      <c r="B582">
        <f t="shared" si="341"/>
        <v>6</v>
      </c>
      <c r="C582">
        <f t="shared" si="319"/>
        <v>300</v>
      </c>
      <c r="D582">
        <f t="shared" si="333"/>
        <v>0</v>
      </c>
      <c r="E582">
        <f t="shared" ref="E582:E602" si="353">MIN(IF(G581=1,E581+1,E581),6)</f>
        <v>5</v>
      </c>
      <c r="F582">
        <f t="shared" si="320"/>
        <v>360</v>
      </c>
      <c r="G582">
        <f t="shared" si="334"/>
        <v>0</v>
      </c>
      <c r="H582">
        <f t="shared" si="342"/>
        <v>4</v>
      </c>
      <c r="I582">
        <f t="shared" si="321"/>
        <v>360</v>
      </c>
      <c r="J582">
        <f t="shared" si="335"/>
        <v>0</v>
      </c>
      <c r="K582">
        <f t="shared" si="343"/>
        <v>3</v>
      </c>
      <c r="L582">
        <f t="shared" si="322"/>
        <v>360</v>
      </c>
      <c r="M582">
        <f t="shared" si="336"/>
        <v>0</v>
      </c>
      <c r="N582">
        <f t="shared" si="344"/>
        <v>2</v>
      </c>
      <c r="O582">
        <f t="shared" si="323"/>
        <v>300</v>
      </c>
      <c r="P582">
        <f t="shared" si="345"/>
        <v>0</v>
      </c>
      <c r="Q582">
        <f t="shared" si="346"/>
        <v>2</v>
      </c>
      <c r="R582">
        <f t="shared" si="324"/>
        <v>300</v>
      </c>
      <c r="S582">
        <f t="shared" si="347"/>
        <v>0</v>
      </c>
      <c r="T582">
        <f t="shared" si="348"/>
        <v>-1</v>
      </c>
      <c r="U582">
        <f t="shared" si="337"/>
        <v>1</v>
      </c>
      <c r="V582">
        <f t="shared" si="338"/>
        <v>1</v>
      </c>
      <c r="W582">
        <f t="shared" si="325"/>
        <v>0</v>
      </c>
      <c r="X582">
        <f t="shared" si="349"/>
        <v>0</v>
      </c>
      <c r="Y582">
        <f t="shared" si="326"/>
        <v>0</v>
      </c>
      <c r="Z582">
        <f t="shared" si="327"/>
        <v>0</v>
      </c>
      <c r="AA582">
        <f t="shared" si="328"/>
        <v>0</v>
      </c>
      <c r="AB582" s="29">
        <f t="shared" si="329"/>
        <v>0</v>
      </c>
      <c r="AC582" s="25">
        <f t="shared" si="339"/>
        <v>0</v>
      </c>
      <c r="AD582" s="29">
        <f t="shared" si="330"/>
        <v>0</v>
      </c>
      <c r="AE582" s="25">
        <f t="shared" si="340"/>
        <v>0</v>
      </c>
      <c r="AF582" s="25">
        <f t="shared" si="331"/>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2"/>
        <v>-1</v>
      </c>
      <c r="B583">
        <f t="shared" si="341"/>
        <v>6</v>
      </c>
      <c r="C583">
        <f t="shared" si="319"/>
        <v>300</v>
      </c>
      <c r="D583">
        <f t="shared" si="333"/>
        <v>0</v>
      </c>
      <c r="E583">
        <f t="shared" si="353"/>
        <v>5</v>
      </c>
      <c r="F583">
        <f t="shared" si="320"/>
        <v>360</v>
      </c>
      <c r="G583">
        <f t="shared" si="334"/>
        <v>0</v>
      </c>
      <c r="H583">
        <f t="shared" si="342"/>
        <v>4</v>
      </c>
      <c r="I583">
        <f t="shared" si="321"/>
        <v>360</v>
      </c>
      <c r="J583">
        <f t="shared" si="335"/>
        <v>0</v>
      </c>
      <c r="K583">
        <f t="shared" si="343"/>
        <v>3</v>
      </c>
      <c r="L583">
        <f t="shared" si="322"/>
        <v>360</v>
      </c>
      <c r="M583">
        <f t="shared" si="336"/>
        <v>0</v>
      </c>
      <c r="N583">
        <f t="shared" si="344"/>
        <v>2</v>
      </c>
      <c r="O583">
        <f t="shared" si="323"/>
        <v>300</v>
      </c>
      <c r="P583">
        <f t="shared" si="345"/>
        <v>0</v>
      </c>
      <c r="Q583">
        <f t="shared" si="346"/>
        <v>2</v>
      </c>
      <c r="R583">
        <f t="shared" si="324"/>
        <v>300</v>
      </c>
      <c r="S583">
        <f t="shared" si="347"/>
        <v>0</v>
      </c>
      <c r="T583">
        <f t="shared" si="348"/>
        <v>-1</v>
      </c>
      <c r="U583">
        <f t="shared" si="337"/>
        <v>1</v>
      </c>
      <c r="V583">
        <f t="shared" si="338"/>
        <v>1</v>
      </c>
      <c r="W583">
        <f t="shared" si="325"/>
        <v>0</v>
      </c>
      <c r="X583">
        <f t="shared" si="349"/>
        <v>0</v>
      </c>
      <c r="Y583">
        <f t="shared" si="326"/>
        <v>0</v>
      </c>
      <c r="Z583">
        <f t="shared" si="327"/>
        <v>0</v>
      </c>
      <c r="AA583">
        <f t="shared" si="328"/>
        <v>0</v>
      </c>
      <c r="AB583" s="29">
        <f t="shared" si="329"/>
        <v>0</v>
      </c>
      <c r="AC583" s="25">
        <f t="shared" si="339"/>
        <v>0</v>
      </c>
      <c r="AD583" s="29">
        <f t="shared" si="330"/>
        <v>0</v>
      </c>
      <c r="AE583" s="25">
        <f t="shared" si="340"/>
        <v>0</v>
      </c>
      <c r="AF583" s="25">
        <f t="shared" si="331"/>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2"/>
        <v>-1</v>
      </c>
      <c r="B584">
        <f t="shared" si="341"/>
        <v>6</v>
      </c>
      <c r="C584">
        <f t="shared" si="319"/>
        <v>300</v>
      </c>
      <c r="D584">
        <f t="shared" si="333"/>
        <v>0</v>
      </c>
      <c r="E584">
        <f t="shared" si="353"/>
        <v>5</v>
      </c>
      <c r="F584">
        <f t="shared" si="320"/>
        <v>360</v>
      </c>
      <c r="G584">
        <f t="shared" si="334"/>
        <v>0</v>
      </c>
      <c r="H584">
        <f t="shared" si="342"/>
        <v>4</v>
      </c>
      <c r="I584">
        <f t="shared" si="321"/>
        <v>360</v>
      </c>
      <c r="J584">
        <f t="shared" si="335"/>
        <v>0</v>
      </c>
      <c r="K584">
        <f t="shared" si="343"/>
        <v>3</v>
      </c>
      <c r="L584">
        <f t="shared" si="322"/>
        <v>360</v>
      </c>
      <c r="M584">
        <f t="shared" si="336"/>
        <v>0</v>
      </c>
      <c r="N584">
        <f t="shared" si="344"/>
        <v>2</v>
      </c>
      <c r="O584">
        <f t="shared" si="323"/>
        <v>300</v>
      </c>
      <c r="P584">
        <f t="shared" si="345"/>
        <v>0</v>
      </c>
      <c r="Q584">
        <f t="shared" si="346"/>
        <v>2</v>
      </c>
      <c r="R584">
        <f t="shared" si="324"/>
        <v>300</v>
      </c>
      <c r="S584">
        <f t="shared" si="347"/>
        <v>0</v>
      </c>
      <c r="T584">
        <f t="shared" si="348"/>
        <v>-1</v>
      </c>
      <c r="U584">
        <f t="shared" si="337"/>
        <v>1</v>
      </c>
      <c r="V584">
        <f t="shared" si="338"/>
        <v>1</v>
      </c>
      <c r="W584">
        <f t="shared" si="325"/>
        <v>0</v>
      </c>
      <c r="X584">
        <f t="shared" si="349"/>
        <v>0</v>
      </c>
      <c r="Y584">
        <f t="shared" si="326"/>
        <v>0</v>
      </c>
      <c r="Z584">
        <f t="shared" si="327"/>
        <v>0</v>
      </c>
      <c r="AA584">
        <f t="shared" si="328"/>
        <v>0</v>
      </c>
      <c r="AB584" s="29">
        <f t="shared" si="329"/>
        <v>0</v>
      </c>
      <c r="AC584" s="25">
        <f t="shared" si="339"/>
        <v>0</v>
      </c>
      <c r="AD584" s="29">
        <f t="shared" si="330"/>
        <v>0</v>
      </c>
      <c r="AE584" s="25">
        <f t="shared" si="340"/>
        <v>0</v>
      </c>
      <c r="AF584" s="25">
        <f t="shared" si="331"/>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2"/>
        <v>-1</v>
      </c>
      <c r="B585">
        <f t="shared" si="341"/>
        <v>6</v>
      </c>
      <c r="C585">
        <f t="shared" si="319"/>
        <v>300</v>
      </c>
      <c r="D585">
        <f t="shared" si="333"/>
        <v>0</v>
      </c>
      <c r="E585">
        <f t="shared" si="353"/>
        <v>5</v>
      </c>
      <c r="F585">
        <f t="shared" si="320"/>
        <v>360</v>
      </c>
      <c r="G585">
        <f t="shared" si="334"/>
        <v>0</v>
      </c>
      <c r="H585">
        <f t="shared" si="342"/>
        <v>4</v>
      </c>
      <c r="I585">
        <f t="shared" si="321"/>
        <v>360</v>
      </c>
      <c r="J585">
        <f t="shared" si="335"/>
        <v>0</v>
      </c>
      <c r="K585">
        <f t="shared" si="343"/>
        <v>3</v>
      </c>
      <c r="L585">
        <f t="shared" si="322"/>
        <v>360</v>
      </c>
      <c r="M585">
        <f t="shared" si="336"/>
        <v>0</v>
      </c>
      <c r="N585">
        <f t="shared" si="344"/>
        <v>2</v>
      </c>
      <c r="O585">
        <f t="shared" si="323"/>
        <v>300</v>
      </c>
      <c r="P585">
        <f t="shared" si="345"/>
        <v>0</v>
      </c>
      <c r="Q585">
        <f t="shared" si="346"/>
        <v>2</v>
      </c>
      <c r="R585">
        <f t="shared" si="324"/>
        <v>300</v>
      </c>
      <c r="S585">
        <f t="shared" si="347"/>
        <v>0</v>
      </c>
      <c r="T585">
        <f t="shared" si="348"/>
        <v>-1</v>
      </c>
      <c r="U585">
        <f t="shared" si="337"/>
        <v>1</v>
      </c>
      <c r="V585">
        <f t="shared" si="338"/>
        <v>1</v>
      </c>
      <c r="W585">
        <f t="shared" si="325"/>
        <v>0</v>
      </c>
      <c r="X585">
        <f t="shared" si="349"/>
        <v>0</v>
      </c>
      <c r="Y585">
        <f t="shared" si="326"/>
        <v>0</v>
      </c>
      <c r="Z585">
        <f t="shared" si="327"/>
        <v>0</v>
      </c>
      <c r="AA585">
        <f t="shared" si="328"/>
        <v>0</v>
      </c>
      <c r="AB585" s="29">
        <f t="shared" si="329"/>
        <v>0</v>
      </c>
      <c r="AC585" s="25">
        <f t="shared" si="339"/>
        <v>0</v>
      </c>
      <c r="AD585" s="29">
        <f t="shared" si="330"/>
        <v>0</v>
      </c>
      <c r="AE585" s="25">
        <f t="shared" si="340"/>
        <v>0</v>
      </c>
      <c r="AF585" s="25">
        <f t="shared" si="331"/>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2"/>
        <v>-1</v>
      </c>
      <c r="B586">
        <f t="shared" si="341"/>
        <v>6</v>
      </c>
      <c r="C586">
        <f t="shared" si="319"/>
        <v>300</v>
      </c>
      <c r="D586">
        <f t="shared" si="333"/>
        <v>0</v>
      </c>
      <c r="E586">
        <f t="shared" si="353"/>
        <v>5</v>
      </c>
      <c r="F586">
        <f t="shared" si="320"/>
        <v>360</v>
      </c>
      <c r="G586">
        <f t="shared" si="334"/>
        <v>0</v>
      </c>
      <c r="H586">
        <f t="shared" si="342"/>
        <v>4</v>
      </c>
      <c r="I586">
        <f t="shared" si="321"/>
        <v>360</v>
      </c>
      <c r="J586">
        <f t="shared" si="335"/>
        <v>0</v>
      </c>
      <c r="K586">
        <f t="shared" si="343"/>
        <v>3</v>
      </c>
      <c r="L586">
        <f t="shared" si="322"/>
        <v>360</v>
      </c>
      <c r="M586">
        <f t="shared" si="336"/>
        <v>0</v>
      </c>
      <c r="N586">
        <f t="shared" si="344"/>
        <v>2</v>
      </c>
      <c r="O586">
        <f t="shared" si="323"/>
        <v>300</v>
      </c>
      <c r="P586">
        <f t="shared" si="345"/>
        <v>0</v>
      </c>
      <c r="Q586">
        <f t="shared" si="346"/>
        <v>2</v>
      </c>
      <c r="R586">
        <f t="shared" si="324"/>
        <v>300</v>
      </c>
      <c r="S586">
        <f t="shared" si="347"/>
        <v>0</v>
      </c>
      <c r="T586">
        <f t="shared" si="348"/>
        <v>-1</v>
      </c>
      <c r="U586">
        <f t="shared" si="337"/>
        <v>1</v>
      </c>
      <c r="V586">
        <f t="shared" si="338"/>
        <v>1</v>
      </c>
      <c r="W586">
        <f t="shared" si="325"/>
        <v>0</v>
      </c>
      <c r="X586">
        <f t="shared" si="349"/>
        <v>0</v>
      </c>
      <c r="Y586">
        <f t="shared" si="326"/>
        <v>0</v>
      </c>
      <c r="Z586">
        <f t="shared" si="327"/>
        <v>0</v>
      </c>
      <c r="AA586">
        <f t="shared" si="328"/>
        <v>0</v>
      </c>
      <c r="AB586" s="29">
        <f t="shared" si="329"/>
        <v>0</v>
      </c>
      <c r="AC586" s="25">
        <f t="shared" si="339"/>
        <v>0</v>
      </c>
      <c r="AD586" s="29">
        <f t="shared" si="330"/>
        <v>0</v>
      </c>
      <c r="AE586" s="25">
        <f t="shared" si="340"/>
        <v>0</v>
      </c>
      <c r="AF586" s="25">
        <f t="shared" si="331"/>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2"/>
        <v>-1</v>
      </c>
      <c r="B587">
        <f t="shared" si="341"/>
        <v>6</v>
      </c>
      <c r="C587">
        <f t="shared" si="319"/>
        <v>300</v>
      </c>
      <c r="D587">
        <f t="shared" si="333"/>
        <v>0</v>
      </c>
      <c r="E587">
        <f t="shared" si="353"/>
        <v>5</v>
      </c>
      <c r="F587">
        <f t="shared" si="320"/>
        <v>360</v>
      </c>
      <c r="G587">
        <f t="shared" si="334"/>
        <v>0</v>
      </c>
      <c r="H587">
        <f t="shared" si="342"/>
        <v>4</v>
      </c>
      <c r="I587">
        <f t="shared" si="321"/>
        <v>360</v>
      </c>
      <c r="J587">
        <f t="shared" si="335"/>
        <v>0</v>
      </c>
      <c r="K587">
        <f t="shared" si="343"/>
        <v>3</v>
      </c>
      <c r="L587">
        <f t="shared" si="322"/>
        <v>360</v>
      </c>
      <c r="M587">
        <f t="shared" si="336"/>
        <v>0</v>
      </c>
      <c r="N587">
        <f t="shared" si="344"/>
        <v>2</v>
      </c>
      <c r="O587">
        <f t="shared" si="323"/>
        <v>300</v>
      </c>
      <c r="P587">
        <f t="shared" si="345"/>
        <v>0</v>
      </c>
      <c r="Q587">
        <f t="shared" si="346"/>
        <v>2</v>
      </c>
      <c r="R587">
        <f t="shared" si="324"/>
        <v>300</v>
      </c>
      <c r="S587">
        <f t="shared" si="347"/>
        <v>0</v>
      </c>
      <c r="T587">
        <f t="shared" si="348"/>
        <v>-1</v>
      </c>
      <c r="U587">
        <f t="shared" si="337"/>
        <v>1</v>
      </c>
      <c r="V587">
        <f t="shared" si="338"/>
        <v>1</v>
      </c>
      <c r="W587">
        <f t="shared" si="325"/>
        <v>0</v>
      </c>
      <c r="X587">
        <f t="shared" si="349"/>
        <v>0</v>
      </c>
      <c r="Y587">
        <f t="shared" si="326"/>
        <v>0</v>
      </c>
      <c r="Z587">
        <f t="shared" si="327"/>
        <v>0</v>
      </c>
      <c r="AA587">
        <f t="shared" si="328"/>
        <v>0</v>
      </c>
      <c r="AB587" s="29">
        <f t="shared" si="329"/>
        <v>0</v>
      </c>
      <c r="AC587" s="25">
        <f t="shared" si="339"/>
        <v>0</v>
      </c>
      <c r="AD587" s="29">
        <f t="shared" si="330"/>
        <v>0</v>
      </c>
      <c r="AE587" s="25">
        <f t="shared" si="340"/>
        <v>0</v>
      </c>
      <c r="AF587" s="25">
        <f t="shared" si="331"/>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2"/>
        <v>-1</v>
      </c>
      <c r="B588">
        <f t="shared" si="341"/>
        <v>6</v>
      </c>
      <c r="C588">
        <f t="shared" si="319"/>
        <v>300</v>
      </c>
      <c r="D588">
        <f t="shared" si="333"/>
        <v>0</v>
      </c>
      <c r="E588">
        <f t="shared" si="353"/>
        <v>5</v>
      </c>
      <c r="F588">
        <f t="shared" si="320"/>
        <v>360</v>
      </c>
      <c r="G588">
        <f t="shared" si="334"/>
        <v>0</v>
      </c>
      <c r="H588">
        <f t="shared" si="342"/>
        <v>4</v>
      </c>
      <c r="I588">
        <f t="shared" si="321"/>
        <v>360</v>
      </c>
      <c r="J588">
        <f t="shared" si="335"/>
        <v>0</v>
      </c>
      <c r="K588">
        <f t="shared" si="343"/>
        <v>3</v>
      </c>
      <c r="L588">
        <f t="shared" si="322"/>
        <v>360</v>
      </c>
      <c r="M588">
        <f t="shared" si="336"/>
        <v>0</v>
      </c>
      <c r="N588">
        <f t="shared" si="344"/>
        <v>2</v>
      </c>
      <c r="O588">
        <f t="shared" si="323"/>
        <v>300</v>
      </c>
      <c r="P588">
        <f t="shared" si="345"/>
        <v>0</v>
      </c>
      <c r="Q588">
        <f t="shared" si="346"/>
        <v>2</v>
      </c>
      <c r="R588">
        <f t="shared" si="324"/>
        <v>300</v>
      </c>
      <c r="S588">
        <f t="shared" si="347"/>
        <v>0</v>
      </c>
      <c r="T588">
        <f t="shared" si="348"/>
        <v>-1</v>
      </c>
      <c r="U588">
        <f t="shared" si="337"/>
        <v>1</v>
      </c>
      <c r="V588">
        <f t="shared" si="338"/>
        <v>1</v>
      </c>
      <c r="W588">
        <f t="shared" si="325"/>
        <v>0</v>
      </c>
      <c r="X588">
        <f t="shared" si="349"/>
        <v>0</v>
      </c>
      <c r="Y588">
        <f t="shared" si="326"/>
        <v>0</v>
      </c>
      <c r="Z588">
        <f t="shared" si="327"/>
        <v>0</v>
      </c>
      <c r="AA588">
        <f t="shared" si="328"/>
        <v>0</v>
      </c>
      <c r="AB588" s="29">
        <f t="shared" si="329"/>
        <v>0</v>
      </c>
      <c r="AC588" s="25">
        <f t="shared" si="339"/>
        <v>0</v>
      </c>
      <c r="AD588" s="29">
        <f t="shared" si="330"/>
        <v>0</v>
      </c>
      <c r="AE588" s="25">
        <f t="shared" si="340"/>
        <v>0</v>
      </c>
      <c r="AF588" s="25">
        <f t="shared" si="331"/>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2"/>
        <v>-1</v>
      </c>
      <c r="B589">
        <f t="shared" si="341"/>
        <v>6</v>
      </c>
      <c r="C589">
        <f t="shared" si="319"/>
        <v>300</v>
      </c>
      <c r="D589">
        <f t="shared" si="333"/>
        <v>0</v>
      </c>
      <c r="E589">
        <f t="shared" si="353"/>
        <v>5</v>
      </c>
      <c r="F589">
        <f t="shared" si="320"/>
        <v>360</v>
      </c>
      <c r="G589">
        <f t="shared" si="334"/>
        <v>0</v>
      </c>
      <c r="H589">
        <f t="shared" si="342"/>
        <v>4</v>
      </c>
      <c r="I589">
        <f t="shared" si="321"/>
        <v>360</v>
      </c>
      <c r="J589">
        <f t="shared" si="335"/>
        <v>0</v>
      </c>
      <c r="K589">
        <f t="shared" si="343"/>
        <v>3</v>
      </c>
      <c r="L589">
        <f t="shared" si="322"/>
        <v>360</v>
      </c>
      <c r="M589">
        <f t="shared" si="336"/>
        <v>0</v>
      </c>
      <c r="N589">
        <f t="shared" si="344"/>
        <v>2</v>
      </c>
      <c r="O589">
        <f t="shared" si="323"/>
        <v>300</v>
      </c>
      <c r="P589">
        <f t="shared" si="345"/>
        <v>0</v>
      </c>
      <c r="Q589">
        <f t="shared" si="346"/>
        <v>2</v>
      </c>
      <c r="R589">
        <f t="shared" si="324"/>
        <v>300</v>
      </c>
      <c r="S589">
        <f t="shared" si="347"/>
        <v>0</v>
      </c>
      <c r="T589">
        <f t="shared" si="348"/>
        <v>-1</v>
      </c>
      <c r="U589">
        <f t="shared" si="337"/>
        <v>1</v>
      </c>
      <c r="V589">
        <f t="shared" si="338"/>
        <v>1</v>
      </c>
      <c r="W589">
        <f t="shared" si="325"/>
        <v>0</v>
      </c>
      <c r="X589">
        <f t="shared" si="349"/>
        <v>0</v>
      </c>
      <c r="Y589">
        <f t="shared" si="326"/>
        <v>0</v>
      </c>
      <c r="Z589">
        <f t="shared" si="327"/>
        <v>0</v>
      </c>
      <c r="AA589">
        <f t="shared" si="328"/>
        <v>0</v>
      </c>
      <c r="AB589" s="29">
        <f t="shared" si="329"/>
        <v>0</v>
      </c>
      <c r="AC589" s="25">
        <f t="shared" si="339"/>
        <v>0</v>
      </c>
      <c r="AD589" s="29">
        <f t="shared" si="330"/>
        <v>0</v>
      </c>
      <c r="AE589" s="25">
        <f t="shared" si="340"/>
        <v>0</v>
      </c>
      <c r="AF589" s="25">
        <f t="shared" si="331"/>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2"/>
        <v>-1</v>
      </c>
      <c r="B590">
        <f t="shared" si="341"/>
        <v>6</v>
      </c>
      <c r="C590">
        <f t="shared" si="319"/>
        <v>300</v>
      </c>
      <c r="D590">
        <f t="shared" si="333"/>
        <v>0</v>
      </c>
      <c r="E590">
        <f t="shared" si="353"/>
        <v>5</v>
      </c>
      <c r="F590">
        <f t="shared" si="320"/>
        <v>360</v>
      </c>
      <c r="G590">
        <f t="shared" si="334"/>
        <v>0</v>
      </c>
      <c r="H590">
        <f t="shared" si="342"/>
        <v>4</v>
      </c>
      <c r="I590">
        <f t="shared" si="321"/>
        <v>360</v>
      </c>
      <c r="J590">
        <f t="shared" si="335"/>
        <v>0</v>
      </c>
      <c r="K590">
        <f t="shared" si="343"/>
        <v>3</v>
      </c>
      <c r="L590">
        <f t="shared" si="322"/>
        <v>360</v>
      </c>
      <c r="M590">
        <f t="shared" si="336"/>
        <v>0</v>
      </c>
      <c r="N590">
        <f t="shared" si="344"/>
        <v>2</v>
      </c>
      <c r="O590">
        <f t="shared" si="323"/>
        <v>300</v>
      </c>
      <c r="P590">
        <f t="shared" si="345"/>
        <v>0</v>
      </c>
      <c r="Q590">
        <f t="shared" si="346"/>
        <v>2</v>
      </c>
      <c r="R590">
        <f t="shared" si="324"/>
        <v>300</v>
      </c>
      <c r="S590">
        <f t="shared" si="347"/>
        <v>0</v>
      </c>
      <c r="T590">
        <f t="shared" si="348"/>
        <v>-1</v>
      </c>
      <c r="U590">
        <f t="shared" si="337"/>
        <v>1</v>
      </c>
      <c r="V590">
        <f t="shared" si="338"/>
        <v>1</v>
      </c>
      <c r="W590">
        <f t="shared" si="325"/>
        <v>0</v>
      </c>
      <c r="X590">
        <f t="shared" si="349"/>
        <v>0</v>
      </c>
      <c r="Y590">
        <f t="shared" si="326"/>
        <v>0</v>
      </c>
      <c r="Z590">
        <f t="shared" si="327"/>
        <v>0</v>
      </c>
      <c r="AA590">
        <f t="shared" si="328"/>
        <v>0</v>
      </c>
      <c r="AB590" s="29">
        <f t="shared" si="329"/>
        <v>0</v>
      </c>
      <c r="AC590" s="25">
        <f t="shared" si="339"/>
        <v>0</v>
      </c>
      <c r="AD590" s="29">
        <f t="shared" si="330"/>
        <v>0</v>
      </c>
      <c r="AE590" s="25">
        <f t="shared" si="340"/>
        <v>0</v>
      </c>
      <c r="AF590" s="25">
        <f t="shared" si="331"/>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2"/>
        <v>-1</v>
      </c>
      <c r="B591">
        <f t="shared" si="341"/>
        <v>6</v>
      </c>
      <c r="C591">
        <f t="shared" si="319"/>
        <v>300</v>
      </c>
      <c r="D591">
        <f t="shared" si="333"/>
        <v>0</v>
      </c>
      <c r="E591">
        <f t="shared" si="353"/>
        <v>5</v>
      </c>
      <c r="F591">
        <f t="shared" si="320"/>
        <v>360</v>
      </c>
      <c r="G591">
        <f t="shared" si="334"/>
        <v>0</v>
      </c>
      <c r="H591">
        <f t="shared" si="342"/>
        <v>4</v>
      </c>
      <c r="I591">
        <f t="shared" si="321"/>
        <v>360</v>
      </c>
      <c r="J591">
        <f t="shared" si="335"/>
        <v>0</v>
      </c>
      <c r="K591">
        <f t="shared" si="343"/>
        <v>3</v>
      </c>
      <c r="L591">
        <f t="shared" si="322"/>
        <v>360</v>
      </c>
      <c r="M591">
        <f t="shared" si="336"/>
        <v>0</v>
      </c>
      <c r="N591">
        <f t="shared" si="344"/>
        <v>2</v>
      </c>
      <c r="O591">
        <f t="shared" si="323"/>
        <v>300</v>
      </c>
      <c r="P591">
        <f t="shared" si="345"/>
        <v>0</v>
      </c>
      <c r="Q591">
        <f t="shared" si="346"/>
        <v>2</v>
      </c>
      <c r="R591">
        <f t="shared" si="324"/>
        <v>300</v>
      </c>
      <c r="S591">
        <f t="shared" si="347"/>
        <v>0</v>
      </c>
      <c r="T591">
        <f t="shared" si="348"/>
        <v>-1</v>
      </c>
      <c r="U591">
        <f t="shared" si="337"/>
        <v>1</v>
      </c>
      <c r="V591">
        <f t="shared" si="338"/>
        <v>1</v>
      </c>
      <c r="W591">
        <f t="shared" si="325"/>
        <v>0</v>
      </c>
      <c r="X591">
        <f t="shared" si="349"/>
        <v>0</v>
      </c>
      <c r="Y591">
        <f t="shared" si="326"/>
        <v>0</v>
      </c>
      <c r="Z591">
        <f t="shared" si="327"/>
        <v>0</v>
      </c>
      <c r="AA591">
        <f t="shared" si="328"/>
        <v>0</v>
      </c>
      <c r="AB591" s="29">
        <f t="shared" si="329"/>
        <v>0</v>
      </c>
      <c r="AC591" s="25">
        <f t="shared" si="339"/>
        <v>0</v>
      </c>
      <c r="AD591" s="29">
        <f t="shared" si="330"/>
        <v>0</v>
      </c>
      <c r="AE591" s="25">
        <f t="shared" si="340"/>
        <v>0</v>
      </c>
      <c r="AF591" s="25">
        <f t="shared" si="331"/>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2"/>
        <v>-1</v>
      </c>
      <c r="B592">
        <f t="shared" si="341"/>
        <v>6</v>
      </c>
      <c r="C592">
        <f t="shared" si="319"/>
        <v>300</v>
      </c>
      <c r="D592">
        <f t="shared" si="333"/>
        <v>0</v>
      </c>
      <c r="E592">
        <f t="shared" si="353"/>
        <v>5</v>
      </c>
      <c r="F592">
        <f t="shared" si="320"/>
        <v>360</v>
      </c>
      <c r="G592">
        <f t="shared" si="334"/>
        <v>0</v>
      </c>
      <c r="H592">
        <f t="shared" si="342"/>
        <v>4</v>
      </c>
      <c r="I592">
        <f t="shared" si="321"/>
        <v>360</v>
      </c>
      <c r="J592">
        <f t="shared" si="335"/>
        <v>0</v>
      </c>
      <c r="K592">
        <f t="shared" si="343"/>
        <v>3</v>
      </c>
      <c r="L592">
        <f t="shared" si="322"/>
        <v>360</v>
      </c>
      <c r="M592">
        <f t="shared" si="336"/>
        <v>0</v>
      </c>
      <c r="N592">
        <f t="shared" si="344"/>
        <v>2</v>
      </c>
      <c r="O592">
        <f t="shared" si="323"/>
        <v>300</v>
      </c>
      <c r="P592">
        <f t="shared" si="345"/>
        <v>0</v>
      </c>
      <c r="Q592">
        <f t="shared" si="346"/>
        <v>2</v>
      </c>
      <c r="R592">
        <f t="shared" si="324"/>
        <v>300</v>
      </c>
      <c r="S592">
        <f t="shared" si="347"/>
        <v>0</v>
      </c>
      <c r="T592">
        <f t="shared" si="348"/>
        <v>-1</v>
      </c>
      <c r="U592">
        <f t="shared" si="337"/>
        <v>1</v>
      </c>
      <c r="V592">
        <f t="shared" si="338"/>
        <v>1</v>
      </c>
      <c r="W592">
        <f t="shared" si="325"/>
        <v>0</v>
      </c>
      <c r="X592">
        <f t="shared" si="349"/>
        <v>0</v>
      </c>
      <c r="Y592">
        <f t="shared" si="326"/>
        <v>0</v>
      </c>
      <c r="Z592">
        <f t="shared" si="327"/>
        <v>0</v>
      </c>
      <c r="AA592">
        <f t="shared" si="328"/>
        <v>0</v>
      </c>
      <c r="AB592" s="29">
        <f t="shared" si="329"/>
        <v>0</v>
      </c>
      <c r="AC592" s="25">
        <f t="shared" si="339"/>
        <v>0</v>
      </c>
      <c r="AD592" s="29">
        <f t="shared" si="330"/>
        <v>0</v>
      </c>
      <c r="AE592" s="25">
        <f t="shared" si="340"/>
        <v>0</v>
      </c>
      <c r="AF592" s="25">
        <f t="shared" si="331"/>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2"/>
        <v>-1</v>
      </c>
      <c r="B593">
        <f t="shared" si="341"/>
        <v>6</v>
      </c>
      <c r="C593">
        <f t="shared" si="319"/>
        <v>300</v>
      </c>
      <c r="D593">
        <f t="shared" si="333"/>
        <v>0</v>
      </c>
      <c r="E593">
        <f t="shared" si="353"/>
        <v>5</v>
      </c>
      <c r="F593">
        <f t="shared" si="320"/>
        <v>360</v>
      </c>
      <c r="G593">
        <f t="shared" si="334"/>
        <v>0</v>
      </c>
      <c r="H593">
        <f t="shared" si="342"/>
        <v>4</v>
      </c>
      <c r="I593">
        <f t="shared" si="321"/>
        <v>360</v>
      </c>
      <c r="J593">
        <f t="shared" si="335"/>
        <v>0</v>
      </c>
      <c r="K593">
        <f t="shared" si="343"/>
        <v>3</v>
      </c>
      <c r="L593">
        <f t="shared" si="322"/>
        <v>360</v>
      </c>
      <c r="M593">
        <f t="shared" si="336"/>
        <v>0</v>
      </c>
      <c r="N593">
        <f t="shared" si="344"/>
        <v>2</v>
      </c>
      <c r="O593">
        <f t="shared" si="323"/>
        <v>300</v>
      </c>
      <c r="P593">
        <f t="shared" si="345"/>
        <v>0</v>
      </c>
      <c r="Q593">
        <f t="shared" si="346"/>
        <v>2</v>
      </c>
      <c r="R593">
        <f t="shared" si="324"/>
        <v>300</v>
      </c>
      <c r="S593">
        <f t="shared" si="347"/>
        <v>0</v>
      </c>
      <c r="T593">
        <f t="shared" si="348"/>
        <v>-1</v>
      </c>
      <c r="U593">
        <f t="shared" si="337"/>
        <v>1</v>
      </c>
      <c r="V593">
        <f t="shared" si="338"/>
        <v>1</v>
      </c>
      <c r="W593">
        <f t="shared" si="325"/>
        <v>0</v>
      </c>
      <c r="X593">
        <f t="shared" si="349"/>
        <v>0</v>
      </c>
      <c r="Y593">
        <f t="shared" si="326"/>
        <v>0</v>
      </c>
      <c r="Z593">
        <f t="shared" si="327"/>
        <v>0</v>
      </c>
      <c r="AA593">
        <f t="shared" si="328"/>
        <v>0</v>
      </c>
      <c r="AB593" s="29">
        <f t="shared" si="329"/>
        <v>0</v>
      </c>
      <c r="AC593" s="25">
        <f t="shared" si="339"/>
        <v>0</v>
      </c>
      <c r="AD593" s="29">
        <f t="shared" si="330"/>
        <v>0</v>
      </c>
      <c r="AE593" s="25">
        <f t="shared" si="340"/>
        <v>0</v>
      </c>
      <c r="AF593" s="25">
        <f t="shared" si="331"/>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2"/>
        <v>-1</v>
      </c>
      <c r="B594">
        <f t="shared" si="341"/>
        <v>6</v>
      </c>
      <c r="C594">
        <f t="shared" si="319"/>
        <v>300</v>
      </c>
      <c r="D594">
        <f t="shared" si="333"/>
        <v>0</v>
      </c>
      <c r="E594">
        <f t="shared" si="353"/>
        <v>5</v>
      </c>
      <c r="F594">
        <f t="shared" si="320"/>
        <v>360</v>
      </c>
      <c r="G594">
        <f t="shared" si="334"/>
        <v>0</v>
      </c>
      <c r="H594">
        <f t="shared" si="342"/>
        <v>4</v>
      </c>
      <c r="I594">
        <f t="shared" si="321"/>
        <v>360</v>
      </c>
      <c r="J594">
        <f t="shared" si="335"/>
        <v>0</v>
      </c>
      <c r="K594">
        <f t="shared" si="343"/>
        <v>3</v>
      </c>
      <c r="L594">
        <f t="shared" si="322"/>
        <v>360</v>
      </c>
      <c r="M594">
        <f t="shared" si="336"/>
        <v>0</v>
      </c>
      <c r="N594">
        <f t="shared" si="344"/>
        <v>2</v>
      </c>
      <c r="O594">
        <f t="shared" si="323"/>
        <v>300</v>
      </c>
      <c r="P594">
        <f t="shared" si="345"/>
        <v>0</v>
      </c>
      <c r="Q594">
        <f t="shared" si="346"/>
        <v>2</v>
      </c>
      <c r="R594">
        <f t="shared" si="324"/>
        <v>300</v>
      </c>
      <c r="S594">
        <f t="shared" si="347"/>
        <v>0</v>
      </c>
      <c r="T594">
        <f t="shared" si="348"/>
        <v>-1</v>
      </c>
      <c r="U594">
        <f t="shared" si="337"/>
        <v>1</v>
      </c>
      <c r="V594">
        <f t="shared" si="338"/>
        <v>1</v>
      </c>
      <c r="W594">
        <f t="shared" si="325"/>
        <v>0</v>
      </c>
      <c r="X594">
        <f t="shared" si="349"/>
        <v>0</v>
      </c>
      <c r="Y594">
        <f t="shared" si="326"/>
        <v>0</v>
      </c>
      <c r="Z594">
        <f t="shared" si="327"/>
        <v>0</v>
      </c>
      <c r="AA594">
        <f t="shared" si="328"/>
        <v>0</v>
      </c>
      <c r="AB594" s="29">
        <f t="shared" si="329"/>
        <v>0</v>
      </c>
      <c r="AC594" s="25">
        <f t="shared" si="339"/>
        <v>0</v>
      </c>
      <c r="AD594" s="29">
        <f t="shared" si="330"/>
        <v>0</v>
      </c>
      <c r="AE594" s="25">
        <f t="shared" si="340"/>
        <v>0</v>
      </c>
      <c r="AF594" s="25">
        <f t="shared" si="331"/>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2"/>
        <v>-1</v>
      </c>
      <c r="B595">
        <f t="shared" si="341"/>
        <v>6</v>
      </c>
      <c r="C595">
        <f t="shared" si="319"/>
        <v>300</v>
      </c>
      <c r="D595">
        <f t="shared" si="333"/>
        <v>0</v>
      </c>
      <c r="E595">
        <f t="shared" si="353"/>
        <v>5</v>
      </c>
      <c r="F595">
        <f t="shared" si="320"/>
        <v>360</v>
      </c>
      <c r="G595">
        <f t="shared" si="334"/>
        <v>0</v>
      </c>
      <c r="H595">
        <f t="shared" si="342"/>
        <v>4</v>
      </c>
      <c r="I595">
        <f t="shared" si="321"/>
        <v>360</v>
      </c>
      <c r="J595">
        <f t="shared" si="335"/>
        <v>0</v>
      </c>
      <c r="K595">
        <f t="shared" si="343"/>
        <v>3</v>
      </c>
      <c r="L595">
        <f t="shared" si="322"/>
        <v>360</v>
      </c>
      <c r="M595">
        <f t="shared" si="336"/>
        <v>0</v>
      </c>
      <c r="N595">
        <f t="shared" si="344"/>
        <v>2</v>
      </c>
      <c r="O595">
        <f t="shared" si="323"/>
        <v>300</v>
      </c>
      <c r="P595">
        <f t="shared" si="345"/>
        <v>0</v>
      </c>
      <c r="Q595">
        <f t="shared" si="346"/>
        <v>2</v>
      </c>
      <c r="R595">
        <f t="shared" si="324"/>
        <v>300</v>
      </c>
      <c r="S595">
        <f t="shared" si="347"/>
        <v>0</v>
      </c>
      <c r="T595">
        <f t="shared" si="348"/>
        <v>-1</v>
      </c>
      <c r="U595">
        <f t="shared" si="337"/>
        <v>1</v>
      </c>
      <c r="V595">
        <f t="shared" si="338"/>
        <v>1</v>
      </c>
      <c r="W595">
        <f t="shared" si="325"/>
        <v>0</v>
      </c>
      <c r="X595">
        <f t="shared" si="349"/>
        <v>0</v>
      </c>
      <c r="Y595">
        <f t="shared" si="326"/>
        <v>0</v>
      </c>
      <c r="Z595">
        <f t="shared" si="327"/>
        <v>0</v>
      </c>
      <c r="AA595">
        <f t="shared" si="328"/>
        <v>0</v>
      </c>
      <c r="AB595" s="29">
        <f t="shared" si="329"/>
        <v>0</v>
      </c>
      <c r="AC595" s="25">
        <f t="shared" si="339"/>
        <v>0</v>
      </c>
      <c r="AD595" s="29">
        <f t="shared" si="330"/>
        <v>0</v>
      </c>
      <c r="AE595" s="25">
        <f t="shared" si="340"/>
        <v>0</v>
      </c>
      <c r="AF595" s="25">
        <f t="shared" si="331"/>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2"/>
        <v>-1</v>
      </c>
      <c r="B596">
        <f t="shared" si="341"/>
        <v>6</v>
      </c>
      <c r="C596">
        <f t="shared" si="319"/>
        <v>300</v>
      </c>
      <c r="D596">
        <f t="shared" si="333"/>
        <v>0</v>
      </c>
      <c r="E596">
        <f t="shared" si="353"/>
        <v>5</v>
      </c>
      <c r="F596">
        <f t="shared" si="320"/>
        <v>360</v>
      </c>
      <c r="G596">
        <f t="shared" si="334"/>
        <v>0</v>
      </c>
      <c r="H596">
        <f t="shared" si="342"/>
        <v>4</v>
      </c>
      <c r="I596">
        <f t="shared" si="321"/>
        <v>360</v>
      </c>
      <c r="J596">
        <f t="shared" si="335"/>
        <v>0</v>
      </c>
      <c r="K596">
        <f t="shared" si="343"/>
        <v>3</v>
      </c>
      <c r="L596">
        <f t="shared" si="322"/>
        <v>360</v>
      </c>
      <c r="M596">
        <f t="shared" si="336"/>
        <v>0</v>
      </c>
      <c r="N596">
        <f t="shared" si="344"/>
        <v>2</v>
      </c>
      <c r="O596">
        <f t="shared" si="323"/>
        <v>300</v>
      </c>
      <c r="P596">
        <f t="shared" si="345"/>
        <v>0</v>
      </c>
      <c r="Q596">
        <f t="shared" si="346"/>
        <v>2</v>
      </c>
      <c r="R596">
        <f t="shared" si="324"/>
        <v>300</v>
      </c>
      <c r="S596">
        <f t="shared" si="347"/>
        <v>0</v>
      </c>
      <c r="T596">
        <f t="shared" si="348"/>
        <v>-1</v>
      </c>
      <c r="U596">
        <f t="shared" si="337"/>
        <v>1</v>
      </c>
      <c r="V596">
        <f t="shared" si="338"/>
        <v>1</v>
      </c>
      <c r="W596">
        <f t="shared" si="325"/>
        <v>0</v>
      </c>
      <c r="X596">
        <f t="shared" si="349"/>
        <v>0</v>
      </c>
      <c r="Y596">
        <f t="shared" si="326"/>
        <v>0</v>
      </c>
      <c r="Z596">
        <f t="shared" si="327"/>
        <v>0</v>
      </c>
      <c r="AA596">
        <f t="shared" si="328"/>
        <v>0</v>
      </c>
      <c r="AB596" s="29">
        <f t="shared" si="329"/>
        <v>0</v>
      </c>
      <c r="AC596" s="25">
        <f t="shared" si="339"/>
        <v>0</v>
      </c>
      <c r="AD596" s="29">
        <f t="shared" si="330"/>
        <v>0</v>
      </c>
      <c r="AE596" s="25">
        <f t="shared" si="340"/>
        <v>0</v>
      </c>
      <c r="AF596" s="25">
        <f t="shared" si="331"/>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2"/>
        <v>-1</v>
      </c>
      <c r="B597">
        <f t="shared" si="341"/>
        <v>6</v>
      </c>
      <c r="C597">
        <f t="shared" si="319"/>
        <v>300</v>
      </c>
      <c r="D597">
        <f t="shared" si="333"/>
        <v>0</v>
      </c>
      <c r="E597">
        <f t="shared" si="353"/>
        <v>5</v>
      </c>
      <c r="F597">
        <f t="shared" si="320"/>
        <v>360</v>
      </c>
      <c r="G597">
        <f t="shared" si="334"/>
        <v>0</v>
      </c>
      <c r="H597">
        <f t="shared" si="342"/>
        <v>4</v>
      </c>
      <c r="I597">
        <f t="shared" si="321"/>
        <v>360</v>
      </c>
      <c r="J597">
        <f t="shared" si="335"/>
        <v>0</v>
      </c>
      <c r="K597">
        <f t="shared" si="343"/>
        <v>3</v>
      </c>
      <c r="L597">
        <f t="shared" si="322"/>
        <v>360</v>
      </c>
      <c r="M597">
        <f t="shared" si="336"/>
        <v>0</v>
      </c>
      <c r="N597">
        <f t="shared" si="344"/>
        <v>2</v>
      </c>
      <c r="O597">
        <f t="shared" si="323"/>
        <v>300</v>
      </c>
      <c r="P597">
        <f t="shared" si="345"/>
        <v>0</v>
      </c>
      <c r="Q597">
        <f t="shared" si="346"/>
        <v>2</v>
      </c>
      <c r="R597">
        <f t="shared" si="324"/>
        <v>300</v>
      </c>
      <c r="S597">
        <f t="shared" si="347"/>
        <v>0</v>
      </c>
      <c r="T597">
        <f t="shared" si="348"/>
        <v>-1</v>
      </c>
      <c r="U597">
        <f t="shared" si="337"/>
        <v>1</v>
      </c>
      <c r="V597">
        <f t="shared" si="338"/>
        <v>1</v>
      </c>
      <c r="W597">
        <f t="shared" si="325"/>
        <v>0</v>
      </c>
      <c r="X597">
        <f t="shared" si="349"/>
        <v>0</v>
      </c>
      <c r="Y597">
        <f t="shared" si="326"/>
        <v>0</v>
      </c>
      <c r="Z597">
        <f t="shared" si="327"/>
        <v>0</v>
      </c>
      <c r="AA597">
        <f t="shared" si="328"/>
        <v>0</v>
      </c>
      <c r="AB597" s="29">
        <f t="shared" si="329"/>
        <v>0</v>
      </c>
      <c r="AC597" s="25">
        <f t="shared" si="339"/>
        <v>0</v>
      </c>
      <c r="AD597" s="29">
        <f t="shared" si="330"/>
        <v>0</v>
      </c>
      <c r="AE597" s="25">
        <f t="shared" si="340"/>
        <v>0</v>
      </c>
      <c r="AF597" s="25">
        <f t="shared" si="331"/>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2"/>
        <v>-1</v>
      </c>
      <c r="B598">
        <f t="shared" si="341"/>
        <v>6</v>
      </c>
      <c r="C598">
        <f t="shared" si="319"/>
        <v>300</v>
      </c>
      <c r="D598">
        <f t="shared" si="333"/>
        <v>0</v>
      </c>
      <c r="E598">
        <f t="shared" si="353"/>
        <v>5</v>
      </c>
      <c r="F598">
        <f t="shared" si="320"/>
        <v>360</v>
      </c>
      <c r="G598">
        <f t="shared" si="334"/>
        <v>0</v>
      </c>
      <c r="H598">
        <f t="shared" si="342"/>
        <v>4</v>
      </c>
      <c r="I598">
        <f t="shared" si="321"/>
        <v>360</v>
      </c>
      <c r="J598">
        <f t="shared" si="335"/>
        <v>0</v>
      </c>
      <c r="K598">
        <f t="shared" si="343"/>
        <v>3</v>
      </c>
      <c r="L598">
        <f t="shared" si="322"/>
        <v>360</v>
      </c>
      <c r="M598">
        <f t="shared" si="336"/>
        <v>0</v>
      </c>
      <c r="N598">
        <f t="shared" si="344"/>
        <v>2</v>
      </c>
      <c r="O598">
        <f t="shared" si="323"/>
        <v>300</v>
      </c>
      <c r="P598">
        <f t="shared" si="345"/>
        <v>0</v>
      </c>
      <c r="Q598">
        <f t="shared" si="346"/>
        <v>2</v>
      </c>
      <c r="R598">
        <f t="shared" si="324"/>
        <v>300</v>
      </c>
      <c r="S598">
        <f t="shared" si="347"/>
        <v>0</v>
      </c>
      <c r="T598">
        <f t="shared" si="348"/>
        <v>-1</v>
      </c>
      <c r="U598">
        <f t="shared" si="337"/>
        <v>1</v>
      </c>
      <c r="V598">
        <f t="shared" si="338"/>
        <v>1</v>
      </c>
      <c r="W598">
        <f t="shared" si="325"/>
        <v>0</v>
      </c>
      <c r="X598">
        <f t="shared" si="349"/>
        <v>0</v>
      </c>
      <c r="Y598">
        <f t="shared" si="326"/>
        <v>0</v>
      </c>
      <c r="Z598">
        <f t="shared" si="327"/>
        <v>0</v>
      </c>
      <c r="AA598">
        <f t="shared" si="328"/>
        <v>0</v>
      </c>
      <c r="AB598" s="29">
        <f t="shared" si="329"/>
        <v>0</v>
      </c>
      <c r="AC598" s="25">
        <f t="shared" si="339"/>
        <v>0</v>
      </c>
      <c r="AD598" s="29">
        <f t="shared" si="330"/>
        <v>0</v>
      </c>
      <c r="AE598" s="25">
        <f t="shared" si="340"/>
        <v>0</v>
      </c>
      <c r="AF598" s="25">
        <f t="shared" si="331"/>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2"/>
        <v>-1</v>
      </c>
      <c r="B599">
        <f t="shared" si="341"/>
        <v>6</v>
      </c>
      <c r="C599">
        <f t="shared" si="319"/>
        <v>300</v>
      </c>
      <c r="D599">
        <f t="shared" si="333"/>
        <v>0</v>
      </c>
      <c r="E599">
        <f t="shared" si="353"/>
        <v>5</v>
      </c>
      <c r="F599">
        <f t="shared" si="320"/>
        <v>360</v>
      </c>
      <c r="G599">
        <f t="shared" si="334"/>
        <v>0</v>
      </c>
      <c r="H599">
        <f t="shared" si="342"/>
        <v>4</v>
      </c>
      <c r="I599">
        <f t="shared" si="321"/>
        <v>360</v>
      </c>
      <c r="J599">
        <f t="shared" si="335"/>
        <v>0</v>
      </c>
      <c r="K599">
        <f t="shared" si="343"/>
        <v>3</v>
      </c>
      <c r="L599">
        <f t="shared" si="322"/>
        <v>360</v>
      </c>
      <c r="M599">
        <f t="shared" si="336"/>
        <v>0</v>
      </c>
      <c r="N599">
        <f t="shared" si="344"/>
        <v>2</v>
      </c>
      <c r="O599">
        <f t="shared" si="323"/>
        <v>300</v>
      </c>
      <c r="P599">
        <f t="shared" si="345"/>
        <v>0</v>
      </c>
      <c r="Q599">
        <f t="shared" si="346"/>
        <v>2</v>
      </c>
      <c r="R599">
        <f t="shared" si="324"/>
        <v>300</v>
      </c>
      <c r="S599">
        <f t="shared" si="347"/>
        <v>0</v>
      </c>
      <c r="T599">
        <f t="shared" si="348"/>
        <v>-1</v>
      </c>
      <c r="U599">
        <f t="shared" si="337"/>
        <v>1</v>
      </c>
      <c r="V599">
        <f t="shared" si="338"/>
        <v>1</v>
      </c>
      <c r="W599">
        <f t="shared" si="325"/>
        <v>0</v>
      </c>
      <c r="X599">
        <f t="shared" si="349"/>
        <v>0</v>
      </c>
      <c r="Y599">
        <f t="shared" si="326"/>
        <v>0</v>
      </c>
      <c r="Z599">
        <f t="shared" si="327"/>
        <v>0</v>
      </c>
      <c r="AA599">
        <f t="shared" si="328"/>
        <v>0</v>
      </c>
      <c r="AB599" s="29">
        <f t="shared" si="329"/>
        <v>0</v>
      </c>
      <c r="AC599" s="25">
        <f t="shared" si="339"/>
        <v>0</v>
      </c>
      <c r="AD599" s="29">
        <f t="shared" si="330"/>
        <v>0</v>
      </c>
      <c r="AE599" s="25">
        <f t="shared" si="340"/>
        <v>0</v>
      </c>
      <c r="AF599" s="25">
        <f t="shared" si="331"/>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2"/>
        <v>-1</v>
      </c>
      <c r="B600">
        <f t="shared" si="341"/>
        <v>6</v>
      </c>
      <c r="C600">
        <f t="shared" si="319"/>
        <v>300</v>
      </c>
      <c r="D600">
        <f t="shared" si="333"/>
        <v>0</v>
      </c>
      <c r="E600">
        <f t="shared" si="353"/>
        <v>5</v>
      </c>
      <c r="F600">
        <f t="shared" si="320"/>
        <v>360</v>
      </c>
      <c r="G600">
        <f t="shared" si="334"/>
        <v>0</v>
      </c>
      <c r="H600">
        <f t="shared" si="342"/>
        <v>4</v>
      </c>
      <c r="I600">
        <f t="shared" si="321"/>
        <v>360</v>
      </c>
      <c r="J600">
        <f t="shared" si="335"/>
        <v>0</v>
      </c>
      <c r="K600">
        <f t="shared" si="343"/>
        <v>3</v>
      </c>
      <c r="L600">
        <f t="shared" si="322"/>
        <v>360</v>
      </c>
      <c r="M600">
        <f t="shared" si="336"/>
        <v>0</v>
      </c>
      <c r="N600">
        <f t="shared" si="344"/>
        <v>2</v>
      </c>
      <c r="O600">
        <f t="shared" si="323"/>
        <v>300</v>
      </c>
      <c r="P600">
        <f t="shared" si="345"/>
        <v>0</v>
      </c>
      <c r="Q600">
        <f t="shared" si="346"/>
        <v>2</v>
      </c>
      <c r="R600">
        <f t="shared" si="324"/>
        <v>300</v>
      </c>
      <c r="S600">
        <f t="shared" si="347"/>
        <v>0</v>
      </c>
      <c r="T600">
        <f t="shared" si="348"/>
        <v>-1</v>
      </c>
      <c r="U600">
        <f t="shared" si="337"/>
        <v>1</v>
      </c>
      <c r="V600">
        <f t="shared" si="338"/>
        <v>1</v>
      </c>
      <c r="W600">
        <f t="shared" si="325"/>
        <v>0</v>
      </c>
      <c r="X600">
        <f t="shared" si="349"/>
        <v>0</v>
      </c>
      <c r="Y600">
        <f t="shared" si="326"/>
        <v>0</v>
      </c>
      <c r="Z600">
        <f t="shared" si="327"/>
        <v>0</v>
      </c>
      <c r="AA600">
        <f t="shared" si="328"/>
        <v>0</v>
      </c>
      <c r="AB600" s="29">
        <f t="shared" si="329"/>
        <v>0</v>
      </c>
      <c r="AC600" s="25">
        <f t="shared" si="339"/>
        <v>0</v>
      </c>
      <c r="AD600" s="29">
        <f t="shared" si="330"/>
        <v>0</v>
      </c>
      <c r="AE600" s="25">
        <f t="shared" si="340"/>
        <v>0</v>
      </c>
      <c r="AF600" s="25">
        <f t="shared" si="331"/>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2"/>
        <v>-1</v>
      </c>
      <c r="B601">
        <f t="shared" si="341"/>
        <v>6</v>
      </c>
      <c r="C601">
        <f t="shared" si="319"/>
        <v>300</v>
      </c>
      <c r="D601">
        <f t="shared" si="333"/>
        <v>0</v>
      </c>
      <c r="E601">
        <f t="shared" si="353"/>
        <v>5</v>
      </c>
      <c r="F601">
        <f t="shared" si="320"/>
        <v>360</v>
      </c>
      <c r="G601">
        <f t="shared" si="334"/>
        <v>0</v>
      </c>
      <c r="H601">
        <f t="shared" si="342"/>
        <v>4</v>
      </c>
      <c r="I601">
        <f t="shared" si="321"/>
        <v>360</v>
      </c>
      <c r="J601">
        <f t="shared" si="335"/>
        <v>0</v>
      </c>
      <c r="K601">
        <f t="shared" si="343"/>
        <v>3</v>
      </c>
      <c r="L601">
        <f t="shared" si="322"/>
        <v>360</v>
      </c>
      <c r="M601">
        <f t="shared" si="336"/>
        <v>0</v>
      </c>
      <c r="N601">
        <f t="shared" si="344"/>
        <v>2</v>
      </c>
      <c r="O601">
        <f t="shared" si="323"/>
        <v>300</v>
      </c>
      <c r="P601">
        <f t="shared" si="345"/>
        <v>0</v>
      </c>
      <c r="Q601">
        <f t="shared" si="346"/>
        <v>2</v>
      </c>
      <c r="R601">
        <f t="shared" si="324"/>
        <v>300</v>
      </c>
      <c r="S601">
        <f t="shared" si="347"/>
        <v>0</v>
      </c>
      <c r="T601">
        <f t="shared" si="348"/>
        <v>-1</v>
      </c>
      <c r="U601">
        <f t="shared" si="337"/>
        <v>1</v>
      </c>
      <c r="V601">
        <f t="shared" si="338"/>
        <v>1</v>
      </c>
      <c r="W601">
        <f t="shared" si="325"/>
        <v>0</v>
      </c>
      <c r="X601">
        <f t="shared" si="349"/>
        <v>0</v>
      </c>
      <c r="Y601">
        <f t="shared" si="326"/>
        <v>0</v>
      </c>
      <c r="Z601">
        <f t="shared" si="327"/>
        <v>0</v>
      </c>
      <c r="AA601">
        <f t="shared" si="328"/>
        <v>0</v>
      </c>
      <c r="AB601" s="29">
        <f t="shared" si="329"/>
        <v>0</v>
      </c>
      <c r="AC601" s="25">
        <f t="shared" si="339"/>
        <v>0</v>
      </c>
      <c r="AD601" s="29">
        <f t="shared" si="330"/>
        <v>0</v>
      </c>
      <c r="AE601" s="25">
        <f t="shared" si="340"/>
        <v>0</v>
      </c>
      <c r="AF601" s="25">
        <f t="shared" si="331"/>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2"/>
        <v>-1</v>
      </c>
      <c r="B602" s="64">
        <f t="shared" si="341"/>
        <v>6</v>
      </c>
      <c r="C602" s="64">
        <f t="shared" si="319"/>
        <v>300</v>
      </c>
      <c r="D602" s="64">
        <f t="shared" si="333"/>
        <v>0</v>
      </c>
      <c r="E602">
        <f t="shared" si="353"/>
        <v>5</v>
      </c>
      <c r="F602" s="64">
        <f t="shared" si="320"/>
        <v>360</v>
      </c>
      <c r="G602" s="64">
        <f t="shared" si="334"/>
        <v>0</v>
      </c>
      <c r="H602">
        <f t="shared" si="342"/>
        <v>4</v>
      </c>
      <c r="I602" s="64">
        <f t="shared" si="321"/>
        <v>360</v>
      </c>
      <c r="J602" s="64">
        <f t="shared" si="335"/>
        <v>0</v>
      </c>
      <c r="K602">
        <f t="shared" si="343"/>
        <v>3</v>
      </c>
      <c r="L602" s="64">
        <f t="shared" si="322"/>
        <v>360</v>
      </c>
      <c r="M602" s="64">
        <f t="shared" si="336"/>
        <v>0</v>
      </c>
      <c r="N602">
        <f t="shared" si="344"/>
        <v>2</v>
      </c>
      <c r="O602" s="64">
        <f t="shared" si="323"/>
        <v>300</v>
      </c>
      <c r="P602" s="64">
        <f t="shared" si="345"/>
        <v>0</v>
      </c>
      <c r="Q602">
        <f t="shared" si="346"/>
        <v>2</v>
      </c>
      <c r="R602" s="64">
        <f t="shared" si="324"/>
        <v>300</v>
      </c>
      <c r="S602" s="64">
        <f t="shared" si="347"/>
        <v>0</v>
      </c>
      <c r="T602">
        <f t="shared" si="348"/>
        <v>-1</v>
      </c>
      <c r="U602" s="64">
        <f t="shared" si="337"/>
        <v>1</v>
      </c>
      <c r="V602" s="64">
        <f t="shared" si="338"/>
        <v>1</v>
      </c>
      <c r="W602" s="64">
        <f t="shared" si="325"/>
        <v>0</v>
      </c>
      <c r="X602" s="64">
        <f t="shared" si="349"/>
        <v>0</v>
      </c>
      <c r="Y602" s="64">
        <f t="shared" si="326"/>
        <v>0</v>
      </c>
      <c r="Z602" s="64">
        <f t="shared" si="327"/>
        <v>0</v>
      </c>
      <c r="AA602" s="64">
        <f t="shared" si="328"/>
        <v>0</v>
      </c>
      <c r="AB602" s="1311">
        <f t="shared" si="329"/>
        <v>0</v>
      </c>
      <c r="AC602" s="25">
        <f t="shared" si="339"/>
        <v>0</v>
      </c>
      <c r="AD602" s="1311">
        <f t="shared" si="330"/>
        <v>0</v>
      </c>
      <c r="AE602" s="25">
        <f t="shared" si="340"/>
        <v>0</v>
      </c>
      <c r="AF602" s="104">
        <f t="shared" si="331"/>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workbookViewId="0"/>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731</v>
      </c>
      <c r="B1" s="120">
        <v>14</v>
      </c>
      <c r="C1" s="6" t="s">
        <v>732</v>
      </c>
    </row>
    <row r="2" spans="1:4">
      <c r="A2" s="6" t="s">
        <v>2044</v>
      </c>
      <c r="B2" s="371">
        <f>MAX(5%+0.5%*(BossLevel-CharLevel),0%)</f>
        <v>6.5000000000000002E-2</v>
      </c>
      <c r="C2" s="870"/>
    </row>
    <row r="3" spans="1:4">
      <c r="A3" s="6" t="s">
        <v>398</v>
      </c>
      <c r="B3" s="371">
        <f>MAX(5%+0.5%*(BossLevel-CharLevel)+IF((BossLevel-CharLevel)&gt;2,7.5%,0%))</f>
        <v>0.14000000000000001</v>
      </c>
    </row>
    <row r="4" spans="1:4">
      <c r="A4" s="6" t="s">
        <v>2048</v>
      </c>
      <c r="B4" s="371">
        <f>100%-MAX((BossLevel-CharLevel)*10%-5%,5%)</f>
        <v>0.75</v>
      </c>
      <c r="C4" s="324"/>
      <c r="D4" s="324"/>
    </row>
    <row r="5" spans="1:4">
      <c r="A5" s="6" t="s">
        <v>2047</v>
      </c>
      <c r="B5" s="371">
        <f>MAX((BossLevel+1-CharLevel)*6%,0%)</f>
        <v>0.24</v>
      </c>
      <c r="D5" s="324"/>
    </row>
    <row r="6" spans="1:4">
      <c r="A6" s="6" t="s">
        <v>2043</v>
      </c>
      <c r="B6" s="371">
        <f>19%+MAX(IF(BossLevel*5-CharLevel*5&gt;10, 5%+(BossLevel*5-CharLevel*5)*0.2%, 5%+(BossLevel*5-CharLevel*5)*0.1%), 0%)</f>
        <v>0.27</v>
      </c>
    </row>
    <row r="7" spans="1:4">
      <c r="A7" s="6" t="s">
        <v>2045</v>
      </c>
      <c r="B7" s="121">
        <f>Talents!O15</f>
        <v>73</v>
      </c>
      <c r="D7" s="324"/>
    </row>
    <row r="8" spans="1:4">
      <c r="A8" s="6" t="s">
        <v>2046</v>
      </c>
      <c r="B8" s="121">
        <f>Talents!O14</f>
        <v>70</v>
      </c>
      <c r="D8" s="324"/>
    </row>
    <row r="9" spans="1:4">
      <c r="A9" s="6" t="s">
        <v>733</v>
      </c>
      <c r="B9" s="653">
        <f>MHavg</f>
        <v>211</v>
      </c>
      <c r="C9" s="6" t="s">
        <v>734</v>
      </c>
      <c r="D9" s="324"/>
    </row>
    <row r="10" spans="1:4">
      <c r="A10" s="6" t="s">
        <v>735</v>
      </c>
      <c r="B10" s="217">
        <f>MHspd</f>
        <v>2.6</v>
      </c>
      <c r="C10" s="6" t="s">
        <v>736</v>
      </c>
      <c r="D10" s="324"/>
    </row>
    <row r="11" spans="1:4">
      <c r="A11" s="6" t="s">
        <v>739</v>
      </c>
      <c r="B11" s="653">
        <f>ohavg</f>
        <v>100.5</v>
      </c>
      <c r="C11" s="6" t="s">
        <v>737</v>
      </c>
      <c r="D11" s="324"/>
    </row>
    <row r="12" spans="1:4">
      <c r="A12" s="6" t="s">
        <v>740</v>
      </c>
      <c r="B12" s="217">
        <f>ohspd</f>
        <v>1.4</v>
      </c>
      <c r="C12" s="6" t="s">
        <v>738</v>
      </c>
      <c r="D12" s="324"/>
    </row>
    <row r="13" spans="1:4">
      <c r="A13" s="6" t="s">
        <v>2049</v>
      </c>
      <c r="B13" s="371">
        <f>50%+50%*talDWSpec*talDWSpecRate</f>
        <v>0.75</v>
      </c>
      <c r="D13" s="324"/>
    </row>
    <row r="14" spans="1:4">
      <c r="A14" s="6" t="s">
        <v>638</v>
      </c>
      <c r="B14" s="1360">
        <v>2.4</v>
      </c>
      <c r="C14" s="6" t="s">
        <v>835</v>
      </c>
      <c r="D14" s="324"/>
    </row>
    <row r="15" spans="1:4">
      <c r="A15" s="6" t="s">
        <v>637</v>
      </c>
      <c r="B15" s="1360">
        <v>1.7</v>
      </c>
      <c r="C15" s="6" t="s">
        <v>836</v>
      </c>
      <c r="D15" s="324"/>
    </row>
    <row r="16" spans="1:4">
      <c r="A16" s="6" t="s">
        <v>111</v>
      </c>
      <c r="B16" s="1360">
        <f>IF(mhtype="Dagger",NormDag,NormWeap)</f>
        <v>2.4</v>
      </c>
      <c r="D16" s="324"/>
    </row>
    <row r="17" spans="1:4">
      <c r="A17" s="6" t="s">
        <v>112</v>
      </c>
      <c r="B17" s="1360">
        <f>IF(ohtype="Dagger",NormDag,NormWeap)</f>
        <v>2.4</v>
      </c>
      <c r="D17" s="324"/>
    </row>
    <row r="18" spans="1:4" s="218" customFormat="1">
      <c r="A18" s="218" t="s">
        <v>3038</v>
      </c>
      <c r="B18" s="236"/>
    </row>
    <row r="19" spans="1:4" s="221" customFormat="1">
      <c r="A19" s="221" t="s">
        <v>618</v>
      </c>
      <c r="B19" s="1361">
        <f>nextstat2!$E$11</f>
        <v>0.3930630284412473</v>
      </c>
    </row>
    <row r="20" spans="1:4">
      <c r="A20" s="6" t="s">
        <v>619</v>
      </c>
      <c r="B20" s="217">
        <f>nextstat2!$E$4</f>
        <v>0.8272128693349714</v>
      </c>
    </row>
    <row r="21" spans="1:4">
      <c r="A21" s="6" t="s">
        <v>620</v>
      </c>
      <c r="B21" s="217">
        <f>nextstat2!$E$3</f>
        <v>0.3573300258551626</v>
      </c>
    </row>
    <row r="22" spans="1:4">
      <c r="A22" s="6" t="s">
        <v>1402</v>
      </c>
      <c r="B22" s="217">
        <f>nextstat2!$E$5</f>
        <v>0.68579630550948423</v>
      </c>
    </row>
    <row r="23" spans="1:4">
      <c r="A23" s="6" t="s">
        <v>1403</v>
      </c>
      <c r="B23" s="217">
        <f>nextstat2!$E$6</f>
        <v>5.5500314671271553</v>
      </c>
    </row>
    <row r="24" spans="1:4">
      <c r="A24" s="6" t="s">
        <v>1404</v>
      </c>
      <c r="B24" s="217">
        <f>nextstat2!$E$7</f>
        <v>3.6713847390201408</v>
      </c>
    </row>
    <row r="25" spans="1:4">
      <c r="A25" s="6" t="s">
        <v>1405</v>
      </c>
      <c r="B25" s="217">
        <f>nextstat2!$E$8</f>
        <v>0.12290860133657588</v>
      </c>
    </row>
    <row r="26" spans="1:4">
      <c r="A26" s="6" t="s">
        <v>1406</v>
      </c>
      <c r="B26" s="217">
        <f>nextstat2!$E$9</f>
        <v>1.1786101463294472</v>
      </c>
    </row>
    <row r="27" spans="1:4" s="218" customFormat="1">
      <c r="A27" s="218" t="s">
        <v>1590</v>
      </c>
      <c r="B27" s="236"/>
    </row>
    <row r="28" spans="1:4" s="218" customFormat="1">
      <c r="A28" s="218" t="s">
        <v>175</v>
      </c>
      <c r="B28" s="236"/>
    </row>
    <row r="29" spans="1:4">
      <c r="A29" s="6" t="s">
        <v>169</v>
      </c>
      <c r="B29" s="120">
        <v>1</v>
      </c>
    </row>
    <row r="30" spans="1:4">
      <c r="A30" s="6" t="s">
        <v>2788</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1585</v>
      </c>
      <c r="B43" s="120">
        <v>15</v>
      </c>
    </row>
    <row r="44" spans="1:2">
      <c r="A44" s="6" t="s">
        <v>1589</v>
      </c>
      <c r="B44" s="120">
        <v>16</v>
      </c>
    </row>
    <row r="45" spans="1:2">
      <c r="A45" s="6" t="s">
        <v>1587</v>
      </c>
      <c r="B45" s="120">
        <v>17</v>
      </c>
    </row>
    <row r="46" spans="1:2">
      <c r="A46" s="6" t="s">
        <v>1588</v>
      </c>
      <c r="B46" s="120">
        <v>18</v>
      </c>
    </row>
    <row r="47" spans="1:2">
      <c r="A47" s="6" t="s">
        <v>1586</v>
      </c>
      <c r="B47" s="120">
        <v>19</v>
      </c>
    </row>
    <row r="48" spans="1:2">
      <c r="A48" s="6" t="s">
        <v>2789</v>
      </c>
      <c r="B48" s="120">
        <v>20</v>
      </c>
    </row>
    <row r="49" spans="1:3">
      <c r="A49" s="6" t="s">
        <v>2790</v>
      </c>
      <c r="B49" s="120">
        <v>21</v>
      </c>
    </row>
    <row r="50" spans="1:3">
      <c r="A50" s="6" t="s">
        <v>2791</v>
      </c>
      <c r="B50" s="120">
        <v>22</v>
      </c>
    </row>
    <row r="51" spans="1:3">
      <c r="A51" s="6" t="s">
        <v>2793</v>
      </c>
      <c r="B51" s="120">
        <v>23</v>
      </c>
    </row>
    <row r="52" spans="1:3">
      <c r="A52" s="6" t="s">
        <v>2792</v>
      </c>
      <c r="B52" s="120">
        <v>25</v>
      </c>
    </row>
    <row r="53" spans="1:3" s="218" customFormat="1">
      <c r="A53" s="218" t="s">
        <v>2219</v>
      </c>
      <c r="B53" s="236"/>
    </row>
    <row r="54" spans="1:3" s="218" customFormat="1">
      <c r="B54" s="236"/>
    </row>
    <row r="55" spans="1:3">
      <c r="A55" s="6" t="s">
        <v>263</v>
      </c>
      <c r="B55" s="120" t="b">
        <f>SetTB2p</f>
        <v>0</v>
      </c>
    </row>
    <row r="56" spans="1:3" s="221" customFormat="1">
      <c r="A56" s="221" t="s">
        <v>1166</v>
      </c>
      <c r="B56" s="1362" t="b">
        <f>stSL4P</f>
        <v>0</v>
      </c>
    </row>
    <row r="57" spans="1:3">
      <c r="A57" s="6" t="s">
        <v>1167</v>
      </c>
      <c r="B57" s="337">
        <f>IF(stSL4P,6%,0)</f>
        <v>0</v>
      </c>
      <c r="C57" s="6" t="s">
        <v>635</v>
      </c>
    </row>
    <row r="58" spans="1:3" s="218" customFormat="1">
      <c r="A58" s="218" t="s">
        <v>837</v>
      </c>
      <c r="B58" s="236"/>
    </row>
    <row r="59" spans="1:3" s="218" customFormat="1">
      <c r="B59" s="236"/>
    </row>
    <row r="60" spans="1:3">
      <c r="A60" s="6" t="s">
        <v>1154</v>
      </c>
      <c r="B60" s="337">
        <f>150%+tlSCinst</f>
        <v>1.5</v>
      </c>
      <c r="C60" s="6" t="s">
        <v>2037</v>
      </c>
    </row>
    <row r="61" spans="1:3">
      <c r="A61" s="6" t="s">
        <v>1155</v>
      </c>
      <c r="B61" s="120">
        <f>1+tlSAfac+tlAGGfac+tlAGGfac+stSL4pbn</f>
        <v>1.2200000000000002</v>
      </c>
      <c r="C61" s="6" t="s">
        <v>1171</v>
      </c>
    </row>
    <row r="62" spans="1:3">
      <c r="A62" s="6" t="s">
        <v>1156</v>
      </c>
      <c r="B62" s="120">
        <v>170</v>
      </c>
    </row>
    <row r="63" spans="1:3" s="328" customFormat="1">
      <c r="A63" s="328" t="s">
        <v>1172</v>
      </c>
      <c r="B63" s="1363">
        <f>$B$61*$B$60</f>
        <v>1.8300000000000003</v>
      </c>
      <c r="C63" s="328" t="s">
        <v>1173</v>
      </c>
    </row>
    <row r="64" spans="1:3">
      <c r="A64" s="6" t="s">
        <v>1174</v>
      </c>
      <c r="B64" s="337">
        <f>110%+tlSCinst</f>
        <v>1.1000000000000001</v>
      </c>
      <c r="C64" s="6" t="s">
        <v>641</v>
      </c>
    </row>
    <row r="65" spans="1:3">
      <c r="A65" s="6" t="s">
        <v>636</v>
      </c>
      <c r="B65" s="120">
        <f>1+stSL4pbn</f>
        <v>1</v>
      </c>
      <c r="C65" s="6" t="s">
        <v>642</v>
      </c>
    </row>
    <row r="66" spans="1:3">
      <c r="A66" s="6" t="s">
        <v>639</v>
      </c>
      <c r="B66" s="120">
        <f>$B$64*$B$65</f>
        <v>1.1000000000000001</v>
      </c>
      <c r="C66" s="6" t="s">
        <v>640</v>
      </c>
    </row>
    <row r="67" spans="1:3" s="218" customFormat="1">
      <c r="A67" s="218" t="s">
        <v>1897</v>
      </c>
      <c r="B67" s="236"/>
    </row>
    <row r="68" spans="1:3" s="218" customFormat="1">
      <c r="B68" s="236"/>
    </row>
    <row r="69" spans="1:3">
      <c r="A69" s="6" t="s">
        <v>1243</v>
      </c>
      <c r="B69" s="120">
        <f>tlSwS</f>
        <v>5</v>
      </c>
      <c r="C69" s="6" t="s">
        <v>1244</v>
      </c>
    </row>
    <row r="70" spans="1:3">
      <c r="A70" s="6" t="s">
        <v>1246</v>
      </c>
      <c r="B70" s="337">
        <v>0.01</v>
      </c>
    </row>
    <row r="71" spans="1:3">
      <c r="A71" s="6" t="s">
        <v>1247</v>
      </c>
      <c r="B71" s="337">
        <f>tlSwS*$B$70</f>
        <v>0.05</v>
      </c>
      <c r="C71" s="6" t="s">
        <v>1245</v>
      </c>
    </row>
    <row r="72" spans="1:3">
      <c r="A72" s="6" t="s">
        <v>1248</v>
      </c>
      <c r="B72" s="337" t="b">
        <f>(mhtype="Sword")</f>
        <v>1</v>
      </c>
      <c r="C72" s="6" t="s">
        <v>1097</v>
      </c>
    </row>
    <row r="73" spans="1:3">
      <c r="A73" s="6" t="s">
        <v>1096</v>
      </c>
      <c r="B73" s="337" t="b">
        <f>(ohtype="Sword")</f>
        <v>1</v>
      </c>
      <c r="C73" s="6" t="s">
        <v>1098</v>
      </c>
    </row>
    <row r="74" spans="1:3" s="221" customFormat="1">
      <c r="A74" s="221" t="s">
        <v>2050</v>
      </c>
      <c r="B74" s="1362">
        <f>talDWSpec</f>
        <v>5</v>
      </c>
    </row>
    <row r="75" spans="1:3">
      <c r="A75" s="6" t="s">
        <v>2051</v>
      </c>
      <c r="B75" s="337">
        <v>0.1</v>
      </c>
    </row>
    <row r="76" spans="1:3" s="221" customFormat="1">
      <c r="A76" s="221" t="s">
        <v>1163</v>
      </c>
      <c r="B76" s="1362">
        <f>tlSC</f>
        <v>0</v>
      </c>
    </row>
    <row r="77" spans="1:3">
      <c r="A77" s="6" t="s">
        <v>1160</v>
      </c>
      <c r="B77" s="337">
        <v>0.01</v>
      </c>
      <c r="C77" s="6" t="s">
        <v>1161</v>
      </c>
    </row>
    <row r="78" spans="1:3">
      <c r="A78" s="6" t="s">
        <v>1151</v>
      </c>
      <c r="B78" s="337">
        <f>3%</f>
        <v>0.03</v>
      </c>
    </row>
    <row r="79" spans="1:3">
      <c r="A79" s="6" t="s">
        <v>1152</v>
      </c>
      <c r="B79" s="337">
        <f>tlSC*$B$77</f>
        <v>0</v>
      </c>
    </row>
    <row r="80" spans="1:3">
      <c r="A80" s="6" t="s">
        <v>1153</v>
      </c>
      <c r="B80" s="337">
        <f>tlSC*$B$78</f>
        <v>0</v>
      </c>
    </row>
    <row r="81" spans="1:3" s="221" customFormat="1">
      <c r="A81" s="221" t="s">
        <v>2034</v>
      </c>
      <c r="B81" s="1362">
        <f>tlMurder</f>
        <v>2</v>
      </c>
    </row>
    <row r="82" spans="1:3">
      <c r="A82" s="6" t="s">
        <v>2035</v>
      </c>
      <c r="B82" s="337">
        <v>0.01</v>
      </c>
      <c r="C82" s="6" t="s">
        <v>1159</v>
      </c>
    </row>
    <row r="83" spans="1:3" s="328" customFormat="1">
      <c r="A83" s="328" t="s">
        <v>2036</v>
      </c>
      <c r="B83" s="1364">
        <f>IF(OR(mobtype="Any",mobtype="Beast",mobtype="Dragonkin",mobtype="Giant",mobtype="Humanoid"),100%+tlMurder*$B$82,100%)</f>
        <v>1.02</v>
      </c>
    </row>
    <row r="84" spans="1:3">
      <c r="A84" s="6" t="s">
        <v>1157</v>
      </c>
      <c r="B84" s="120">
        <f>tlSA</f>
        <v>1</v>
      </c>
    </row>
    <row r="85" spans="1:3">
      <c r="A85" s="6" t="s">
        <v>2035</v>
      </c>
      <c r="B85" s="337">
        <v>0.1</v>
      </c>
    </row>
    <row r="86" spans="1:3" s="328" customFormat="1">
      <c r="A86" s="328" t="s">
        <v>1170</v>
      </c>
      <c r="B86" s="1363">
        <f>tlSA*$B$85</f>
        <v>0.1</v>
      </c>
    </row>
    <row r="87" spans="1:3">
      <c r="A87" s="6" t="s">
        <v>1158</v>
      </c>
      <c r="B87" s="120">
        <f>tlOPP</f>
        <v>0</v>
      </c>
    </row>
    <row r="88" spans="1:3">
      <c r="A88" s="6" t="s">
        <v>2035</v>
      </c>
      <c r="B88" s="337">
        <v>0.04</v>
      </c>
      <c r="C88" s="6" t="s">
        <v>1162</v>
      </c>
    </row>
    <row r="89" spans="1:3" s="328" customFormat="1">
      <c r="A89" s="328" t="s">
        <v>1169</v>
      </c>
      <c r="B89" s="1363">
        <f>tlOPP*$B$88</f>
        <v>0</v>
      </c>
    </row>
    <row r="90" spans="1:3">
      <c r="A90" s="6" t="s">
        <v>1164</v>
      </c>
      <c r="B90" s="120">
        <f>tlAGG</f>
        <v>3</v>
      </c>
    </row>
    <row r="91" spans="1:3">
      <c r="A91" s="6" t="s">
        <v>2035</v>
      </c>
      <c r="B91" s="337">
        <v>0.02</v>
      </c>
      <c r="C91" s="6" t="s">
        <v>1165</v>
      </c>
    </row>
    <row r="92" spans="1:3" s="328" customFormat="1">
      <c r="A92" s="328" t="s">
        <v>1168</v>
      </c>
      <c r="B92" s="1363">
        <f>tlAGG*$B$91</f>
        <v>0.06</v>
      </c>
    </row>
    <row r="93" spans="1:3">
      <c r="A93" s="6" t="s">
        <v>1316</v>
      </c>
      <c r="B93" s="120">
        <f>1+0.02*Talents!I31</f>
        <v>1</v>
      </c>
    </row>
    <row r="94" spans="1:3">
      <c r="A94" s="6" t="s">
        <v>2156</v>
      </c>
      <c r="B94" s="120">
        <f>1+0.03*Talents!I36</f>
        <v>1</v>
      </c>
    </row>
    <row r="95" spans="1:3">
      <c r="A95" s="6" t="s">
        <v>1317</v>
      </c>
      <c r="B95" s="120">
        <f>IF(Talents!F15=0,0,IF(Talents!F15=1,3,5))</f>
        <v>5</v>
      </c>
    </row>
    <row r="96" spans="1:3">
      <c r="A96" s="6" t="s">
        <v>1318</v>
      </c>
      <c r="B96" s="120">
        <f>Talents!C30/5</f>
        <v>0</v>
      </c>
    </row>
    <row r="97" spans="1:4">
      <c r="A97" s="6" t="s">
        <v>744</v>
      </c>
      <c r="B97" s="120">
        <f>Talents!C29*0.4</f>
        <v>0</v>
      </c>
    </row>
    <row r="98" spans="1:4">
      <c r="A98" s="6" t="s">
        <v>1358</v>
      </c>
      <c r="B98" s="120" t="b">
        <f>Talents!C27=1</f>
        <v>0</v>
      </c>
    </row>
    <row r="99" spans="1:4">
      <c r="A99" s="6" t="s">
        <v>1319</v>
      </c>
      <c r="B99" s="120">
        <f>Talents!C19*0.1</f>
        <v>0</v>
      </c>
    </row>
    <row r="100" spans="1:4">
      <c r="A100" s="6" t="s">
        <v>956</v>
      </c>
      <c r="B100" s="120">
        <f>IF(Talents!$N$24,10%*Talents!I28*Talents!$O$24,IF(Talents!$O$23="Always &lt;35%",10%*Talents!I28,IF(Talents!$O$23="Off",0%,10%*Talents!I28*35%)))</f>
        <v>0</v>
      </c>
    </row>
    <row r="101" spans="1:4">
      <c r="A101" s="6" t="s">
        <v>957</v>
      </c>
      <c r="B101" s="120">
        <f>IF(Talents!$O$25="Yes",1,0)</f>
        <v>1</v>
      </c>
    </row>
    <row r="102" spans="1:4">
      <c r="A102" s="6" t="s">
        <v>1184</v>
      </c>
      <c r="B102" s="120">
        <f>IF(AND(Talents!$O$26="Yes",Talents!$I$29&gt;0,Talents!$I$21&gt;0),1,0)</f>
        <v>0</v>
      </c>
    </row>
    <row r="103" spans="1:4">
      <c r="A103" s="6" t="s">
        <v>755</v>
      </c>
      <c r="B103" s="120">
        <f>(1+Talents!C36/50)</f>
        <v>1</v>
      </c>
    </row>
    <row r="104" spans="1:4">
      <c r="A104" s="6" t="s">
        <v>3143</v>
      </c>
      <c r="B104" s="120">
        <f>(Talents!$C$23*0.04+1)</f>
        <v>1.1200000000000001</v>
      </c>
    </row>
    <row r="105" spans="1:4" s="218" customFormat="1">
      <c r="A105" s="218" t="s">
        <v>1356</v>
      </c>
      <c r="B105" s="236"/>
    </row>
    <row r="106" spans="1:4" s="218" customFormat="1">
      <c r="B106" s="236"/>
    </row>
    <row r="107" spans="1:4">
      <c r="A107" s="6" t="s">
        <v>2168</v>
      </c>
      <c r="B107" s="371">
        <f>2.6/60</f>
        <v>4.3333333333333335E-2</v>
      </c>
      <c r="D107" s="6" t="s">
        <v>2173</v>
      </c>
    </row>
    <row r="108" spans="1:4">
      <c r="A108" s="6" t="s">
        <v>2169</v>
      </c>
      <c r="B108" s="120" t="b">
        <f>(mh="Blinkstrike")</f>
        <v>1</v>
      </c>
      <c r="D108" s="6" t="s">
        <v>2172</v>
      </c>
    </row>
    <row r="109" spans="1:4">
      <c r="A109" s="6" t="s">
        <v>2170</v>
      </c>
      <c r="B109" s="120" t="b">
        <f>(oh="Blinkstrike")</f>
        <v>0</v>
      </c>
      <c r="D109" s="6" t="s">
        <v>2171</v>
      </c>
    </row>
    <row r="110" spans="1:4">
      <c r="A110" s="6" t="s">
        <v>2978</v>
      </c>
      <c r="B110" s="371">
        <f>IF(OR(trinket1="Hand of Justice",trinket2="Hand of Justice"),Optimize!C60,0%)</f>
        <v>0</v>
      </c>
      <c r="C110" s="324"/>
      <c r="D110" s="1355"/>
    </row>
    <row r="111" spans="1:4" s="478" customFormat="1">
      <c r="A111" s="478" t="s">
        <v>74</v>
      </c>
      <c r="B111" s="1365"/>
    </row>
    <row r="112" spans="1:4">
      <c r="A112" s="6" t="s">
        <v>3132</v>
      </c>
      <c r="B112" s="120" t="b">
        <f>Talents!O18="Yes"</f>
        <v>1</v>
      </c>
    </row>
    <row r="113" spans="1:2">
      <c r="A113" s="6" t="s">
        <v>3133</v>
      </c>
      <c r="B113" s="120" t="b">
        <f>Talents!O17="Yes"</f>
        <v>1</v>
      </c>
    </row>
    <row r="114" spans="1:2">
      <c r="A114" s="6" t="s">
        <v>3134</v>
      </c>
      <c r="B114" s="120" t="b">
        <f>FALSE</f>
        <v>0</v>
      </c>
    </row>
    <row r="115" spans="1:2">
      <c r="A115" s="6" t="s">
        <v>3135</v>
      </c>
      <c r="B115" s="337">
        <f>Talents!O33</f>
        <v>1</v>
      </c>
    </row>
    <row r="116" spans="1:2">
      <c r="A116" s="6" t="s">
        <v>1025</v>
      </c>
      <c r="B116" s="120">
        <f>Talents!O35</f>
        <v>300</v>
      </c>
    </row>
    <row r="117" spans="1:2" ht="11.25" customHeight="1">
      <c r="A117" s="6" t="s">
        <v>3136</v>
      </c>
      <c r="B117" s="120" t="b">
        <f>Talents!O19="Yes"</f>
        <v>0</v>
      </c>
    </row>
    <row r="118" spans="1:2">
      <c r="A118" s="6" t="s">
        <v>3137</v>
      </c>
      <c r="B118" s="120">
        <f>Talents!O34</f>
        <v>1</v>
      </c>
    </row>
    <row r="119" spans="1:2">
      <c r="A119" s="6" t="s">
        <v>3138</v>
      </c>
      <c r="B119" s="114">
        <f>Talents!O20</f>
        <v>7685</v>
      </c>
    </row>
    <row r="120" spans="1:2" ht="11.25" customHeight="1">
      <c r="A120" s="6" t="s">
        <v>3142</v>
      </c>
      <c r="B120" s="6" t="b">
        <f>Talents!O29="Yes"</f>
        <v>0</v>
      </c>
    </row>
    <row r="121" spans="1:2">
      <c r="A121" s="6" t="s">
        <v>3160</v>
      </c>
      <c r="B121" s="120" t="b">
        <f>Talents!O36="No"</f>
        <v>1</v>
      </c>
    </row>
    <row r="122" spans="1:2">
      <c r="A122" s="6" t="s">
        <v>3190</v>
      </c>
      <c r="B122" s="120" t="b">
        <f>Talents!O31="Yes"</f>
        <v>0</v>
      </c>
    </row>
    <row r="123" spans="1:2">
      <c r="A123" s="6" t="s">
        <v>3193</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2F7B1-CE83-4A78-90FD-046DC4D92F87}">
  <sheetPr codeName="Sheet30"/>
  <dimension ref="A1:K26"/>
  <sheetViews>
    <sheetView workbookViewId="0"/>
  </sheetViews>
  <sheetFormatPr defaultRowHeight="12.75"/>
  <cols>
    <col min="1" max="1" width="9" bestFit="1" customWidth="1"/>
    <col min="2" max="2" width="23.140625" bestFit="1" customWidth="1"/>
    <col min="3" max="3" width="17.85546875" bestFit="1" customWidth="1"/>
    <col min="4" max="4" width="19.7109375" bestFit="1" customWidth="1"/>
    <col min="5" max="5" width="26.85546875" bestFit="1" customWidth="1"/>
    <col min="6" max="6" width="19.5703125" bestFit="1" customWidth="1"/>
    <col min="7" max="7" width="14.85546875" bestFit="1" customWidth="1"/>
    <col min="8" max="8" width="20.42578125" bestFit="1" customWidth="1"/>
    <col min="9" max="9" width="16.7109375" bestFit="1" customWidth="1"/>
    <col min="10" max="10" width="16.42578125" bestFit="1" customWidth="1"/>
    <col min="11" max="11" width="16.5703125" bestFit="1" customWidth="1"/>
  </cols>
  <sheetData>
    <row r="1" spans="1:11" ht="13.5" thickBot="1">
      <c r="A1" s="1393" t="s">
        <v>3253</v>
      </c>
      <c r="B1" s="1394" t="s">
        <v>2145</v>
      </c>
      <c r="C1" s="1394" t="s">
        <v>2334</v>
      </c>
      <c r="D1" s="1394" t="s">
        <v>1062</v>
      </c>
      <c r="E1" s="1394" t="s">
        <v>3269</v>
      </c>
      <c r="F1" s="1394" t="s">
        <v>1077</v>
      </c>
      <c r="G1" s="1394" t="s">
        <v>825</v>
      </c>
      <c r="H1" s="1394" t="s">
        <v>1003</v>
      </c>
      <c r="I1" s="1394" t="s">
        <v>998</v>
      </c>
      <c r="J1" s="1394" t="s">
        <v>3270</v>
      </c>
      <c r="K1" s="1395" t="s">
        <v>961</v>
      </c>
    </row>
    <row r="2" spans="1:11">
      <c r="A2" s="1398" t="s">
        <v>3254</v>
      </c>
      <c r="B2" s="1396">
        <v>1</v>
      </c>
      <c r="C2" s="1396">
        <v>2</v>
      </c>
      <c r="D2" s="1396">
        <v>3</v>
      </c>
      <c r="E2" s="1396">
        <v>4</v>
      </c>
      <c r="F2" s="1396">
        <v>5</v>
      </c>
      <c r="G2" s="1396">
        <v>6</v>
      </c>
      <c r="H2" s="1396">
        <v>7</v>
      </c>
      <c r="I2" s="1396">
        <v>8</v>
      </c>
      <c r="J2" s="1396">
        <v>9</v>
      </c>
      <c r="K2" s="1397">
        <v>10</v>
      </c>
    </row>
    <row r="3" spans="1:11">
      <c r="A3" s="1399" t="s">
        <v>3044</v>
      </c>
      <c r="B3" s="1328"/>
      <c r="C3" s="1328"/>
      <c r="D3" s="1328"/>
      <c r="E3" s="1328"/>
      <c r="F3" s="1328"/>
      <c r="G3" s="1328"/>
      <c r="H3" s="1328"/>
      <c r="I3" s="1328"/>
      <c r="J3" s="1328" t="str">
        <f>IF(AND(includep3, includeblacktemple), "Warglaive of Azzinoth", "")</f>
        <v/>
      </c>
      <c r="K3" s="1401" t="str">
        <f>IF(AND(includep5, include5man), "Latro's Dancing Blade", "")</f>
        <v/>
      </c>
    </row>
    <row r="4" spans="1:11">
      <c r="A4" s="1399" t="s">
        <v>3045</v>
      </c>
      <c r="B4" s="1328"/>
      <c r="C4" s="1328"/>
      <c r="D4" s="1328"/>
      <c r="E4" s="1328"/>
      <c r="F4" s="1328"/>
      <c r="G4" s="1328"/>
      <c r="H4" s="1328"/>
      <c r="I4" s="1328"/>
      <c r="J4" s="1328" t="str">
        <f>IF(AND(includep3, includeblacktemple), "Warglaive of Azzinoth", "")</f>
        <v/>
      </c>
      <c r="K4" s="1401" t="str">
        <f>IF(AND(includep1, include5man), "Latro's Shifting Sword", "")</f>
        <v>Latro's Shifting Sword</v>
      </c>
    </row>
    <row r="5" spans="1:11">
      <c r="A5" s="1399" t="s">
        <v>3255</v>
      </c>
      <c r="B5" s="1328" t="str">
        <f>IF(AND(includep1, include5man), "Helm of Assassination", "")</f>
        <v>Helm of Assassination</v>
      </c>
      <c r="C5" s="1328" t="str">
        <f>IF(AND(includep1, includeprebc), "Bonescythe Helmet", "")</f>
        <v>Bonescythe Helmet</v>
      </c>
      <c r="D5" s="1328" t="str">
        <f>IF(AND(includep2, includessc), "Deathmantle Helm", "")</f>
        <v/>
      </c>
      <c r="E5" s="1328" t="str">
        <f>IF(includepvp,IF(includep5,"Brutal Gladiator's Leather Helm",IF(includep3,"Vengeful Gladiator's Leather Helm",IF(includep2,"Merciless Gladiator's Leather Helm",IF(includep1,"Gladiator's Leather Helm","")))),"")</f>
        <v>Gladiator's Leather Helm</v>
      </c>
      <c r="F5" s="1328" t="str">
        <f>IF(AND(includep1, includekarahzan), "Netherblade Facemask", "")</f>
        <v>Netherblade Facemask</v>
      </c>
      <c r="G5" s="1328"/>
      <c r="H5" s="1328" t="str">
        <f>IF(AND(includep1, includeheroic), "Wastewalker Helm", "")</f>
        <v>Wastewalker Helm</v>
      </c>
      <c r="I5" s="1328" t="str">
        <f>IF(AND(includep3, includemounthyjal), "Slayer's Helm", "")</f>
        <v/>
      </c>
      <c r="J5" s="1328"/>
      <c r="K5" s="1401"/>
    </row>
    <row r="6" spans="1:11">
      <c r="A6" s="1399" t="s">
        <v>659</v>
      </c>
      <c r="B6" s="1328" t="str">
        <f>IF(AND(includep1, include5man), "Shoulderpads of Assassination", "")</f>
        <v>Shoulderpads of Assassination</v>
      </c>
      <c r="C6" s="1328" t="str">
        <f>IF(AND(includep1, includeprebc), "Bonescythe Pauldrons", "")</f>
        <v>Bonescythe Pauldrons</v>
      </c>
      <c r="D6" s="1328" t="str">
        <f>IF(AND(includep2, includetheeye), "Deathmantle Shoulderpads", "")</f>
        <v/>
      </c>
      <c r="E6" s="1328" t="str">
        <f>IF(includepvp,IF(includep5,"Brutal Gladiator's Leather Spaulders",IF(includep3,"Vengeful Gladiator's Leather Spaulders",IF(includep2,"Merciless Gladiator's Leather Spaulders",IF(includep1,"Gladiator's Leather Spaulders","")))),"")</f>
        <v>Gladiator's Leather Spaulders</v>
      </c>
      <c r="F6" s="1328" t="str">
        <f>IF(AND(includep1, includegruul), "Netherblade Shoulderpads", "")</f>
        <v>Netherblade Shoulderpads</v>
      </c>
      <c r="G6" s="1328"/>
      <c r="H6" s="1328" t="str">
        <f>IF(AND(includep1, includeheroic), "Wastewalker Shoulderpads", "")</f>
        <v>Wastewalker Shoulderpads</v>
      </c>
      <c r="I6" s="1328" t="str">
        <f>IF(AND(includep3, includeblacktemple), "Slayer's Shoulderpads", "")</f>
        <v/>
      </c>
      <c r="J6" s="1328"/>
      <c r="K6" s="1401"/>
    </row>
    <row r="7" spans="1:11">
      <c r="A7" s="1399" t="s">
        <v>1123</v>
      </c>
      <c r="B7" s="1328" t="str">
        <f>IF(AND(includep1, include5man), "Tunic of Assassination", "")</f>
        <v>Tunic of Assassination</v>
      </c>
      <c r="C7" s="1328" t="str">
        <f>IF(AND(includep1, includeprebc), "Bonescythe Breastplate", "")</f>
        <v>Bonescythe Breastplate</v>
      </c>
      <c r="D7" s="1328" t="str">
        <f>IF(AND(includep2, includetheeye), "Deathmantle Chestguard", "")</f>
        <v/>
      </c>
      <c r="E7" s="1328" t="str">
        <f>IF(includepvp,IF(includep5,"Brutal Gladiator's Leather Tunic",IF(includep3,"Vengeful Gladiator's Leather Tunic",IF(includep2,"Merciless Gladiator's Leather Tunic",IF(includep1,"Gladiator's Leather Tunic","")))),"")</f>
        <v>Gladiator's Leather Tunic</v>
      </c>
      <c r="F7" s="1328" t="str">
        <f>IF(AND(includep1, includemagtheridon), "Netherblade Chestpiece", "")</f>
        <v>Netherblade Chestpiece</v>
      </c>
      <c r="G7" s="1328" t="str">
        <f>IF(AND(includep1, includeleatherwork), "Primalstrike Vest", "")</f>
        <v>Primalstrike Vest</v>
      </c>
      <c r="H7" s="1328" t="str">
        <f>IF(AND(includep1, includeheroic), "Wastewalker Tunic", "")</f>
        <v>Wastewalker Tunic</v>
      </c>
      <c r="I7" s="1328" t="str">
        <f>IF(AND(includep3, includeblacktemple), "Slayer's Chestguard", "")</f>
        <v/>
      </c>
      <c r="J7" s="1328"/>
      <c r="K7" s="1401"/>
    </row>
    <row r="8" spans="1:11">
      <c r="A8" s="1399" t="s">
        <v>3256</v>
      </c>
      <c r="B8" s="1328"/>
      <c r="C8" s="1328" t="str">
        <f>IF(AND(includep1, includeprebc), "Bonescythe Bracers", "")</f>
        <v>Bonescythe Bracers</v>
      </c>
      <c r="D8" s="1328"/>
      <c r="E8" s="1328"/>
      <c r="F8" s="1328"/>
      <c r="G8" s="1328" t="str">
        <f>IF(AND(includep1, includeleatherwork), "Primalstrike Bracers", "")</f>
        <v>Primalstrike Bracers</v>
      </c>
      <c r="H8" s="1328"/>
      <c r="I8" s="1328" t="str">
        <f>IF(AND(includep5, includesunwell), "Slayer's Bracers", "")</f>
        <v/>
      </c>
      <c r="J8" s="1328"/>
      <c r="K8" s="1401"/>
    </row>
    <row r="9" spans="1:11">
      <c r="A9" s="1399" t="s">
        <v>3257</v>
      </c>
      <c r="B9" s="1328" t="str">
        <f>IF(AND(includep1, include5man), "Handgrips of Assassination", "")</f>
        <v>Handgrips of Assassination</v>
      </c>
      <c r="C9" s="1328" t="str">
        <f>IF(AND(includep1, includeprebc), "Bonescythe Gauntlets", "")</f>
        <v>Bonescythe Gauntlets</v>
      </c>
      <c r="D9" s="1328" t="str">
        <f>IF(AND(includep2, includessc), "Deathmantle Handguards", "")</f>
        <v/>
      </c>
      <c r="E9" s="1328" t="str">
        <f>IF(includepvp,IF(includep5,"Brutal Gladiator's Leather Gloves",IF(includep3,"Vengeful Gladiator's Leather Gloves",IF(includep2,"Merciless Gladiator's Leather Gloves",IF(includep1,"Gladiator's Leather Gloves","")))),"")</f>
        <v>Gladiator's Leather Gloves</v>
      </c>
      <c r="F9" s="1328" t="str">
        <f>IF(AND(includep1, includekarahzan), "Netherblade Gloves", "")</f>
        <v>Netherblade Gloves</v>
      </c>
      <c r="G9" s="1328"/>
      <c r="H9" s="1328" t="str">
        <f>IF(AND(includep1, includeheroic), "Wastewalker Gloves", "")</f>
        <v>Wastewalker Gloves</v>
      </c>
      <c r="I9" s="1328" t="str">
        <f>IF(AND(includep3, includemounthyjal), "Slayer's Handguards", "")</f>
        <v/>
      </c>
      <c r="J9" s="1328"/>
      <c r="K9" s="1401"/>
    </row>
    <row r="10" spans="1:11">
      <c r="A10" s="1399" t="s">
        <v>2437</v>
      </c>
      <c r="B10" s="1328"/>
      <c r="C10" s="1328" t="str">
        <f>IF(AND(includep1, includeprebc), "Bonescythe Waistguard", "")</f>
        <v>Bonescythe Waistguard</v>
      </c>
      <c r="D10" s="1328"/>
      <c r="E10" s="1328"/>
      <c r="F10" s="1328"/>
      <c r="G10" s="1328" t="str">
        <f>IF(AND(includep1, includeleatherwork), "Primalstrike Belt", "")</f>
        <v>Primalstrike Belt</v>
      </c>
      <c r="H10" s="1328"/>
      <c r="I10" s="1328" t="str">
        <f>IF(AND(includep5, includesunwell), "Slayer's Belt", "")</f>
        <v/>
      </c>
      <c r="J10" s="1328"/>
      <c r="K10" s="1401"/>
    </row>
    <row r="11" spans="1:11">
      <c r="A11" s="1399" t="s">
        <v>2079</v>
      </c>
      <c r="B11" s="1328" t="str">
        <f>IF(AND(includep1, include5man), "Leggings of Assassination", "")</f>
        <v>Leggings of Assassination</v>
      </c>
      <c r="C11" s="1328" t="str">
        <f>IF(AND(includep1, includeprebc), "Bonescythe Legplates", "")</f>
        <v>Bonescythe Legplates</v>
      </c>
      <c r="D11" s="1328" t="str">
        <f>IF(AND(includep2, includessc), "Deathmantle Legguards", "")</f>
        <v/>
      </c>
      <c r="E11" s="1328" t="str">
        <f>IF(includepvp,IF(includep5,"Brutal Gladiator's Leather Legguards",IF(includep3,"Vengeful Gladiator's Leather Legguards",IF(includep2,"Merciless Gladiator's Leather Legguards",IF(includep1,"Gladiator's Leather Legguards","")))),"")</f>
        <v>Gladiator's Leather Legguards</v>
      </c>
      <c r="F11" s="1328" t="str">
        <f>IF(AND(includep1, includegruul), "Netherblade Breeches", "")</f>
        <v>Netherblade Breeches</v>
      </c>
      <c r="G11" s="1328"/>
      <c r="H11" s="1328" t="str">
        <f>IF(AND(includep1, includeheroic), "Wastewalker Leggings", "")</f>
        <v>Wastewalker Leggings</v>
      </c>
      <c r="I11" s="1328" t="str">
        <f>IF(AND(includep3, includeblacktemple), "Slayer's Legguards", "")</f>
        <v/>
      </c>
      <c r="J11" s="1328"/>
      <c r="K11" s="1401"/>
    </row>
    <row r="12" spans="1:11">
      <c r="A12" s="1399" t="s">
        <v>2438</v>
      </c>
      <c r="B12" s="1328"/>
      <c r="C12" s="1328" t="str">
        <f>IF(AND(includep1, includeprebc), "Bonescythe Sabatons", "")</f>
        <v>Bonescythe Sabatons</v>
      </c>
      <c r="D12" s="1328"/>
      <c r="E12" s="1328"/>
      <c r="F12" s="1328"/>
      <c r="G12" s="1328"/>
      <c r="H12" s="1328"/>
      <c r="I12" s="1328" t="str">
        <f>IF(AND(includep5, includesunwell), "Slayer's Boots", "")</f>
        <v/>
      </c>
      <c r="J12" s="1328"/>
      <c r="K12" s="1401"/>
    </row>
    <row r="13" spans="1:11" ht="13.5" thickBot="1">
      <c r="A13" s="1400" t="s">
        <v>3258</v>
      </c>
      <c r="B13" s="1402"/>
      <c r="C13" s="1402" t="str">
        <f>IF(AND(includep1, includeprebc), "Bonescythe Ring", "")</f>
        <v>Bonescythe Ring</v>
      </c>
      <c r="D13" s="1402"/>
      <c r="E13" s="1402"/>
      <c r="F13" s="1402"/>
      <c r="G13" s="1402"/>
      <c r="H13" s="1402"/>
      <c r="I13" s="1402"/>
      <c r="J13" s="1402"/>
      <c r="K13" s="1403"/>
    </row>
    <row r="14" spans="1:11">
      <c r="A14" s="1399" t="s">
        <v>3259</v>
      </c>
      <c r="B14" s="768"/>
      <c r="C14" s="768"/>
      <c r="D14" s="768" t="str" cm="1">
        <f t="array" ref="D14">IF(SUMPRODUCT((TRIM(D$3:D$13)&lt;&gt;"")*1)&gt;=2, 26, "")</f>
        <v/>
      </c>
      <c r="E14" s="768"/>
      <c r="F14" s="768" cm="1">
        <f t="array" ref="F14">IF(SUMPRODUCT((TRIM(F$3:F$13)&lt;&gt;"")*1)&gt;=2, 30, "")</f>
        <v>30</v>
      </c>
      <c r="G14" s="768"/>
      <c r="H14" s="768" cm="1">
        <f t="array" ref="H14">IF(SUMPRODUCT((TRIM(H$3:H$13)&lt;&gt;"")*1)&gt;=2, 34, "")</f>
        <v>34</v>
      </c>
      <c r="I14" s="768" t="str" cm="1">
        <f t="array" ref="I14">IF(SUMPRODUCT((TRIM(I$3:I$13)&lt;&gt;"")*1)&gt;=2, 36, "")</f>
        <v/>
      </c>
      <c r="J14" s="768" t="str" cm="1">
        <f t="array" ref="J14">IF(SUMPRODUCT((TRIM(J$3:J$13)&lt;&gt;"")*1)&gt;=2, 38, "")</f>
        <v/>
      </c>
      <c r="K14" s="1332" t="str" cm="1">
        <f t="array" ref="K14">IF(SUMPRODUCT((TRIM(K$3:K$13)&lt;&gt;"")*1)&gt;=2, 39, "")</f>
        <v/>
      </c>
    </row>
    <row r="15" spans="1:11">
      <c r="A15" s="1399" t="s">
        <v>3260</v>
      </c>
      <c r="B15" s="768"/>
      <c r="C15" s="768"/>
      <c r="D15" s="768"/>
      <c r="E15" s="768"/>
      <c r="F15" s="768"/>
      <c r="G15" s="768" cm="1">
        <f t="array" ref="G15">IF(SUMPRODUCT((TRIM(G$3:G$13)&lt;&gt;"")*1)&gt;=3, 33, "")</f>
        <v>33</v>
      </c>
      <c r="H15" s="768"/>
      <c r="I15" s="768"/>
      <c r="J15" s="768"/>
      <c r="K15" s="1332"/>
    </row>
    <row r="16" spans="1:11">
      <c r="A16" s="1399" t="s">
        <v>3261</v>
      </c>
      <c r="B16" s="768" cm="1">
        <f t="array" ref="B16">IF(SUMPRODUCT((TRIM(B$3:B$13)&lt;&gt;"")*1)&gt;=4, 23, "")</f>
        <v>23</v>
      </c>
      <c r="C16" s="768" cm="1">
        <f t="array" ref="C16">IF(SUMPRODUCT((TRIM(C$3:C$13)&lt;&gt;"")*1)&gt;=4, 24, "")</f>
        <v>24</v>
      </c>
      <c r="D16" s="768" t="str" cm="1">
        <f t="array" ref="D16">IF(SUMPRODUCT((TRIM(D$3:D$13)&lt;&gt;"")*1)&gt;=4, 27, "")</f>
        <v/>
      </c>
      <c r="E16" s="768" cm="1">
        <f t="array" ref="E16">IF(SUMPRODUCT((TRIM(E$3:E$13)&lt;&gt;"")*1)&gt;=4, 29, "")</f>
        <v>29</v>
      </c>
      <c r="F16" s="768" cm="1">
        <f t="array" ref="F16">IF(SUMPRODUCT((TRIM(F$3:F$13)&lt;&gt;"")*1)&gt;=4, 31, "")</f>
        <v>31</v>
      </c>
      <c r="G16" s="768"/>
      <c r="H16" s="768" cm="1">
        <f t="array" ref="H16">IF(SUMPRODUCT((TRIM(H$3:H$13)&lt;&gt;"")*1)&gt;=4, 35, "")</f>
        <v>35</v>
      </c>
      <c r="I16" s="768" t="str" cm="1">
        <f t="array" ref="I16">IF(SUMPRODUCT((TRIM(I$3:I$13)&lt;&gt;"")*1)&gt;=4, 37, "")</f>
        <v/>
      </c>
      <c r="J16" s="768"/>
      <c r="K16" s="1332"/>
    </row>
    <row r="17" spans="1:11">
      <c r="A17" s="1399" t="s">
        <v>3262</v>
      </c>
      <c r="B17" s="768"/>
      <c r="C17" s="768"/>
      <c r="D17" s="768"/>
      <c r="E17" s="768"/>
      <c r="F17" s="768"/>
      <c r="G17" s="768"/>
      <c r="H17" s="768"/>
      <c r="I17" s="768"/>
      <c r="J17" s="768"/>
      <c r="K17" s="1332"/>
    </row>
    <row r="18" spans="1:11">
      <c r="A18" s="1399" t="s">
        <v>3263</v>
      </c>
      <c r="B18" s="768"/>
      <c r="C18" s="768"/>
      <c r="D18" s="768"/>
      <c r="E18" s="768"/>
      <c r="F18" s="768"/>
      <c r="G18" s="768"/>
      <c r="H18" s="768"/>
      <c r="I18" s="768"/>
      <c r="J18" s="768"/>
      <c r="K18" s="1332"/>
    </row>
    <row r="19" spans="1:11">
      <c r="A19" s="1399" t="s">
        <v>3264</v>
      </c>
      <c r="B19" s="768"/>
      <c r="C19" s="768"/>
      <c r="D19" s="768"/>
      <c r="E19" s="768"/>
      <c r="F19" s="768"/>
      <c r="G19" s="768"/>
      <c r="H19" s="768"/>
      <c r="I19" s="768"/>
      <c r="J19" s="768"/>
      <c r="K19" s="1332"/>
    </row>
    <row r="20" spans="1:11" ht="13.5" thickBot="1">
      <c r="A20" s="1400" t="s">
        <v>3265</v>
      </c>
      <c r="B20" s="857"/>
      <c r="C20" s="857" cm="1">
        <f t="array" ref="C20">IF(SUMPRODUCT((TRIM(C$3:C$13)&lt;&gt;"")*1)&gt;=8, 25, "")</f>
        <v>25</v>
      </c>
      <c r="D20" s="857"/>
      <c r="E20" s="857"/>
      <c r="F20" s="857"/>
      <c r="G20" s="857"/>
      <c r="H20" s="857"/>
      <c r="I20" s="857"/>
      <c r="J20" s="857"/>
      <c r="K20" s="858"/>
    </row>
    <row r="21" spans="1:11">
      <c r="A21" s="721"/>
      <c r="B21" s="768"/>
      <c r="C21" s="768"/>
      <c r="D21" s="768"/>
      <c r="E21" s="768"/>
      <c r="F21" s="768"/>
      <c r="G21" s="768"/>
      <c r="H21" s="768"/>
      <c r="I21" s="768"/>
      <c r="J21" s="768"/>
      <c r="K21" s="768"/>
    </row>
    <row r="22" spans="1:11">
      <c r="A22" s="721"/>
      <c r="B22" s="768"/>
      <c r="C22" s="768"/>
      <c r="D22" s="768"/>
      <c r="E22" s="768"/>
      <c r="F22" s="768"/>
      <c r="G22" s="768"/>
      <c r="H22" s="768"/>
      <c r="I22" s="768"/>
      <c r="J22" s="768"/>
      <c r="K22" s="768"/>
    </row>
    <row r="23" spans="1:11">
      <c r="A23" s="721"/>
      <c r="B23" s="768"/>
      <c r="C23" s="768"/>
      <c r="D23" s="768"/>
      <c r="E23" s="768"/>
      <c r="F23" s="768"/>
      <c r="G23" s="768"/>
      <c r="H23" s="768"/>
      <c r="I23" s="768"/>
      <c r="J23" s="768"/>
      <c r="K23" s="768"/>
    </row>
    <row r="24" spans="1:11">
      <c r="A24" s="721"/>
      <c r="B24" s="768"/>
      <c r="C24" s="768"/>
      <c r="D24" s="768"/>
      <c r="E24" s="768"/>
      <c r="F24" s="768"/>
      <c r="G24" s="768"/>
      <c r="H24" s="768"/>
      <c r="I24" s="768"/>
      <c r="J24" s="768"/>
      <c r="K24" s="768"/>
    </row>
    <row r="26" spans="1:11" ht="13.5" thickBot="1">
      <c r="B26" s="1404" t="s">
        <v>3034</v>
      </c>
      <c r="C26" s="1404" t="s">
        <v>1665</v>
      </c>
      <c r="D26" s="1404" t="s">
        <v>3271</v>
      </c>
      <c r="E26" s="1404" t="s">
        <v>3272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2430</v>
      </c>
      <c r="Q1" s="863" t="s">
        <v>2431</v>
      </c>
      <c r="R1" s="863" t="s">
        <v>2432</v>
      </c>
      <c r="S1" s="863" t="s">
        <v>1213</v>
      </c>
      <c r="T1" s="863" t="s">
        <v>1214</v>
      </c>
      <c r="U1" s="863" t="s">
        <v>1215</v>
      </c>
      <c r="V1" s="863" t="s">
        <v>2139</v>
      </c>
      <c r="W1" s="863" t="s">
        <v>2138</v>
      </c>
      <c r="X1" s="863" t="s">
        <v>767</v>
      </c>
      <c r="Y1" s="863" t="s">
        <v>264</v>
      </c>
      <c r="Z1" s="863" t="s">
        <v>2433</v>
      </c>
      <c r="AA1" s="863" t="s">
        <v>2429</v>
      </c>
      <c r="AB1" s="863" t="s">
        <v>2428</v>
      </c>
      <c r="AC1" s="863" t="s">
        <v>2427</v>
      </c>
      <c r="AD1" s="863" t="s">
        <v>2426</v>
      </c>
      <c r="AE1" s="864" t="s">
        <v>2434</v>
      </c>
      <c r="AG1" s="1334" t="s">
        <v>3086</v>
      </c>
      <c r="AH1" s="863" t="s">
        <v>766</v>
      </c>
      <c r="AI1" s="863" t="s">
        <v>764</v>
      </c>
      <c r="AJ1" s="863" t="s">
        <v>772</v>
      </c>
      <c r="AK1" s="863" t="s">
        <v>2139</v>
      </c>
      <c r="AL1" s="863" t="s">
        <v>2138</v>
      </c>
      <c r="AM1" s="863" t="s">
        <v>767</v>
      </c>
      <c r="AN1" s="863" t="s">
        <v>1216</v>
      </c>
      <c r="AO1" s="863" t="s">
        <v>2143</v>
      </c>
      <c r="AP1" s="863" t="s">
        <v>2429</v>
      </c>
      <c r="AQ1" s="863" t="s">
        <v>2428</v>
      </c>
      <c r="AR1" s="863" t="s">
        <v>2427</v>
      </c>
      <c r="AS1" s="863" t="s">
        <v>2426</v>
      </c>
      <c r="AT1" s="863" t="s">
        <v>1217</v>
      </c>
      <c r="AU1" s="864" t="s">
        <v>1218</v>
      </c>
    </row>
    <row r="2" spans="1:47">
      <c r="B2" s="120" t="s">
        <v>2435</v>
      </c>
      <c r="C2" s="120" t="s">
        <v>54</v>
      </c>
      <c r="D2" s="120" t="s">
        <v>55</v>
      </c>
      <c r="E2" s="120" t="s">
        <v>56</v>
      </c>
      <c r="AG2" s="1331" t="s">
        <v>1065</v>
      </c>
      <c r="AH2" s="768"/>
      <c r="AI2" s="768"/>
      <c r="AJ2" s="768"/>
      <c r="AK2" s="768"/>
      <c r="AL2" s="768"/>
      <c r="AM2" s="768">
        <v>4</v>
      </c>
      <c r="AN2" s="768"/>
      <c r="AO2" s="768"/>
      <c r="AP2" s="768"/>
      <c r="AQ2" s="768"/>
      <c r="AR2" s="768"/>
      <c r="AS2" s="768"/>
      <c r="AT2" s="768"/>
      <c r="AU2" s="1332"/>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1" t="s">
        <v>1464</v>
      </c>
      <c r="AH3" s="768"/>
      <c r="AI3" s="768"/>
      <c r="AJ3" s="768"/>
      <c r="AK3" s="768"/>
      <c r="AL3" s="768"/>
      <c r="AM3" s="768">
        <v>6</v>
      </c>
      <c r="AN3" s="768"/>
      <c r="AO3" s="768"/>
      <c r="AP3" s="768"/>
      <c r="AQ3" s="768"/>
      <c r="AR3" s="768"/>
      <c r="AS3" s="768"/>
      <c r="AT3" s="768"/>
      <c r="AU3" s="1332"/>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1" t="s">
        <v>1064</v>
      </c>
      <c r="AH4" s="768"/>
      <c r="AI4" s="768"/>
      <c r="AJ4" s="768"/>
      <c r="AK4" s="768"/>
      <c r="AL4" s="768"/>
      <c r="AM4" s="768">
        <v>8</v>
      </c>
      <c r="AN4" s="768"/>
      <c r="AO4" s="768"/>
      <c r="AP4" s="768"/>
      <c r="AQ4" s="768"/>
      <c r="AR4" s="768"/>
      <c r="AS4" s="768"/>
      <c r="AT4" s="768"/>
      <c r="AU4" s="1332"/>
    </row>
    <row r="5" spans="1:47">
      <c r="B5" s="120">
        <f>'Gear &amp; Buffs'!R14</f>
        <v>0</v>
      </c>
      <c r="C5" s="217" t="b">
        <f>MID(B5,1,1)="1"</f>
        <v>0</v>
      </c>
      <c r="D5" s="217" t="b">
        <f>MID(B5,3,1)="1"</f>
        <v>0</v>
      </c>
      <c r="E5" s="217" t="b">
        <f>MID(B5,5,1)="1"</f>
        <v>0</v>
      </c>
      <c r="G5" s="120">
        <f>IF($D3=1, OR(AND(MID($C3,1,1)="R", $C4), AND(MID($C3,1,1)="Y", $D4), AND(MID($C3,1,1)="B", $E4)),0)</f>
        <v>0</v>
      </c>
      <c r="N5" s="120" t="b">
        <f>OR(G5)</f>
        <v>0</v>
      </c>
      <c r="AG5" s="1331" t="s">
        <v>13</v>
      </c>
      <c r="AH5" s="768"/>
      <c r="AI5" s="768"/>
      <c r="AJ5" s="768"/>
      <c r="AK5" s="768"/>
      <c r="AL5" s="768"/>
      <c r="AM5" s="768"/>
      <c r="AN5" s="768"/>
      <c r="AO5" s="768"/>
      <c r="AP5" s="768"/>
      <c r="AQ5" s="768"/>
      <c r="AR5" s="768"/>
      <c r="AS5" s="768"/>
      <c r="AT5" s="768">
        <v>4</v>
      </c>
      <c r="AU5" s="1332"/>
    </row>
    <row r="6" spans="1:47">
      <c r="B6" s="120">
        <f>'Gear &amp; Buffs'!R15</f>
        <v>0</v>
      </c>
      <c r="C6" s="217" t="b">
        <f>MID(B6,1,1)="1"</f>
        <v>0</v>
      </c>
      <c r="D6" s="217" t="b">
        <f>MID(B6,3,1)="1"</f>
        <v>0</v>
      </c>
      <c r="E6" s="217" t="b">
        <f>MID(B6,5,1)="1"</f>
        <v>0</v>
      </c>
      <c r="AG6" s="1331" t="s">
        <v>1021</v>
      </c>
      <c r="AH6" s="768"/>
      <c r="AI6" s="768"/>
      <c r="AJ6" s="768"/>
      <c r="AK6" s="768"/>
      <c r="AL6" s="768">
        <v>2</v>
      </c>
      <c r="AM6" s="768"/>
      <c r="AN6" s="768"/>
      <c r="AO6" s="768"/>
      <c r="AP6" s="768"/>
      <c r="AQ6" s="768"/>
      <c r="AR6" s="768"/>
      <c r="AS6" s="768"/>
      <c r="AT6" s="768"/>
      <c r="AU6" s="1332"/>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1" t="s">
        <v>1446</v>
      </c>
      <c r="AH7" s="768"/>
      <c r="AI7" s="768"/>
      <c r="AJ7" s="768"/>
      <c r="AK7" s="768"/>
      <c r="AL7" s="768">
        <v>3</v>
      </c>
      <c r="AM7" s="768"/>
      <c r="AN7" s="768"/>
      <c r="AO7" s="768"/>
      <c r="AP7" s="768"/>
      <c r="AQ7" s="768"/>
      <c r="AR7" s="768"/>
      <c r="AS7" s="768"/>
      <c r="AT7" s="768"/>
      <c r="AU7" s="1332"/>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1" t="s">
        <v>2019</v>
      </c>
      <c r="AH8" s="768"/>
      <c r="AI8" s="768"/>
      <c r="AJ8" s="768"/>
      <c r="AK8" s="768"/>
      <c r="AL8" s="768">
        <v>4</v>
      </c>
      <c r="AM8" s="768"/>
      <c r="AN8" s="768"/>
      <c r="AO8" s="768"/>
      <c r="AP8" s="768"/>
      <c r="AQ8" s="768"/>
      <c r="AR8" s="768"/>
      <c r="AS8" s="768"/>
      <c r="AT8" s="768"/>
      <c r="AU8" s="1332"/>
    </row>
    <row r="9" spans="1:47">
      <c r="B9" s="120">
        <f>'Gear &amp; Buffs'!R20</f>
        <v>0</v>
      </c>
      <c r="C9" s="217" t="b">
        <f>MID(B9,1,1)="1"</f>
        <v>0</v>
      </c>
      <c r="D9" s="217" t="b">
        <f>MID(B9,3,1)="1"</f>
        <v>0</v>
      </c>
      <c r="E9" s="217" t="b">
        <f>MID(B9,5,1)="1"</f>
        <v>0</v>
      </c>
      <c r="G9" s="120">
        <f>IF($D7=1, OR(AND(MID($C7,1,1)="R", $C8), AND(MID($C7,1,1)="Y", $D8), AND(MID($C7,1,1)="B", $E8)),0)</f>
        <v>0</v>
      </c>
      <c r="N9" s="120" t="b">
        <f>OR(G9)</f>
        <v>0</v>
      </c>
      <c r="AG9" s="1331" t="s">
        <v>1462</v>
      </c>
      <c r="AH9" s="768"/>
      <c r="AI9" s="768">
        <v>2</v>
      </c>
      <c r="AJ9" s="768"/>
      <c r="AK9" s="768"/>
      <c r="AL9" s="768"/>
      <c r="AM9" s="768"/>
      <c r="AN9" s="768"/>
      <c r="AO9" s="768"/>
      <c r="AP9" s="768"/>
      <c r="AQ9" s="768"/>
      <c r="AR9" s="768"/>
      <c r="AS9" s="768"/>
      <c r="AT9" s="768"/>
      <c r="AU9" s="1332"/>
    </row>
    <row r="10" spans="1:47">
      <c r="B10" s="120">
        <f>'Gear &amp; Buffs'!R21</f>
        <v>0</v>
      </c>
      <c r="C10" s="217" t="b">
        <f>MID(B10,1,1)="1"</f>
        <v>0</v>
      </c>
      <c r="D10" s="217" t="b">
        <f>MID(B10,3,1)="1"</f>
        <v>0</v>
      </c>
      <c r="E10" s="217" t="b">
        <f>MID(B10,5,1)="1"</f>
        <v>0</v>
      </c>
      <c r="AG10" s="1331" t="s">
        <v>22</v>
      </c>
      <c r="AH10" s="768"/>
      <c r="AI10" s="768">
        <v>3</v>
      </c>
      <c r="AJ10" s="768"/>
      <c r="AK10" s="768"/>
      <c r="AL10" s="768"/>
      <c r="AM10" s="768"/>
      <c r="AN10" s="768"/>
      <c r="AO10" s="768"/>
      <c r="AP10" s="768"/>
      <c r="AQ10" s="768"/>
      <c r="AR10" s="768"/>
      <c r="AS10" s="768"/>
      <c r="AT10" s="768"/>
      <c r="AU10" s="1332"/>
    </row>
    <row r="11" spans="1:47">
      <c r="A11" s="142" t="s">
        <v>460</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1" t="s">
        <v>1055</v>
      </c>
      <c r="AH11" s="768"/>
      <c r="AI11" s="768">
        <v>4</v>
      </c>
      <c r="AJ11" s="768"/>
      <c r="AK11" s="768"/>
      <c r="AL11" s="768"/>
      <c r="AM11" s="768"/>
      <c r="AN11" s="768"/>
      <c r="AO11" s="768"/>
      <c r="AP11" s="768"/>
      <c r="AQ11" s="768"/>
      <c r="AR11" s="768"/>
      <c r="AS11" s="768"/>
      <c r="AT11" s="768"/>
      <c r="AU11" s="1332"/>
    </row>
    <row r="12" spans="1:47">
      <c r="A12" s="142" t="s">
        <v>2436</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1" t="s">
        <v>1472</v>
      </c>
      <c r="AH12" s="768"/>
      <c r="AI12" s="768"/>
      <c r="AJ12" s="768"/>
      <c r="AK12" s="768">
        <v>2</v>
      </c>
      <c r="AL12" s="768"/>
      <c r="AM12" s="768"/>
      <c r="AN12" s="768"/>
      <c r="AO12" s="768"/>
      <c r="AP12" s="768"/>
      <c r="AQ12" s="768"/>
      <c r="AR12" s="768"/>
      <c r="AS12" s="768"/>
      <c r="AT12" s="768"/>
      <c r="AU12" s="1332"/>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1" t="s">
        <v>1448</v>
      </c>
      <c r="AH13" s="768"/>
      <c r="AI13" s="768"/>
      <c r="AJ13" s="768"/>
      <c r="AK13" s="768">
        <v>3</v>
      </c>
      <c r="AL13" s="768"/>
      <c r="AM13" s="768"/>
      <c r="AN13" s="768"/>
      <c r="AO13" s="768"/>
      <c r="AP13" s="768"/>
      <c r="AQ13" s="768"/>
      <c r="AR13" s="768"/>
      <c r="AS13" s="768"/>
      <c r="AT13" s="768"/>
      <c r="AU13" s="1332"/>
    </row>
    <row r="14" spans="1:47">
      <c r="B14" s="120">
        <f>'Gear &amp; Buffs'!R30</f>
        <v>0</v>
      </c>
      <c r="C14" s="217" t="b">
        <f>MID(B14,1,1)="1"</f>
        <v>0</v>
      </c>
      <c r="D14" s="217" t="b">
        <f>MID(B14,3,1)="1"</f>
        <v>0</v>
      </c>
      <c r="E14" s="217" t="b">
        <f>MID(B14,5,1)="1"</f>
        <v>0</v>
      </c>
      <c r="AG14" s="1331" t="s">
        <v>816</v>
      </c>
      <c r="AH14" s="768"/>
      <c r="AI14" s="768"/>
      <c r="AJ14" s="768"/>
      <c r="AK14" s="768">
        <v>4</v>
      </c>
      <c r="AL14" s="768"/>
      <c r="AM14" s="768"/>
      <c r="AN14" s="768"/>
      <c r="AO14" s="768"/>
      <c r="AP14" s="768"/>
      <c r="AQ14" s="768"/>
      <c r="AR14" s="768"/>
      <c r="AS14" s="768"/>
      <c r="AT14" s="768"/>
      <c r="AU14" s="1332"/>
    </row>
    <row r="15" spans="1:47">
      <c r="B15" s="120">
        <f>'Gear &amp; Buffs'!R31</f>
        <v>0</v>
      </c>
      <c r="C15" s="217" t="b">
        <f>MID(B15,1,1)="1"</f>
        <v>0</v>
      </c>
      <c r="D15" s="217" t="b">
        <f>MID(B15,3,1)="1"</f>
        <v>0</v>
      </c>
      <c r="E15" s="217" t="b">
        <f>MID(B15,5,1)="1"</f>
        <v>0</v>
      </c>
      <c r="AG15" s="1331" t="s">
        <v>2425</v>
      </c>
      <c r="AH15" s="768">
        <v>2</v>
      </c>
      <c r="AI15" s="768"/>
      <c r="AJ15" s="768"/>
      <c r="AK15" s="768"/>
      <c r="AL15" s="768"/>
      <c r="AM15" s="768"/>
      <c r="AN15" s="768"/>
      <c r="AO15" s="768"/>
      <c r="AP15" s="768"/>
      <c r="AQ15" s="768"/>
      <c r="AR15" s="768"/>
      <c r="AS15" s="768"/>
      <c r="AT15" s="768"/>
      <c r="AU15" s="1332"/>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1" t="s">
        <v>2424</v>
      </c>
      <c r="AH16" s="768">
        <v>4</v>
      </c>
      <c r="AI16" s="768"/>
      <c r="AJ16" s="768"/>
      <c r="AK16" s="768"/>
      <c r="AL16" s="768"/>
      <c r="AM16" s="768"/>
      <c r="AN16" s="768"/>
      <c r="AO16" s="768"/>
      <c r="AP16" s="768"/>
      <c r="AQ16" s="768"/>
      <c r="AR16" s="768"/>
      <c r="AS16" s="768"/>
      <c r="AT16" s="768"/>
      <c r="AU16" s="1332"/>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1" t="s">
        <v>1337</v>
      </c>
      <c r="AH17" s="768"/>
      <c r="AI17" s="768"/>
      <c r="AJ17" s="768">
        <v>3</v>
      </c>
      <c r="AK17" s="768"/>
      <c r="AL17" s="768"/>
      <c r="AM17" s="768"/>
      <c r="AN17" s="768"/>
      <c r="AO17" s="768"/>
      <c r="AP17" s="768"/>
      <c r="AQ17" s="768"/>
      <c r="AR17" s="768"/>
      <c r="AS17" s="768"/>
      <c r="AT17" s="768"/>
      <c r="AU17" s="1332"/>
    </row>
    <row r="18" spans="1:47">
      <c r="B18" s="120">
        <f>'Gear &amp; Buffs'!R34</f>
        <v>0</v>
      </c>
      <c r="C18" s="217" t="b">
        <f>MID(B18,1,1)="1"</f>
        <v>0</v>
      </c>
      <c r="D18" s="217" t="b">
        <f>MID(B18,3,1)="1"</f>
        <v>0</v>
      </c>
      <c r="E18" s="217" t="b">
        <f>MID(B18,5,1)="1"</f>
        <v>0</v>
      </c>
      <c r="AG18" s="1331" t="s">
        <v>1458</v>
      </c>
      <c r="AH18" s="768"/>
      <c r="AI18" s="768"/>
      <c r="AJ18" s="768">
        <v>4</v>
      </c>
      <c r="AK18" s="768"/>
      <c r="AL18" s="768"/>
      <c r="AM18" s="768"/>
      <c r="AN18" s="768"/>
      <c r="AO18" s="768"/>
      <c r="AP18" s="768"/>
      <c r="AQ18" s="768"/>
      <c r="AR18" s="768"/>
      <c r="AS18" s="768"/>
      <c r="AT18" s="768"/>
      <c r="AU18" s="1332"/>
    </row>
    <row r="19" spans="1:47">
      <c r="A19" s="142" t="s">
        <v>659</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1" t="s">
        <v>1051</v>
      </c>
      <c r="AH19" s="768"/>
      <c r="AI19" s="768"/>
      <c r="AJ19" s="768">
        <v>6</v>
      </c>
      <c r="AK19" s="768"/>
      <c r="AL19" s="768"/>
      <c r="AM19" s="768"/>
      <c r="AN19" s="768"/>
      <c r="AO19" s="768"/>
      <c r="AP19" s="768"/>
      <c r="AQ19" s="768"/>
      <c r="AR19" s="768"/>
      <c r="AS19" s="768"/>
      <c r="AT19" s="768"/>
      <c r="AU19" s="1332"/>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1" t="s">
        <v>1069</v>
      </c>
      <c r="AH20" s="768"/>
      <c r="AI20" s="768"/>
      <c r="AJ20" s="768"/>
      <c r="AK20" s="768"/>
      <c r="AL20" s="768"/>
      <c r="AM20" s="768"/>
      <c r="AN20" s="768">
        <v>2</v>
      </c>
      <c r="AO20" s="768"/>
      <c r="AP20" s="768"/>
      <c r="AQ20" s="768"/>
      <c r="AR20" s="768"/>
      <c r="AS20" s="768"/>
      <c r="AT20" s="768"/>
      <c r="AU20" s="1332"/>
    </row>
    <row r="21" spans="1:47">
      <c r="B21" s="120" t="str">
        <f>'Gear &amp; Buffs'!R38</f>
        <v>0 0 1</v>
      </c>
      <c r="C21" s="217" t="b">
        <f>MID(B21,1,1)="1"</f>
        <v>0</v>
      </c>
      <c r="D21" s="217" t="b">
        <f>MID(B21,3,1)="1"</f>
        <v>0</v>
      </c>
      <c r="E21" s="217" t="b">
        <f>MID(B21,5,1)="1"</f>
        <v>1</v>
      </c>
      <c r="G21" s="120">
        <f>IF($D19=1, OR(AND(MID($C19,1,1)="R", $C20), AND(MID($C19,1,1)="Y", $D20), AND(MID($C19,1,1)="B", $E20)),0)</f>
        <v>0</v>
      </c>
      <c r="AG21" s="1331" t="s">
        <v>1451</v>
      </c>
      <c r="AH21" s="768"/>
      <c r="AI21" s="768"/>
      <c r="AJ21" s="768"/>
      <c r="AK21" s="768"/>
      <c r="AL21" s="768"/>
      <c r="AM21" s="768"/>
      <c r="AN21" s="768">
        <v>3</v>
      </c>
      <c r="AO21" s="768"/>
      <c r="AP21" s="768"/>
      <c r="AQ21" s="768"/>
      <c r="AR21" s="768"/>
      <c r="AS21" s="768"/>
      <c r="AT21" s="768"/>
      <c r="AU21" s="1332"/>
    </row>
    <row r="22" spans="1:47">
      <c r="A22" s="142" t="s">
        <v>1123</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1" t="s">
        <v>1068</v>
      </c>
      <c r="AH22" s="768"/>
      <c r="AI22" s="768"/>
      <c r="AJ22" s="768"/>
      <c r="AK22" s="768"/>
      <c r="AL22" s="768"/>
      <c r="AM22" s="768"/>
      <c r="AN22" s="768">
        <v>4</v>
      </c>
      <c r="AO22" s="768"/>
      <c r="AP22" s="768"/>
      <c r="AQ22" s="768"/>
      <c r="AR22" s="768"/>
      <c r="AS22" s="768"/>
      <c r="AT22" s="768"/>
      <c r="AU22" s="1332"/>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1" t="s">
        <v>1302</v>
      </c>
      <c r="AH23" s="768"/>
      <c r="AI23" s="768"/>
      <c r="AJ23" s="768"/>
      <c r="AK23" s="768"/>
      <c r="AL23" s="768"/>
      <c r="AM23" s="768"/>
      <c r="AN23" s="768"/>
      <c r="AO23" s="768">
        <v>2</v>
      </c>
      <c r="AP23" s="768"/>
      <c r="AQ23" s="768"/>
      <c r="AR23" s="768"/>
      <c r="AS23" s="768"/>
      <c r="AT23" s="768"/>
      <c r="AU23" s="1332"/>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1" t="s">
        <v>1454</v>
      </c>
      <c r="AH24" s="768"/>
      <c r="AI24" s="768"/>
      <c r="AJ24" s="768"/>
      <c r="AK24" s="768"/>
      <c r="AL24" s="768"/>
      <c r="AM24" s="768"/>
      <c r="AN24" s="768"/>
      <c r="AO24" s="768">
        <v>3</v>
      </c>
      <c r="AP24" s="768"/>
      <c r="AQ24" s="768"/>
      <c r="AR24" s="768"/>
      <c r="AS24" s="768"/>
      <c r="AT24" s="768"/>
      <c r="AU24" s="1332"/>
    </row>
    <row r="25" spans="1:47">
      <c r="B25" s="120" t="str">
        <f>'Gear &amp; Buffs'!R46</f>
        <v>1 0 1</v>
      </c>
      <c r="C25" s="217" t="b">
        <f>MID(B25,1,1)="1"</f>
        <v>1</v>
      </c>
      <c r="D25" s="217" t="b">
        <f>MID(B25,3,1)="1"</f>
        <v>0</v>
      </c>
      <c r="E25" s="217" t="b">
        <f>MID(B25,5,1)="1"</f>
        <v>1</v>
      </c>
      <c r="AG25" s="1331" t="s">
        <v>1071</v>
      </c>
      <c r="AH25" s="768"/>
      <c r="AI25" s="768"/>
      <c r="AJ25" s="768"/>
      <c r="AK25" s="768"/>
      <c r="AL25" s="768"/>
      <c r="AM25" s="768"/>
      <c r="AN25" s="768"/>
      <c r="AO25" s="768">
        <v>4</v>
      </c>
      <c r="AP25" s="768"/>
      <c r="AQ25" s="768"/>
      <c r="AR25" s="768"/>
      <c r="AS25" s="768"/>
      <c r="AT25" s="768"/>
      <c r="AU25" s="1332"/>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1"/>
      <c r="AH26" s="768"/>
      <c r="AI26" s="768"/>
      <c r="AJ26" s="768"/>
      <c r="AK26" s="768"/>
      <c r="AL26" s="768"/>
      <c r="AM26" s="768"/>
      <c r="AN26" s="768"/>
      <c r="AO26" s="768"/>
      <c r="AP26" s="768"/>
      <c r="AQ26" s="768"/>
      <c r="AR26" s="768"/>
      <c r="AS26" s="768"/>
      <c r="AT26" s="768"/>
      <c r="AU26" s="1332"/>
    </row>
    <row r="27" spans="1:47">
      <c r="B27" s="120" t="str">
        <f>'Gear &amp; Buffs'!R49</f>
        <v>0 0 1</v>
      </c>
      <c r="C27" s="217" t="b">
        <f>MID(B27,1,1)="1"</f>
        <v>0</v>
      </c>
      <c r="D27" s="217" t="b">
        <f>MID(B27,3,1)="1"</f>
        <v>0</v>
      </c>
      <c r="E27" s="217" t="b">
        <f>MID(B27,5,1)="1"</f>
        <v>1</v>
      </c>
      <c r="AG27" s="1331">
        <v>0</v>
      </c>
      <c r="AH27" s="768"/>
      <c r="AI27" s="768"/>
      <c r="AJ27" s="768"/>
      <c r="AK27" s="768"/>
      <c r="AL27" s="768"/>
      <c r="AM27" s="768"/>
      <c r="AN27" s="768"/>
      <c r="AO27" s="768"/>
      <c r="AP27" s="768"/>
      <c r="AQ27" s="768"/>
      <c r="AR27" s="768"/>
      <c r="AS27" s="768"/>
      <c r="AT27" s="768"/>
      <c r="AU27" s="1332"/>
    </row>
    <row r="28" spans="1:47" ht="12" thickBot="1">
      <c r="A28" s="142" t="s">
        <v>2074</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3" t="s">
        <v>1688</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2437</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2079</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2438</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1116</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2207</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1213</v>
      </c>
      <c r="T47" s="860" t="s">
        <v>1214</v>
      </c>
      <c r="U47" s="860" t="s">
        <v>1215</v>
      </c>
      <c r="V47" s="860" t="s">
        <v>2139</v>
      </c>
      <c r="W47" s="860" t="s">
        <v>2138</v>
      </c>
      <c r="X47" s="860" t="s">
        <v>767</v>
      </c>
      <c r="Y47" s="860" t="s">
        <v>264</v>
      </c>
      <c r="Z47" s="860" t="s">
        <v>2433</v>
      </c>
      <c r="AA47" s="860" t="s">
        <v>2429</v>
      </c>
      <c r="AB47" s="860" t="s">
        <v>2428</v>
      </c>
      <c r="AC47" s="860" t="s">
        <v>2427</v>
      </c>
      <c r="AD47" s="860" t="s">
        <v>2426</v>
      </c>
      <c r="AE47" s="861" t="s">
        <v>2434</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2439</v>
      </c>
      <c r="C55" s="142"/>
    </row>
    <row r="56" spans="2:3">
      <c r="B56" s="120" t="s">
        <v>2440</v>
      </c>
      <c r="C56" s="142" t="s">
        <v>1361</v>
      </c>
    </row>
    <row r="57" spans="2:3">
      <c r="B57" s="120" t="s">
        <v>2441</v>
      </c>
      <c r="C57" s="142" t="s">
        <v>1360</v>
      </c>
    </row>
    <row r="58" spans="2:3">
      <c r="B58" s="120" t="s">
        <v>1753</v>
      </c>
      <c r="C58" s="142" t="s">
        <v>2442</v>
      </c>
    </row>
    <row r="59" spans="2:3">
      <c r="B59" s="120" t="s">
        <v>2443</v>
      </c>
      <c r="C59" s="142" t="s">
        <v>2444</v>
      </c>
    </row>
    <row r="60" spans="2:3">
      <c r="B60" s="120" t="s">
        <v>2445</v>
      </c>
      <c r="C60" s="142" t="s">
        <v>2446</v>
      </c>
    </row>
    <row r="61" spans="2:3">
      <c r="B61" s="120" t="s">
        <v>2447</v>
      </c>
      <c r="C61" s="142" t="s">
        <v>2448</v>
      </c>
    </row>
    <row r="62" spans="2:3">
      <c r="B62" s="120" t="s">
        <v>2449</v>
      </c>
      <c r="C62" s="142" t="s">
        <v>2450</v>
      </c>
    </row>
    <row r="63" spans="2:3">
      <c r="B63" s="120" t="s">
        <v>2451</v>
      </c>
      <c r="C63" s="142" t="s">
        <v>785</v>
      </c>
    </row>
    <row r="64" spans="2:3">
      <c r="B64" s="120" t="s">
        <v>2452</v>
      </c>
      <c r="C64" s="142" t="s">
        <v>2453</v>
      </c>
    </row>
    <row r="65" spans="2:3">
      <c r="B65" s="120" t="s">
        <v>2454</v>
      </c>
      <c r="C65" s="142" t="s">
        <v>2455</v>
      </c>
    </row>
    <row r="66" spans="2:3">
      <c r="B66" s="120" t="s">
        <v>2456</v>
      </c>
      <c r="C66" s="142" t="s">
        <v>2457</v>
      </c>
    </row>
    <row r="67" spans="2:3">
      <c r="B67" s="120" t="s">
        <v>2458</v>
      </c>
      <c r="C67" s="142" t="s">
        <v>2459</v>
      </c>
    </row>
    <row r="68" spans="2:3">
      <c r="B68" s="120" t="s">
        <v>2460</v>
      </c>
      <c r="C68" s="142" t="s">
        <v>1217</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topLeftCell="A58" workbookViewId="0">
      <selection activeCell="AA4" sqref="AA4:AA105"/>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1933</v>
      </c>
      <c r="C1" s="699" t="s">
        <v>2795</v>
      </c>
      <c r="D1" s="699" t="s">
        <v>1213</v>
      </c>
      <c r="E1" s="699" t="s">
        <v>1214</v>
      </c>
      <c r="F1" s="699" t="s">
        <v>767</v>
      </c>
      <c r="G1" s="699" t="s">
        <v>2139</v>
      </c>
      <c r="H1" s="699" t="s">
        <v>2138</v>
      </c>
      <c r="I1" s="699" t="s">
        <v>770</v>
      </c>
      <c r="J1" s="699" t="s">
        <v>1218</v>
      </c>
      <c r="K1" s="699" t="s">
        <v>759</v>
      </c>
      <c r="L1" s="699" t="s">
        <v>1215</v>
      </c>
      <c r="M1" s="699" t="s">
        <v>264</v>
      </c>
      <c r="N1" s="699" t="s">
        <v>1216</v>
      </c>
      <c r="O1" s="699" t="s">
        <v>1286</v>
      </c>
      <c r="P1" s="699" t="s">
        <v>1045</v>
      </c>
      <c r="Q1" s="703" t="s">
        <v>1046</v>
      </c>
      <c r="R1" s="699" t="s">
        <v>265</v>
      </c>
      <c r="S1" s="699" t="s">
        <v>665</v>
      </c>
      <c r="T1" s="699" t="s">
        <v>727</v>
      </c>
      <c r="U1" s="699" t="s">
        <v>796</v>
      </c>
      <c r="V1" s="699" t="s">
        <v>53</v>
      </c>
      <c r="W1" s="699">
        <v>0</v>
      </c>
      <c r="X1" s="699" t="s">
        <v>1692</v>
      </c>
      <c r="Y1" s="699" t="s">
        <v>807</v>
      </c>
      <c r="Z1" s="699" t="s">
        <v>920</v>
      </c>
      <c r="AA1" s="699"/>
      <c r="AB1" s="699" t="s">
        <v>800</v>
      </c>
    </row>
    <row r="2" spans="1:32">
      <c r="A2" s="10" t="s">
        <v>2206</v>
      </c>
      <c r="B2" s="114"/>
      <c r="C2" s="114"/>
      <c r="D2" s="114"/>
      <c r="E2" s="114"/>
      <c r="F2" s="114"/>
      <c r="G2" s="114"/>
      <c r="H2" s="114"/>
      <c r="I2" s="114"/>
      <c r="K2" s="114"/>
      <c r="L2" s="114"/>
      <c r="M2" s="114"/>
      <c r="N2" s="114"/>
      <c r="O2" s="114"/>
      <c r="P2" s="114"/>
      <c r="Q2" s="114" t="s">
        <v>1032</v>
      </c>
      <c r="R2" s="250">
        <f>$D2*dpsStr+$E2*dpsAgi+$G2*dpsCrit+$H2*dpsHit+$F2*dpsAP+$I2*dpsHaste+$J2*dpsArmor+$K2*dpsExp</f>
        <v>0</v>
      </c>
      <c r="W2" s="869"/>
      <c r="AA2" s="737"/>
      <c r="AB2" s="713" t="s">
        <v>1688</v>
      </c>
      <c r="AC2" s="1390"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1032</v>
      </c>
      <c r="R3" s="250">
        <f t="shared" ref="R3:R93" si="0">$D3*dpsStr+$E3*dpsAgi+$G3*dpsCrit+$H3*dpsHit+$F3*dpsAP+$I3*dpsHaste+$J3*dpsArmor+$K3*dpsExp</f>
        <v>0</v>
      </c>
      <c r="W3" s="869"/>
      <c r="AA3" s="737"/>
      <c r="AB3" s="713" t="str">
        <f>" "</f>
        <v xml:space="preserve"> </v>
      </c>
      <c r="AC3" s="1390" t="str">
        <f t="shared" ref="AC3:AC66" si="1">HYPERLINK("https://tbc.wowhead.com/item="&amp;B3,A3)</f>
        <v xml:space="preserve"> </v>
      </c>
    </row>
    <row r="4" spans="1:32">
      <c r="A4" s="251" t="s">
        <v>1033</v>
      </c>
      <c r="B4" s="252"/>
      <c r="C4" s="252">
        <v>1</v>
      </c>
      <c r="D4" s="252"/>
      <c r="E4" s="252"/>
      <c r="F4" s="252"/>
      <c r="G4" s="252"/>
      <c r="H4" s="252"/>
      <c r="I4" s="252"/>
      <c r="J4" s="253"/>
      <c r="K4" s="252"/>
      <c r="L4" s="252"/>
      <c r="M4" s="252"/>
      <c r="N4" s="252"/>
      <c r="O4" s="252"/>
      <c r="P4" s="252"/>
      <c r="Q4" s="252" t="s">
        <v>1034</v>
      </c>
      <c r="R4" s="254">
        <f t="shared" si="0"/>
        <v>0</v>
      </c>
      <c r="S4" s="252" t="s">
        <v>1688</v>
      </c>
      <c r="T4" s="252"/>
      <c r="U4" s="357" t="s">
        <v>1688</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0" t="str">
        <f t="shared" si="1"/>
        <v>(Red Gems)</v>
      </c>
      <c r="AF4" s="198"/>
    </row>
    <row r="5" spans="1:32">
      <c r="A5" s="251" t="s">
        <v>1693</v>
      </c>
      <c r="B5" s="252">
        <v>28362</v>
      </c>
      <c r="C5" s="252">
        <v>1</v>
      </c>
      <c r="D5" s="252"/>
      <c r="E5" s="252"/>
      <c r="F5" s="252">
        <v>20</v>
      </c>
      <c r="G5" s="252"/>
      <c r="H5" s="252"/>
      <c r="I5" s="252"/>
      <c r="J5" s="253"/>
      <c r="K5" s="252"/>
      <c r="L5" s="252"/>
      <c r="M5" s="252"/>
      <c r="N5" s="252"/>
      <c r="O5" s="252"/>
      <c r="P5" s="252"/>
      <c r="Q5" s="252" t="s">
        <v>1034</v>
      </c>
      <c r="R5" s="254">
        <f t="shared" si="0"/>
        <v>7.1466005171032521</v>
      </c>
      <c r="S5" s="252" t="s">
        <v>676</v>
      </c>
      <c r="T5" s="252" t="s">
        <v>727</v>
      </c>
      <c r="U5" s="260" t="s">
        <v>797</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0" t="str">
        <f t="shared" si="1"/>
        <v>Bold Ornate Ruby (20ap)</v>
      </c>
      <c r="AF5" s="198"/>
    </row>
    <row r="6" spans="1:32">
      <c r="A6" s="251" t="s">
        <v>1694</v>
      </c>
      <c r="B6" s="252">
        <v>28595</v>
      </c>
      <c r="C6" s="252">
        <v>1</v>
      </c>
      <c r="D6" s="252"/>
      <c r="E6" s="252"/>
      <c r="F6" s="252">
        <v>12</v>
      </c>
      <c r="G6" s="252"/>
      <c r="H6" s="252"/>
      <c r="I6" s="252"/>
      <c r="J6" s="253"/>
      <c r="K6" s="252"/>
      <c r="L6" s="252"/>
      <c r="M6" s="252"/>
      <c r="N6" s="252"/>
      <c r="O6" s="252"/>
      <c r="P6" s="252"/>
      <c r="Q6" s="252" t="s">
        <v>1034</v>
      </c>
      <c r="R6" s="254">
        <f t="shared" si="0"/>
        <v>4.2879603102619512</v>
      </c>
      <c r="S6" s="252" t="s">
        <v>673</v>
      </c>
      <c r="T6" s="252"/>
      <c r="U6" s="323" t="s">
        <v>799</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0" t="str">
        <f t="shared" si="1"/>
        <v>Bright Blood Garnet (12ap)</v>
      </c>
      <c r="AF6" s="198"/>
    </row>
    <row r="7" spans="1:32">
      <c r="A7" s="251" t="s">
        <v>1695</v>
      </c>
      <c r="B7" s="252">
        <v>32197</v>
      </c>
      <c r="C7" s="252">
        <v>3</v>
      </c>
      <c r="D7" s="252"/>
      <c r="E7" s="252"/>
      <c r="F7" s="252">
        <v>20</v>
      </c>
      <c r="G7" s="252"/>
      <c r="H7" s="252"/>
      <c r="I7" s="252"/>
      <c r="J7" s="253"/>
      <c r="K7" s="252"/>
      <c r="L7" s="252"/>
      <c r="M7" s="252"/>
      <c r="N7" s="252"/>
      <c r="O7" s="252"/>
      <c r="P7" s="252"/>
      <c r="Q7" s="252" t="s">
        <v>1034</v>
      </c>
      <c r="R7" s="254">
        <f t="shared" si="0"/>
        <v>7.1466005171032521</v>
      </c>
      <c r="S7" s="252" t="s">
        <v>673</v>
      </c>
      <c r="T7" s="252"/>
      <c r="U7" s="260" t="s">
        <v>797</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0" t="str">
        <f t="shared" si="1"/>
        <v>Bright Crimson Spinel (20ap)</v>
      </c>
    </row>
    <row r="8" spans="1:32">
      <c r="A8" s="251" t="s">
        <v>808</v>
      </c>
      <c r="B8" s="252">
        <v>35487</v>
      </c>
      <c r="C8" s="252">
        <v>5</v>
      </c>
      <c r="D8" s="252"/>
      <c r="E8" s="252"/>
      <c r="F8" s="252">
        <v>20</v>
      </c>
      <c r="G8" s="252"/>
      <c r="H8" s="252"/>
      <c r="I8" s="252"/>
      <c r="J8" s="253"/>
      <c r="K8" s="252"/>
      <c r="L8" s="252"/>
      <c r="M8" s="252"/>
      <c r="N8" s="252"/>
      <c r="O8" s="252"/>
      <c r="P8" s="252"/>
      <c r="Q8" s="252" t="s">
        <v>1034</v>
      </c>
      <c r="R8" s="254">
        <f t="shared" si="0"/>
        <v>7.1466005171032521</v>
      </c>
      <c r="S8" s="252" t="s">
        <v>674</v>
      </c>
      <c r="T8" s="252"/>
      <c r="U8" s="260" t="s">
        <v>797</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0" t="str">
        <f t="shared" si="1"/>
        <v>Bright Crimson Spinel (20ap) [Quest]</v>
      </c>
    </row>
    <row r="9" spans="1:32">
      <c r="A9" s="251" t="s">
        <v>1696</v>
      </c>
      <c r="B9" s="252">
        <v>24031</v>
      </c>
      <c r="C9" s="252">
        <v>1</v>
      </c>
      <c r="D9" s="252"/>
      <c r="E9" s="252"/>
      <c r="F9" s="252">
        <v>16</v>
      </c>
      <c r="G9" s="252"/>
      <c r="H9" s="252"/>
      <c r="I9" s="252"/>
      <c r="J9" s="253"/>
      <c r="K9" s="252"/>
      <c r="L9" s="252"/>
      <c r="M9" s="252"/>
      <c r="N9" s="252"/>
      <c r="O9" s="252"/>
      <c r="P9" s="252"/>
      <c r="Q9" s="252" t="s">
        <v>1034</v>
      </c>
      <c r="R9" s="254">
        <f t="shared" si="0"/>
        <v>5.7172804136826016</v>
      </c>
      <c r="S9" s="252" t="s">
        <v>673</v>
      </c>
      <c r="T9" s="252"/>
      <c r="U9" s="322" t="s">
        <v>798</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0" t="str">
        <f t="shared" si="1"/>
        <v>Bright Living Ruby (16ap)</v>
      </c>
    </row>
    <row r="10" spans="1:32">
      <c r="A10" s="251" t="s">
        <v>1621</v>
      </c>
      <c r="B10" s="252">
        <v>33131</v>
      </c>
      <c r="C10" s="252">
        <v>2</v>
      </c>
      <c r="D10" s="252"/>
      <c r="E10" s="252"/>
      <c r="F10" s="252">
        <v>32</v>
      </c>
      <c r="G10" s="252"/>
      <c r="H10" s="252"/>
      <c r="I10" s="252"/>
      <c r="J10" s="253"/>
      <c r="K10" s="252"/>
      <c r="L10" s="252"/>
      <c r="M10" s="252"/>
      <c r="N10" s="252"/>
      <c r="O10" s="252"/>
      <c r="P10" s="252"/>
      <c r="Q10" s="252" t="s">
        <v>1034</v>
      </c>
      <c r="R10" s="254">
        <f t="shared" si="0"/>
        <v>11.434560827365203</v>
      </c>
      <c r="S10" s="252" t="s">
        <v>1555</v>
      </c>
      <c r="T10" s="252" t="s">
        <v>727</v>
      </c>
      <c r="U10" s="260" t="s">
        <v>797</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0" t="str">
        <f t="shared" si="1"/>
        <v>Crimson Sun (24ap)</v>
      </c>
    </row>
    <row r="11" spans="1:32">
      <c r="A11" s="251" t="s">
        <v>1697</v>
      </c>
      <c r="B11" s="252">
        <v>23097</v>
      </c>
      <c r="C11" s="252">
        <v>1</v>
      </c>
      <c r="D11" s="252"/>
      <c r="E11" s="252">
        <v>6</v>
      </c>
      <c r="F11" s="252"/>
      <c r="G11" s="252"/>
      <c r="H11" s="252"/>
      <c r="I11" s="252"/>
      <c r="J11" s="253"/>
      <c r="K11" s="252"/>
      <c r="L11" s="252"/>
      <c r="M11" s="252"/>
      <c r="N11" s="252"/>
      <c r="O11" s="252"/>
      <c r="P11" s="252"/>
      <c r="Q11" s="252" t="s">
        <v>1034</v>
      </c>
      <c r="R11" s="254">
        <f t="shared" si="0"/>
        <v>4.9632772160098284</v>
      </c>
      <c r="S11" s="252" t="s">
        <v>673</v>
      </c>
      <c r="T11" s="252"/>
      <c r="U11" s="323" t="s">
        <v>799</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0" t="str">
        <f t="shared" si="1"/>
        <v>Delicate Blood Garnet (6agi)</v>
      </c>
    </row>
    <row r="12" spans="1:32">
      <c r="A12" s="251" t="s">
        <v>1921</v>
      </c>
      <c r="B12" s="252">
        <v>32194</v>
      </c>
      <c r="C12" s="252">
        <v>3</v>
      </c>
      <c r="D12" s="252"/>
      <c r="E12" s="252">
        <v>10</v>
      </c>
      <c r="F12" s="252"/>
      <c r="G12" s="252"/>
      <c r="H12" s="252"/>
      <c r="I12" s="252"/>
      <c r="J12" s="253"/>
      <c r="K12" s="252"/>
      <c r="L12" s="252"/>
      <c r="M12" s="252"/>
      <c r="N12" s="252"/>
      <c r="O12" s="252"/>
      <c r="P12" s="252"/>
      <c r="Q12" s="252" t="s">
        <v>1034</v>
      </c>
      <c r="R12" s="254">
        <f t="shared" si="0"/>
        <v>8.272128693349714</v>
      </c>
      <c r="S12" s="252" t="s">
        <v>673</v>
      </c>
      <c r="T12" s="252"/>
      <c r="U12" s="260" t="s">
        <v>797</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0" t="str">
        <f t="shared" si="1"/>
        <v>Delicate Crimson Spinel (10agi)</v>
      </c>
    </row>
    <row r="13" spans="1:32">
      <c r="A13" s="251" t="s">
        <v>1922</v>
      </c>
      <c r="B13" s="252">
        <v>24028</v>
      </c>
      <c r="C13" s="252">
        <v>1</v>
      </c>
      <c r="D13" s="252"/>
      <c r="E13" s="252">
        <v>8</v>
      </c>
      <c r="F13" s="252"/>
      <c r="G13" s="252"/>
      <c r="H13" s="252"/>
      <c r="I13" s="252"/>
      <c r="J13" s="253"/>
      <c r="K13" s="252"/>
      <c r="L13" s="252"/>
      <c r="M13" s="252"/>
      <c r="N13" s="252"/>
      <c r="O13" s="252"/>
      <c r="P13" s="252"/>
      <c r="Q13" s="252" t="s">
        <v>1034</v>
      </c>
      <c r="R13" s="254">
        <f t="shared" si="0"/>
        <v>6.6177029546797712</v>
      </c>
      <c r="S13" s="252" t="s">
        <v>673</v>
      </c>
      <c r="T13" s="252"/>
      <c r="U13" s="322" t="s">
        <v>798</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0"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1034</v>
      </c>
      <c r="R14" s="254">
        <f t="shared" si="0"/>
        <v>0</v>
      </c>
      <c r="S14" s="252" t="s">
        <v>673</v>
      </c>
      <c r="T14" s="252"/>
      <c r="U14" s="260" t="s">
        <v>797</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0"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1034</v>
      </c>
      <c r="R15" s="254">
        <f t="shared" si="0"/>
        <v>0</v>
      </c>
      <c r="S15" s="252" t="s">
        <v>673</v>
      </c>
      <c r="T15" s="252"/>
      <c r="U15" s="322" t="s">
        <v>798</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0" t="str">
        <f t="shared" si="1"/>
        <v>Flashing Living Ruby (8parry)</v>
      </c>
    </row>
    <row r="16" spans="1:32">
      <c r="A16" s="251" t="s">
        <v>1207</v>
      </c>
      <c r="B16" s="252">
        <v>28360</v>
      </c>
      <c r="C16" s="252">
        <v>1</v>
      </c>
      <c r="D16" s="252"/>
      <c r="E16" s="252"/>
      <c r="F16" s="252">
        <v>14</v>
      </c>
      <c r="G16" s="252"/>
      <c r="H16" s="252"/>
      <c r="I16" s="252"/>
      <c r="J16" s="253"/>
      <c r="K16" s="252"/>
      <c r="L16" s="252"/>
      <c r="M16" s="252"/>
      <c r="N16" s="252"/>
      <c r="O16" s="252"/>
      <c r="P16" s="252"/>
      <c r="Q16" s="252" t="s">
        <v>1034</v>
      </c>
      <c r="R16" s="254">
        <f t="shared" si="0"/>
        <v>5.0026203619722764</v>
      </c>
      <c r="S16" s="252" t="s">
        <v>676</v>
      </c>
      <c r="T16" s="252" t="s">
        <v>727</v>
      </c>
      <c r="U16" s="322" t="s">
        <v>798</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0" t="str">
        <f t="shared" si="1"/>
        <v>Mighty Blood Garnet (14ap) (H)</v>
      </c>
    </row>
    <row r="17" spans="1:29">
      <c r="A17" s="251" t="s">
        <v>603</v>
      </c>
      <c r="B17" s="252">
        <v>28361</v>
      </c>
      <c r="C17" s="252">
        <v>1</v>
      </c>
      <c r="D17" s="252"/>
      <c r="E17" s="252"/>
      <c r="F17" s="252">
        <v>14</v>
      </c>
      <c r="G17" s="252"/>
      <c r="H17" s="252"/>
      <c r="I17" s="252"/>
      <c r="J17" s="253"/>
      <c r="K17" s="252"/>
      <c r="L17" s="252"/>
      <c r="M17" s="252"/>
      <c r="N17" s="252"/>
      <c r="O17" s="252"/>
      <c r="P17" s="252"/>
      <c r="Q17" s="252" t="s">
        <v>1034</v>
      </c>
      <c r="R17" s="254">
        <f t="shared" si="0"/>
        <v>5.0026203619722764</v>
      </c>
      <c r="S17" s="252" t="s">
        <v>676</v>
      </c>
      <c r="T17" s="252" t="s">
        <v>727</v>
      </c>
      <c r="U17" s="322" t="s">
        <v>798</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0"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1034</v>
      </c>
      <c r="R18" s="254">
        <f t="shared" si="0"/>
        <v>0</v>
      </c>
      <c r="S18" s="252" t="s">
        <v>673</v>
      </c>
      <c r="T18" s="252"/>
      <c r="U18" s="260" t="s">
        <v>797</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0"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1034</v>
      </c>
      <c r="R19" s="254">
        <f t="shared" si="0"/>
        <v>0</v>
      </c>
      <c r="S19" s="252" t="s">
        <v>673</v>
      </c>
      <c r="T19" s="252"/>
      <c r="U19" s="322" t="s">
        <v>798</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0" t="str">
        <f t="shared" si="1"/>
        <v>Subtle Living Ruby (8dodge)</v>
      </c>
    </row>
    <row r="20" spans="1:29">
      <c r="A20" s="1349" t="str">
        <f>" "</f>
        <v xml:space="preserve"> </v>
      </c>
      <c r="B20" s="114"/>
      <c r="C20" s="114"/>
      <c r="D20" s="114"/>
      <c r="E20" s="114"/>
      <c r="F20" s="114"/>
      <c r="G20" s="114"/>
      <c r="H20" s="114"/>
      <c r="I20" s="114"/>
      <c r="K20" s="114"/>
      <c r="L20" s="114"/>
      <c r="M20" s="114"/>
      <c r="N20" s="114"/>
      <c r="O20" s="114"/>
      <c r="P20" s="114"/>
      <c r="Q20" s="114" t="s">
        <v>1032</v>
      </c>
      <c r="R20" s="250">
        <f t="shared" si="0"/>
        <v>0</v>
      </c>
      <c r="S20" s="120" t="s">
        <v>1688</v>
      </c>
      <c r="U20" s="6" t="s">
        <v>1688</v>
      </c>
      <c r="W20" s="869">
        <f>MAX(W$1:$W19)+1</f>
        <v>6</v>
      </c>
      <c r="X20" s="120">
        <f>SUMPRODUCT(('Gear &amp; Buffs'!$B$10:$B$71=A20)*('Gear &amp; Buffs'!$C$10:$C$71=TRUE))</f>
        <v>0</v>
      </c>
      <c r="Y20" s="6" t="b">
        <f t="shared" si="2"/>
        <v>0</v>
      </c>
      <c r="Z20" s="6" t="b">
        <v>0</v>
      </c>
      <c r="AA20" s="737">
        <v>17</v>
      </c>
      <c r="AB20" s="713" t="str">
        <f t="shared" si="3"/>
        <v xml:space="preserve"> </v>
      </c>
      <c r="AC20" s="1390" t="str">
        <f t="shared" si="1"/>
        <v xml:space="preserve"> </v>
      </c>
    </row>
    <row r="21" spans="1:29">
      <c r="A21" s="256" t="s">
        <v>1035</v>
      </c>
      <c r="B21" s="257"/>
      <c r="C21" s="257">
        <v>1</v>
      </c>
      <c r="D21" s="257"/>
      <c r="E21" s="257"/>
      <c r="F21" s="257"/>
      <c r="G21" s="257"/>
      <c r="H21" s="257"/>
      <c r="I21" s="257"/>
      <c r="J21" s="258"/>
      <c r="K21" s="257"/>
      <c r="L21" s="257"/>
      <c r="M21" s="257"/>
      <c r="N21" s="257"/>
      <c r="O21" s="257"/>
      <c r="P21" s="257"/>
      <c r="Q21" s="257" t="s">
        <v>1036</v>
      </c>
      <c r="R21" s="259">
        <f t="shared" si="0"/>
        <v>0</v>
      </c>
      <c r="S21" s="257" t="s">
        <v>1688</v>
      </c>
      <c r="T21" s="257"/>
      <c r="U21" s="357" t="s">
        <v>1688</v>
      </c>
      <c r="V21" s="257"/>
      <c r="W21" s="869">
        <f>MAX(W$1:$W20)+1</f>
        <v>7</v>
      </c>
      <c r="X21" s="258">
        <f>SUMPRODUCT(('Gear &amp; Buffs'!$B$10:$B$71=A21)*('Gear &amp; Buffs'!$C$10:$C$71=TRUE))</f>
        <v>0</v>
      </c>
      <c r="Y21" s="260" t="b">
        <f t="shared" si="2"/>
        <v>0</v>
      </c>
      <c r="Z21" s="6" t="b">
        <v>0</v>
      </c>
      <c r="AA21" s="737">
        <v>18</v>
      </c>
      <c r="AB21" s="713" t="str">
        <f t="shared" si="3"/>
        <v>(Yellow Gems)</v>
      </c>
      <c r="AC21" s="1390" t="str">
        <f t="shared" si="1"/>
        <v>(Purple Gems)</v>
      </c>
    </row>
    <row r="22" spans="1:29">
      <c r="A22" s="256" t="s">
        <v>2285</v>
      </c>
      <c r="B22" s="257">
        <v>31863</v>
      </c>
      <c r="C22" s="257">
        <v>1</v>
      </c>
      <c r="D22" s="257"/>
      <c r="E22" s="257"/>
      <c r="F22" s="257">
        <v>8</v>
      </c>
      <c r="G22" s="257"/>
      <c r="H22" s="257"/>
      <c r="I22" s="257"/>
      <c r="J22" s="258"/>
      <c r="K22" s="257"/>
      <c r="L22" s="257">
        <v>6</v>
      </c>
      <c r="M22" s="257"/>
      <c r="N22" s="257"/>
      <c r="O22" s="257"/>
      <c r="P22" s="257"/>
      <c r="Q22" s="257" t="s">
        <v>1036</v>
      </c>
      <c r="R22" s="259">
        <f t="shared" si="0"/>
        <v>2.8586402068413008</v>
      </c>
      <c r="S22" s="257" t="s">
        <v>673</v>
      </c>
      <c r="T22" s="257"/>
      <c r="U22" s="322" t="s">
        <v>798</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0" t="str">
        <f t="shared" si="1"/>
        <v>Balanced Nightseye (6sta/8ap)</v>
      </c>
    </row>
    <row r="23" spans="1:29">
      <c r="A23" s="256" t="s">
        <v>1495</v>
      </c>
      <c r="B23" s="257">
        <v>31862</v>
      </c>
      <c r="C23" s="257">
        <v>1</v>
      </c>
      <c r="D23" s="257"/>
      <c r="E23" s="257"/>
      <c r="F23" s="257">
        <v>6</v>
      </c>
      <c r="G23" s="257"/>
      <c r="H23" s="257"/>
      <c r="I23" s="257"/>
      <c r="J23" s="258"/>
      <c r="K23" s="257"/>
      <c r="L23" s="257">
        <v>4</v>
      </c>
      <c r="M23" s="257"/>
      <c r="N23" s="257"/>
      <c r="O23" s="257"/>
      <c r="P23" s="257"/>
      <c r="Q23" s="257" t="s">
        <v>1036</v>
      </c>
      <c r="R23" s="259">
        <f t="shared" si="0"/>
        <v>2.1439801551309756</v>
      </c>
      <c r="S23" s="257" t="s">
        <v>673</v>
      </c>
      <c r="T23" s="257"/>
      <c r="U23" s="323" t="s">
        <v>799</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0" t="str">
        <f t="shared" si="1"/>
        <v>Balanced Shadow Draenite (4sta/6ap)</v>
      </c>
    </row>
    <row r="24" spans="1:29">
      <c r="A24" s="256" t="s">
        <v>1717</v>
      </c>
      <c r="B24" s="257">
        <v>32213</v>
      </c>
      <c r="C24" s="257">
        <v>3</v>
      </c>
      <c r="D24" s="257"/>
      <c r="E24" s="257"/>
      <c r="F24" s="257">
        <v>10</v>
      </c>
      <c r="G24" s="257"/>
      <c r="H24" s="257"/>
      <c r="I24" s="257"/>
      <c r="J24" s="258"/>
      <c r="K24" s="257"/>
      <c r="L24" s="257">
        <v>7</v>
      </c>
      <c r="M24" s="257"/>
      <c r="N24" s="257"/>
      <c r="O24" s="257"/>
      <c r="P24" s="257"/>
      <c r="Q24" s="257" t="s">
        <v>1036</v>
      </c>
      <c r="R24" s="259">
        <f t="shared" si="0"/>
        <v>3.573300258551626</v>
      </c>
      <c r="S24" s="257" t="s">
        <v>673</v>
      </c>
      <c r="T24" s="257"/>
      <c r="U24" s="260" t="s">
        <v>797</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0" t="str">
        <f t="shared" si="1"/>
        <v>Balanced Shadowsong Amethyst (7sta/10ap)</v>
      </c>
    </row>
    <row r="25" spans="1:29">
      <c r="A25" s="256" t="s">
        <v>2286</v>
      </c>
      <c r="B25" s="257">
        <v>30574</v>
      </c>
      <c r="C25" s="257">
        <v>1</v>
      </c>
      <c r="D25" s="257"/>
      <c r="E25" s="257"/>
      <c r="F25" s="257">
        <v>10</v>
      </c>
      <c r="G25" s="257"/>
      <c r="H25" s="257"/>
      <c r="I25" s="257"/>
      <c r="J25" s="258"/>
      <c r="K25" s="257"/>
      <c r="L25" s="257">
        <v>6</v>
      </c>
      <c r="M25" s="257"/>
      <c r="N25" s="257"/>
      <c r="O25" s="257"/>
      <c r="P25" s="257"/>
      <c r="Q25" s="257" t="s">
        <v>1036</v>
      </c>
      <c r="R25" s="259">
        <f t="shared" si="0"/>
        <v>3.573300258551626</v>
      </c>
      <c r="S25" s="257" t="s">
        <v>690</v>
      </c>
      <c r="T25" s="257"/>
      <c r="U25" s="260" t="s">
        <v>797</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0"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1036</v>
      </c>
      <c r="R26" s="259">
        <f t="shared" si="0"/>
        <v>0</v>
      </c>
      <c r="S26" s="257" t="s">
        <v>690</v>
      </c>
      <c r="T26" s="257"/>
      <c r="U26" s="260" t="s">
        <v>797</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0" t="str">
        <f t="shared" si="1"/>
        <v>Defender's Tanzanite (6sta/5parry)</v>
      </c>
    </row>
    <row r="27" spans="1:29">
      <c r="A27" s="256" t="s">
        <v>2287</v>
      </c>
      <c r="B27" s="257">
        <v>31118</v>
      </c>
      <c r="C27" s="257">
        <v>1</v>
      </c>
      <c r="D27" s="257"/>
      <c r="E27" s="257"/>
      <c r="F27" s="257">
        <v>10</v>
      </c>
      <c r="G27" s="257"/>
      <c r="H27" s="257"/>
      <c r="I27" s="257"/>
      <c r="J27" s="258"/>
      <c r="K27" s="257"/>
      <c r="L27" s="257">
        <v>6</v>
      </c>
      <c r="M27" s="257"/>
      <c r="N27" s="257"/>
      <c r="O27" s="257"/>
      <c r="P27" s="257"/>
      <c r="Q27" s="257" t="s">
        <v>1036</v>
      </c>
      <c r="R27" s="259">
        <f t="shared" si="0"/>
        <v>3.573300258551626</v>
      </c>
      <c r="S27" s="257" t="s">
        <v>674</v>
      </c>
      <c r="T27" s="257"/>
      <c r="U27" s="260" t="s">
        <v>797</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0"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1036</v>
      </c>
      <c r="R28" s="259">
        <f t="shared" si="0"/>
        <v>0</v>
      </c>
      <c r="S28" s="257" t="s">
        <v>690</v>
      </c>
      <c r="T28" s="257"/>
      <c r="U28" s="322" t="s">
        <v>798</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0" t="str">
        <f t="shared" si="1"/>
        <v>Regal Nightseye (6sta/4dodge)</v>
      </c>
    </row>
    <row r="29" spans="1:29">
      <c r="A29" s="256" t="s">
        <v>2288</v>
      </c>
      <c r="B29" s="257">
        <v>30563</v>
      </c>
      <c r="C29" s="257">
        <v>1</v>
      </c>
      <c r="D29" s="257"/>
      <c r="E29" s="257"/>
      <c r="F29" s="257"/>
      <c r="G29" s="257"/>
      <c r="H29" s="257"/>
      <c r="I29" s="257"/>
      <c r="J29" s="258"/>
      <c r="K29" s="257"/>
      <c r="L29" s="257">
        <v>6</v>
      </c>
      <c r="M29" s="257">
        <v>5</v>
      </c>
      <c r="N29" s="257"/>
      <c r="O29" s="257"/>
      <c r="P29" s="257"/>
      <c r="Q29" s="257" t="s">
        <v>1036</v>
      </c>
      <c r="R29" s="259">
        <f t="shared" si="0"/>
        <v>0</v>
      </c>
      <c r="S29" s="257" t="s">
        <v>690</v>
      </c>
      <c r="T29" s="257"/>
      <c r="U29" s="260" t="s">
        <v>797</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0" t="str">
        <f t="shared" si="1"/>
        <v>Regal Tanzanite (6sta/5dodge)</v>
      </c>
    </row>
    <row r="30" spans="1:29">
      <c r="A30" s="256" t="s">
        <v>1978</v>
      </c>
      <c r="B30" s="257">
        <v>24055</v>
      </c>
      <c r="C30" s="257">
        <v>1</v>
      </c>
      <c r="D30" s="257"/>
      <c r="E30" s="257">
        <v>4</v>
      </c>
      <c r="F30" s="257"/>
      <c r="G30" s="257"/>
      <c r="H30" s="257"/>
      <c r="I30" s="257"/>
      <c r="J30" s="258"/>
      <c r="K30" s="257"/>
      <c r="L30" s="257">
        <v>6</v>
      </c>
      <c r="M30" s="257"/>
      <c r="N30" s="257"/>
      <c r="O30" s="257"/>
      <c r="P30" s="257"/>
      <c r="Q30" s="257" t="s">
        <v>1036</v>
      </c>
      <c r="R30" s="259">
        <f t="shared" si="0"/>
        <v>3.3088514773398856</v>
      </c>
      <c r="S30" s="257" t="s">
        <v>673</v>
      </c>
      <c r="T30" s="257"/>
      <c r="U30" s="322" t="s">
        <v>798</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0" t="str">
        <f t="shared" si="1"/>
        <v>Shifting Nightseye (4agi/6sta)</v>
      </c>
    </row>
    <row r="31" spans="1:29">
      <c r="A31" s="256" t="s">
        <v>1979</v>
      </c>
      <c r="B31" s="257">
        <v>23110</v>
      </c>
      <c r="C31" s="257">
        <v>1</v>
      </c>
      <c r="D31" s="257"/>
      <c r="E31" s="257">
        <v>3</v>
      </c>
      <c r="F31" s="257"/>
      <c r="G31" s="257"/>
      <c r="H31" s="257"/>
      <c r="I31" s="257"/>
      <c r="J31" s="258"/>
      <c r="K31" s="257"/>
      <c r="L31" s="257">
        <v>4</v>
      </c>
      <c r="M31" s="257"/>
      <c r="N31" s="257"/>
      <c r="O31" s="257"/>
      <c r="P31" s="257"/>
      <c r="Q31" s="257" t="s">
        <v>1036</v>
      </c>
      <c r="R31" s="259">
        <f t="shared" si="0"/>
        <v>2.4816386080049142</v>
      </c>
      <c r="S31" s="257" t="s">
        <v>673</v>
      </c>
      <c r="T31" s="257"/>
      <c r="U31" s="323" t="s">
        <v>799</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0" t="str">
        <f t="shared" si="1"/>
        <v>Shifting Shadow Draenite (3agi/4sta)</v>
      </c>
    </row>
    <row r="32" spans="1:29">
      <c r="A32" s="256" t="s">
        <v>1980</v>
      </c>
      <c r="B32" s="257">
        <v>32212</v>
      </c>
      <c r="C32" s="257">
        <v>3</v>
      </c>
      <c r="D32" s="257"/>
      <c r="E32" s="257">
        <v>5</v>
      </c>
      <c r="F32" s="257"/>
      <c r="G32" s="257"/>
      <c r="H32" s="257"/>
      <c r="I32" s="257"/>
      <c r="J32" s="258"/>
      <c r="K32" s="257"/>
      <c r="L32" s="257">
        <v>7</v>
      </c>
      <c r="M32" s="257"/>
      <c r="N32" s="257"/>
      <c r="O32" s="257"/>
      <c r="P32" s="257"/>
      <c r="Q32" s="257" t="s">
        <v>1036</v>
      </c>
      <c r="R32" s="259">
        <f t="shared" si="0"/>
        <v>4.136064346674857</v>
      </c>
      <c r="S32" s="257" t="s">
        <v>673</v>
      </c>
      <c r="T32" s="257"/>
      <c r="U32" s="260" t="s">
        <v>797</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0" t="str">
        <f t="shared" si="1"/>
        <v>Shifting Shadowsong Amethyst (5agi/7sta)</v>
      </c>
    </row>
    <row r="33" spans="1:29">
      <c r="A33" s="256" t="s">
        <v>1349</v>
      </c>
      <c r="B33" s="257">
        <v>30549</v>
      </c>
      <c r="C33" s="257">
        <v>1</v>
      </c>
      <c r="D33" s="257"/>
      <c r="E33" s="257">
        <v>5</v>
      </c>
      <c r="F33" s="257"/>
      <c r="G33" s="257"/>
      <c r="H33" s="257"/>
      <c r="I33" s="257"/>
      <c r="J33" s="258"/>
      <c r="K33" s="257"/>
      <c r="L33" s="257">
        <v>6</v>
      </c>
      <c r="M33" s="257"/>
      <c r="N33" s="257"/>
      <c r="O33" s="257"/>
      <c r="P33" s="257"/>
      <c r="Q33" s="257" t="s">
        <v>1036</v>
      </c>
      <c r="R33" s="259">
        <f t="shared" si="0"/>
        <v>4.136064346674857</v>
      </c>
      <c r="S33" s="257" t="s">
        <v>690</v>
      </c>
      <c r="T33" s="257"/>
      <c r="U33" s="260" t="s">
        <v>797</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0"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1036</v>
      </c>
      <c r="R34" s="259">
        <f t="shared" si="0"/>
        <v>1.9653151422062365</v>
      </c>
      <c r="S34" s="257" t="s">
        <v>690</v>
      </c>
      <c r="T34" s="257"/>
      <c r="U34" s="260" t="s">
        <v>797</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0" t="str">
        <f t="shared" si="1"/>
        <v>Sovereign Tanzanite (5str/6sta)</v>
      </c>
    </row>
    <row r="35" spans="1:29">
      <c r="A35" s="256" t="s">
        <v>1497</v>
      </c>
      <c r="B35" s="257">
        <v>32634</v>
      </c>
      <c r="C35" s="257">
        <v>3</v>
      </c>
      <c r="D35" s="257"/>
      <c r="E35" s="257"/>
      <c r="F35" s="257">
        <v>8</v>
      </c>
      <c r="G35" s="257"/>
      <c r="H35" s="257"/>
      <c r="I35" s="257"/>
      <c r="J35" s="258"/>
      <c r="K35" s="257"/>
      <c r="L35" s="257">
        <v>6</v>
      </c>
      <c r="M35" s="257"/>
      <c r="N35" s="257"/>
      <c r="O35" s="257"/>
      <c r="P35" s="257"/>
      <c r="Q35" s="257" t="s">
        <v>1036</v>
      </c>
      <c r="R35" s="259">
        <f t="shared" si="0"/>
        <v>2.8586402068413008</v>
      </c>
      <c r="S35" s="257" t="s">
        <v>674</v>
      </c>
      <c r="T35" s="257" t="s">
        <v>727</v>
      </c>
      <c r="U35" s="322" t="s">
        <v>798</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0"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1032</v>
      </c>
      <c r="R36" s="250">
        <f t="shared" si="0"/>
        <v>0</v>
      </c>
      <c r="S36" s="120" t="s">
        <v>1688</v>
      </c>
      <c r="U36" s="6" t="s">
        <v>1688</v>
      </c>
      <c r="W36" s="869">
        <f>MAX(W$1:$W35)+1</f>
        <v>10</v>
      </c>
      <c r="X36" s="120">
        <f>SUMPRODUCT(('Gear &amp; Buffs'!$B$10:$B$71=A36)*('Gear &amp; Buffs'!$C$10:$C$71=TRUE))</f>
        <v>0</v>
      </c>
      <c r="Y36" s="6" t="b">
        <f t="shared" si="2"/>
        <v>0</v>
      </c>
      <c r="Z36" s="6" t="b">
        <v>0</v>
      </c>
      <c r="AA36" s="737">
        <v>33</v>
      </c>
      <c r="AB36" s="713" t="str">
        <f t="shared" si="3"/>
        <v/>
      </c>
      <c r="AC36" s="1390" t="str">
        <f t="shared" si="1"/>
        <v xml:space="preserve"> </v>
      </c>
    </row>
    <row r="37" spans="1:29">
      <c r="A37" s="261" t="s">
        <v>1037</v>
      </c>
      <c r="B37" s="262"/>
      <c r="C37" s="262">
        <v>1</v>
      </c>
      <c r="D37" s="262"/>
      <c r="E37" s="262"/>
      <c r="F37" s="262"/>
      <c r="G37" s="262"/>
      <c r="H37" s="262"/>
      <c r="I37" s="262"/>
      <c r="J37" s="263"/>
      <c r="K37" s="262"/>
      <c r="L37" s="262"/>
      <c r="M37" s="262"/>
      <c r="N37" s="262"/>
      <c r="O37" s="262"/>
      <c r="P37" s="262"/>
      <c r="Q37" s="262" t="s">
        <v>1038</v>
      </c>
      <c r="R37" s="264">
        <f t="shared" si="0"/>
        <v>0</v>
      </c>
      <c r="S37" s="262" t="s">
        <v>1688</v>
      </c>
      <c r="T37" s="262"/>
      <c r="U37" s="357" t="s">
        <v>1688</v>
      </c>
      <c r="V37" s="262"/>
      <c r="W37" s="869">
        <f>MAX(W$1:$W36)+1</f>
        <v>11</v>
      </c>
      <c r="X37" s="263">
        <f>SUMPRODUCT(('Gear &amp; Buffs'!$B$10:$B$71=A37)*('Gear &amp; Buffs'!$C$10:$C$71=TRUE))</f>
        <v>0</v>
      </c>
      <c r="Y37" s="265" t="b">
        <f t="shared" si="2"/>
        <v>0</v>
      </c>
      <c r="Z37" s="6" t="b">
        <v>0</v>
      </c>
      <c r="AA37" s="737">
        <v>34</v>
      </c>
      <c r="AB37" s="713" t="str">
        <f t="shared" si="3"/>
        <v/>
      </c>
      <c r="AC37" s="1390" t="str">
        <f t="shared" si="1"/>
        <v>(Blue Gems)</v>
      </c>
    </row>
    <row r="38" spans="1:29">
      <c r="A38" s="261" t="s">
        <v>1494</v>
      </c>
      <c r="B38" s="262">
        <v>34256</v>
      </c>
      <c r="C38" s="262">
        <v>4</v>
      </c>
      <c r="D38" s="262"/>
      <c r="E38" s="262"/>
      <c r="F38" s="262"/>
      <c r="G38" s="262"/>
      <c r="H38" s="262"/>
      <c r="I38" s="262"/>
      <c r="J38" s="263"/>
      <c r="K38" s="262"/>
      <c r="L38" s="262">
        <v>15</v>
      </c>
      <c r="M38" s="262"/>
      <c r="N38" s="262"/>
      <c r="O38" s="262"/>
      <c r="P38" s="262"/>
      <c r="Q38" s="262" t="s">
        <v>1038</v>
      </c>
      <c r="R38" s="264">
        <f t="shared" si="0"/>
        <v>0</v>
      </c>
      <c r="S38" s="262" t="s">
        <v>674</v>
      </c>
      <c r="T38" s="262" t="s">
        <v>727</v>
      </c>
      <c r="U38" s="260" t="s">
        <v>797</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0"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1038</v>
      </c>
      <c r="R39" s="264">
        <f t="shared" si="0"/>
        <v>0</v>
      </c>
      <c r="S39" s="262" t="s">
        <v>674</v>
      </c>
      <c r="T39" s="262" t="s">
        <v>727</v>
      </c>
      <c r="U39" s="322" t="s">
        <v>798</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0" t="str">
        <f t="shared" si="1"/>
        <v>Eye of the Sea (15sta)</v>
      </c>
    </row>
    <row r="40" spans="1:29">
      <c r="A40" s="261" t="s">
        <v>2796</v>
      </c>
      <c r="B40" s="262">
        <v>33135</v>
      </c>
      <c r="C40" s="262">
        <v>3</v>
      </c>
      <c r="D40" s="262"/>
      <c r="E40" s="262"/>
      <c r="F40" s="262"/>
      <c r="G40" s="262"/>
      <c r="H40" s="262"/>
      <c r="I40" s="262"/>
      <c r="J40" s="263"/>
      <c r="K40" s="262"/>
      <c r="L40" s="262">
        <v>18</v>
      </c>
      <c r="M40" s="262"/>
      <c r="N40" s="262"/>
      <c r="O40" s="262"/>
      <c r="P40" s="262"/>
      <c r="Q40" s="262" t="s">
        <v>1038</v>
      </c>
      <c r="R40" s="264">
        <f t="shared" si="0"/>
        <v>0</v>
      </c>
      <c r="S40" s="262" t="s">
        <v>1555</v>
      </c>
      <c r="T40" s="262" t="s">
        <v>727</v>
      </c>
      <c r="U40" s="260" t="s">
        <v>797</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0"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1038</v>
      </c>
      <c r="R41" s="264">
        <f t="shared" si="0"/>
        <v>0</v>
      </c>
      <c r="S41" s="262" t="s">
        <v>673</v>
      </c>
      <c r="T41" s="262"/>
      <c r="U41" s="323" t="s">
        <v>799</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0" t="str">
        <f t="shared" si="1"/>
        <v>Solid Azure Moonstone (9sta)</v>
      </c>
    </row>
    <row r="42" spans="1:29">
      <c r="A42" s="261" t="s">
        <v>1708</v>
      </c>
      <c r="B42" s="262">
        <v>32200</v>
      </c>
      <c r="C42" s="262">
        <v>3</v>
      </c>
      <c r="D42" s="262"/>
      <c r="E42" s="262"/>
      <c r="F42" s="262"/>
      <c r="G42" s="262"/>
      <c r="H42" s="262"/>
      <c r="I42" s="262"/>
      <c r="J42" s="263"/>
      <c r="K42" s="262"/>
      <c r="L42" s="262">
        <v>15</v>
      </c>
      <c r="M42" s="262"/>
      <c r="N42" s="262"/>
      <c r="O42" s="262"/>
      <c r="P42" s="262"/>
      <c r="Q42" s="262" t="s">
        <v>1038</v>
      </c>
      <c r="R42" s="264">
        <f t="shared" si="0"/>
        <v>0</v>
      </c>
      <c r="S42" s="262" t="s">
        <v>673</v>
      </c>
      <c r="T42" s="262"/>
      <c r="U42" s="260" t="s">
        <v>797</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0" t="str">
        <f t="shared" si="1"/>
        <v>Solid Empyrean Sapphire (15sta)</v>
      </c>
    </row>
    <row r="43" spans="1:29">
      <c r="A43" s="261" t="s">
        <v>1709</v>
      </c>
      <c r="B43" s="262">
        <v>24033</v>
      </c>
      <c r="C43" s="262">
        <v>1</v>
      </c>
      <c r="D43" s="262"/>
      <c r="E43" s="262"/>
      <c r="F43" s="262"/>
      <c r="G43" s="262"/>
      <c r="H43" s="262"/>
      <c r="I43" s="262"/>
      <c r="J43" s="263"/>
      <c r="K43" s="262"/>
      <c r="L43" s="262">
        <v>12</v>
      </c>
      <c r="M43" s="262"/>
      <c r="N43" s="262"/>
      <c r="O43" s="262"/>
      <c r="P43" s="262"/>
      <c r="Q43" s="262" t="s">
        <v>1038</v>
      </c>
      <c r="R43" s="264">
        <f t="shared" si="0"/>
        <v>0</v>
      </c>
      <c r="S43" s="262" t="s">
        <v>673</v>
      </c>
      <c r="T43" s="262"/>
      <c r="U43" s="322" t="s">
        <v>798</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0" t="str">
        <f t="shared" si="1"/>
        <v>Solid Star of Elune (12sta)</v>
      </c>
    </row>
    <row r="44" spans="1:29">
      <c r="A44" s="261" t="s">
        <v>2835</v>
      </c>
      <c r="B44" s="262">
        <v>32203</v>
      </c>
      <c r="C44" s="262">
        <v>3</v>
      </c>
      <c r="D44" s="262"/>
      <c r="E44" s="262"/>
      <c r="F44" s="262"/>
      <c r="G44" s="262"/>
      <c r="H44" s="262"/>
      <c r="I44" s="262"/>
      <c r="J44" s="263"/>
      <c r="K44" s="262"/>
      <c r="L44" s="262"/>
      <c r="M44" s="262"/>
      <c r="N44" s="262"/>
      <c r="O44" s="262"/>
      <c r="P44" s="262"/>
      <c r="Q44" s="262" t="s">
        <v>1038</v>
      </c>
      <c r="R44" s="264">
        <f t="shared" si="0"/>
        <v>0</v>
      </c>
      <c r="S44" s="262" t="s">
        <v>673</v>
      </c>
      <c r="T44" s="262"/>
      <c r="U44" s="260" t="s">
        <v>797</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0" t="str">
        <f t="shared" si="1"/>
        <v>Stormy Empyrean Sapphire (13sp pen)</v>
      </c>
    </row>
    <row r="45" spans="1:29">
      <c r="A45" s="261" t="s">
        <v>2836</v>
      </c>
      <c r="B45" s="262">
        <v>24039</v>
      </c>
      <c r="C45" s="262">
        <v>1</v>
      </c>
      <c r="D45" s="262"/>
      <c r="E45" s="262"/>
      <c r="F45" s="262"/>
      <c r="G45" s="262"/>
      <c r="H45" s="262"/>
      <c r="I45" s="262"/>
      <c r="J45" s="263"/>
      <c r="K45" s="262"/>
      <c r="L45" s="262"/>
      <c r="M45" s="262"/>
      <c r="N45" s="262"/>
      <c r="O45" s="262"/>
      <c r="P45" s="262"/>
      <c r="Q45" s="262" t="s">
        <v>1038</v>
      </c>
      <c r="R45" s="264">
        <f t="shared" si="0"/>
        <v>0</v>
      </c>
      <c r="S45" s="262" t="s">
        <v>673</v>
      </c>
      <c r="T45" s="262"/>
      <c r="U45" s="322" t="s">
        <v>798</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0"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1032</v>
      </c>
      <c r="R46" s="250">
        <f t="shared" si="0"/>
        <v>0</v>
      </c>
      <c r="S46" s="120" t="s">
        <v>1688</v>
      </c>
      <c r="U46" s="6" t="s">
        <v>1688</v>
      </c>
      <c r="W46" s="869">
        <f>MAX(W$1:$W45)+1</f>
        <v>12</v>
      </c>
      <c r="X46" s="120">
        <f>SUMPRODUCT(('Gear &amp; Buffs'!$B$10:$B$71=A46)*('Gear &amp; Buffs'!$C$10:$C$71=TRUE))</f>
        <v>0</v>
      </c>
      <c r="Y46" s="6" t="b">
        <f t="shared" si="2"/>
        <v>0</v>
      </c>
      <c r="Z46" s="6" t="b">
        <v>0</v>
      </c>
      <c r="AA46" s="737">
        <v>43</v>
      </c>
      <c r="AB46" s="713" t="str">
        <f t="shared" si="3"/>
        <v/>
      </c>
      <c r="AC46" s="1390" t="str">
        <f t="shared" si="1"/>
        <v xml:space="preserve"> </v>
      </c>
    </row>
    <row r="47" spans="1:29">
      <c r="A47" s="266" t="s">
        <v>1039</v>
      </c>
      <c r="B47" s="267"/>
      <c r="C47" s="267">
        <v>1</v>
      </c>
      <c r="D47" s="267"/>
      <c r="E47" s="267"/>
      <c r="F47" s="267"/>
      <c r="G47" s="267"/>
      <c r="H47" s="267"/>
      <c r="I47" s="267"/>
      <c r="J47" s="268"/>
      <c r="K47" s="267"/>
      <c r="L47" s="267"/>
      <c r="M47" s="267"/>
      <c r="N47" s="267"/>
      <c r="O47" s="267"/>
      <c r="P47" s="267"/>
      <c r="Q47" s="267" t="s">
        <v>1040</v>
      </c>
      <c r="R47" s="269">
        <f t="shared" si="0"/>
        <v>0</v>
      </c>
      <c r="S47" s="267" t="s">
        <v>1688</v>
      </c>
      <c r="T47" s="267"/>
      <c r="U47" s="357" t="s">
        <v>1688</v>
      </c>
      <c r="V47" s="267"/>
      <c r="W47" s="869">
        <f>MAX(W$1:$W46)+1</f>
        <v>13</v>
      </c>
      <c r="X47" s="268">
        <f>SUMPRODUCT(('Gear &amp; Buffs'!$B$10:$B$71=A47)*('Gear &amp; Buffs'!$C$10:$C$71=TRUE))</f>
        <v>0</v>
      </c>
      <c r="Y47" s="270" t="b">
        <f t="shared" si="2"/>
        <v>0</v>
      </c>
      <c r="Z47" s="6" t="b">
        <v>0</v>
      </c>
      <c r="AA47" s="737">
        <v>44</v>
      </c>
      <c r="AB47" s="713" t="str">
        <f t="shared" si="3"/>
        <v/>
      </c>
      <c r="AC47" s="1390" t="str">
        <f t="shared" si="1"/>
        <v>(Green Gems)</v>
      </c>
    </row>
    <row r="48" spans="1:29">
      <c r="A48" s="266" t="s">
        <v>604</v>
      </c>
      <c r="B48" s="267">
        <v>27786</v>
      </c>
      <c r="C48" s="267">
        <v>1</v>
      </c>
      <c r="D48" s="267"/>
      <c r="E48" s="267"/>
      <c r="F48" s="267"/>
      <c r="G48" s="267">
        <v>4</v>
      </c>
      <c r="H48" s="267"/>
      <c r="I48" s="267"/>
      <c r="J48" s="268"/>
      <c r="K48" s="267"/>
      <c r="L48" s="267">
        <v>3</v>
      </c>
      <c r="M48" s="267"/>
      <c r="N48" s="267"/>
      <c r="O48" s="267"/>
      <c r="P48" s="267"/>
      <c r="Q48" s="267" t="s">
        <v>1040</v>
      </c>
      <c r="R48" s="269">
        <f t="shared" si="0"/>
        <v>2.7431852220379369</v>
      </c>
      <c r="S48" s="267" t="s">
        <v>676</v>
      </c>
      <c r="T48" s="267" t="s">
        <v>727</v>
      </c>
      <c r="U48" s="322" t="s">
        <v>798</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0" t="str">
        <f t="shared" si="1"/>
        <v>Barbed Deep Peridot (3sta/4crit) (H)</v>
      </c>
    </row>
    <row r="49" spans="1:29">
      <c r="A49" s="266" t="s">
        <v>1492</v>
      </c>
      <c r="B49" s="267">
        <v>27809</v>
      </c>
      <c r="C49" s="267">
        <v>1</v>
      </c>
      <c r="D49" s="267"/>
      <c r="E49" s="267"/>
      <c r="F49" s="267"/>
      <c r="G49" s="267">
        <v>4</v>
      </c>
      <c r="H49" s="267"/>
      <c r="I49" s="267"/>
      <c r="J49" s="268"/>
      <c r="K49" s="267"/>
      <c r="L49" s="267">
        <v>3</v>
      </c>
      <c r="M49" s="267"/>
      <c r="N49" s="267"/>
      <c r="O49" s="267"/>
      <c r="P49" s="267"/>
      <c r="Q49" s="267" t="s">
        <v>1040</v>
      </c>
      <c r="R49" s="269">
        <f t="shared" si="0"/>
        <v>2.7431852220379369</v>
      </c>
      <c r="S49" s="267" t="s">
        <v>676</v>
      </c>
      <c r="T49" s="267" t="s">
        <v>727</v>
      </c>
      <c r="U49" s="322" t="s">
        <v>798</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0"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1040</v>
      </c>
      <c r="R50" s="269">
        <f t="shared" si="0"/>
        <v>0</v>
      </c>
      <c r="S50" s="267" t="s">
        <v>690</v>
      </c>
      <c r="T50" s="267"/>
      <c r="U50" s="260" t="s">
        <v>797</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0" t="str">
        <f t="shared" si="1"/>
        <v>Enduring Chrysoprase (6sta/5def)</v>
      </c>
    </row>
    <row r="51" spans="1:29">
      <c r="A51" s="266" t="s">
        <v>1863</v>
      </c>
      <c r="B51" s="267">
        <v>23105</v>
      </c>
      <c r="C51" s="267">
        <v>1</v>
      </c>
      <c r="D51" s="267"/>
      <c r="E51" s="267"/>
      <c r="F51" s="267"/>
      <c r="G51" s="267"/>
      <c r="H51" s="267"/>
      <c r="I51" s="267"/>
      <c r="J51" s="268"/>
      <c r="K51" s="267"/>
      <c r="L51" s="267">
        <v>4</v>
      </c>
      <c r="M51" s="267"/>
      <c r="N51" s="267"/>
      <c r="O51" s="267">
        <v>3</v>
      </c>
      <c r="P51" s="267"/>
      <c r="Q51" s="267" t="s">
        <v>1040</v>
      </c>
      <c r="R51" s="269">
        <f t="shared" si="0"/>
        <v>0</v>
      </c>
      <c r="S51" s="267" t="s">
        <v>673</v>
      </c>
      <c r="T51" s="267"/>
      <c r="U51" s="323" t="s">
        <v>799</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0" t="str">
        <f t="shared" si="1"/>
        <v>Enduring Deep Peridot (4sta/3def)</v>
      </c>
    </row>
    <row r="52" spans="1:29">
      <c r="A52" s="266" t="s">
        <v>1857</v>
      </c>
      <c r="B52" s="267">
        <v>32223</v>
      </c>
      <c r="C52" s="267">
        <v>3</v>
      </c>
      <c r="D52" s="267"/>
      <c r="E52" s="267"/>
      <c r="F52" s="267"/>
      <c r="G52" s="267"/>
      <c r="H52" s="267"/>
      <c r="I52" s="267"/>
      <c r="J52" s="268"/>
      <c r="K52" s="267"/>
      <c r="L52" s="267">
        <v>7</v>
      </c>
      <c r="M52" s="267"/>
      <c r="N52" s="267"/>
      <c r="O52" s="267">
        <v>5</v>
      </c>
      <c r="P52" s="267"/>
      <c r="Q52" s="267" t="s">
        <v>1040</v>
      </c>
      <c r="R52" s="269">
        <f t="shared" si="0"/>
        <v>0</v>
      </c>
      <c r="S52" s="267" t="s">
        <v>673</v>
      </c>
      <c r="T52" s="267"/>
      <c r="U52" s="260" t="s">
        <v>797</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0" t="str">
        <f t="shared" si="1"/>
        <v>Enduring Seaspray Emerald (7sta/5def)</v>
      </c>
    </row>
    <row r="53" spans="1:29">
      <c r="A53" s="266" t="s">
        <v>1862</v>
      </c>
      <c r="B53" s="267">
        <v>24062</v>
      </c>
      <c r="C53" s="267">
        <v>1</v>
      </c>
      <c r="D53" s="267"/>
      <c r="E53" s="267"/>
      <c r="F53" s="267"/>
      <c r="G53" s="267"/>
      <c r="H53" s="267"/>
      <c r="I53" s="267"/>
      <c r="J53" s="268"/>
      <c r="K53" s="267"/>
      <c r="L53" s="267">
        <v>6</v>
      </c>
      <c r="M53" s="267"/>
      <c r="N53" s="267"/>
      <c r="O53" s="267">
        <v>4</v>
      </c>
      <c r="P53" s="267"/>
      <c r="Q53" s="267" t="s">
        <v>1040</v>
      </c>
      <c r="R53" s="269">
        <f t="shared" si="0"/>
        <v>0</v>
      </c>
      <c r="S53" s="267" t="s">
        <v>673</v>
      </c>
      <c r="T53" s="267"/>
      <c r="U53" s="322" t="s">
        <v>798</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0" t="str">
        <f t="shared" si="1"/>
        <v>Enduring Talasite (6sta/4def)</v>
      </c>
    </row>
    <row r="54" spans="1:29">
      <c r="A54" s="266" t="s">
        <v>1710</v>
      </c>
      <c r="B54" s="267">
        <v>30602</v>
      </c>
      <c r="C54" s="267">
        <v>1</v>
      </c>
      <c r="D54" s="267"/>
      <c r="E54" s="267"/>
      <c r="F54" s="267"/>
      <c r="G54" s="267">
        <v>5</v>
      </c>
      <c r="H54" s="267"/>
      <c r="I54" s="267"/>
      <c r="J54" s="268"/>
      <c r="K54" s="267"/>
      <c r="L54" s="267">
        <v>6</v>
      </c>
      <c r="M54" s="267"/>
      <c r="N54" s="267"/>
      <c r="O54" s="267"/>
      <c r="P54" s="267"/>
      <c r="Q54" s="267" t="s">
        <v>1040</v>
      </c>
      <c r="R54" s="269">
        <f t="shared" si="0"/>
        <v>3.4289815275474211</v>
      </c>
      <c r="S54" s="267" t="s">
        <v>690</v>
      </c>
      <c r="T54" s="267"/>
      <c r="U54" s="260" t="s">
        <v>797</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0" t="str">
        <f t="shared" si="1"/>
        <v>Jagged Chrysoprase (6sta/5crit)</v>
      </c>
    </row>
    <row r="55" spans="1:29">
      <c r="A55" s="266" t="s">
        <v>1711</v>
      </c>
      <c r="B55" s="267">
        <v>23104</v>
      </c>
      <c r="C55" s="267">
        <v>1</v>
      </c>
      <c r="D55" s="267"/>
      <c r="E55" s="267"/>
      <c r="F55" s="267"/>
      <c r="G55" s="267">
        <v>3</v>
      </c>
      <c r="H55" s="267"/>
      <c r="I55" s="267"/>
      <c r="J55" s="268"/>
      <c r="K55" s="267"/>
      <c r="L55" s="267">
        <v>4</v>
      </c>
      <c r="M55" s="267"/>
      <c r="N55" s="267"/>
      <c r="O55" s="267"/>
      <c r="P55" s="267"/>
      <c r="Q55" s="267" t="s">
        <v>1040</v>
      </c>
      <c r="R55" s="269">
        <f t="shared" si="0"/>
        <v>2.0573889165284527</v>
      </c>
      <c r="S55" s="267" t="s">
        <v>673</v>
      </c>
      <c r="T55" s="267"/>
      <c r="U55" s="323" t="s">
        <v>799</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0" t="str">
        <f t="shared" si="1"/>
        <v>Jagged Deep Peridot (4sta/3crit)</v>
      </c>
    </row>
    <row r="56" spans="1:29">
      <c r="A56" s="266" t="s">
        <v>1712</v>
      </c>
      <c r="B56" s="267">
        <v>32226</v>
      </c>
      <c r="C56" s="267">
        <v>3</v>
      </c>
      <c r="D56" s="267"/>
      <c r="E56" s="267"/>
      <c r="F56" s="267"/>
      <c r="G56" s="267">
        <v>5</v>
      </c>
      <c r="H56" s="267"/>
      <c r="I56" s="267"/>
      <c r="J56" s="268"/>
      <c r="K56" s="267"/>
      <c r="L56" s="267">
        <v>7</v>
      </c>
      <c r="M56" s="267"/>
      <c r="N56" s="267"/>
      <c r="O56" s="267"/>
      <c r="P56" s="267"/>
      <c r="Q56" s="267" t="s">
        <v>1040</v>
      </c>
      <c r="R56" s="269">
        <f t="shared" si="0"/>
        <v>3.4289815275474211</v>
      </c>
      <c r="S56" s="267" t="s">
        <v>673</v>
      </c>
      <c r="T56" s="267"/>
      <c r="U56" s="260" t="s">
        <v>797</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0" t="str">
        <f t="shared" si="1"/>
        <v>Jagged Seaspray Emerald (7sta/5crit)</v>
      </c>
    </row>
    <row r="57" spans="1:29">
      <c r="A57" s="266" t="s">
        <v>1713</v>
      </c>
      <c r="B57" s="267">
        <v>24067</v>
      </c>
      <c r="C57" s="267">
        <v>1</v>
      </c>
      <c r="D57" s="267"/>
      <c r="E57" s="267"/>
      <c r="F57" s="267"/>
      <c r="G57" s="267">
        <v>4</v>
      </c>
      <c r="H57" s="267"/>
      <c r="I57" s="267"/>
      <c r="J57" s="268"/>
      <c r="K57" s="267"/>
      <c r="L57" s="267">
        <v>6</v>
      </c>
      <c r="M57" s="267"/>
      <c r="N57" s="267"/>
      <c r="O57" s="267"/>
      <c r="P57" s="267"/>
      <c r="Q57" s="267" t="s">
        <v>1040</v>
      </c>
      <c r="R57" s="269">
        <f t="shared" si="0"/>
        <v>2.7431852220379369</v>
      </c>
      <c r="S57" s="267" t="s">
        <v>673</v>
      </c>
      <c r="T57" s="267"/>
      <c r="U57" s="322" t="s">
        <v>798</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0" t="str">
        <f t="shared" si="1"/>
        <v>Jagged Talasite (6sta/4crit)</v>
      </c>
    </row>
    <row r="58" spans="1:29">
      <c r="A58" s="266" t="s">
        <v>1714</v>
      </c>
      <c r="B58" s="267">
        <v>30592</v>
      </c>
      <c r="C58" s="267">
        <v>1</v>
      </c>
      <c r="D58" s="267"/>
      <c r="E58" s="267"/>
      <c r="F58" s="267"/>
      <c r="G58" s="267"/>
      <c r="H58" s="267"/>
      <c r="I58" s="267"/>
      <c r="J58" s="268"/>
      <c r="K58" s="267"/>
      <c r="L58" s="267">
        <v>6</v>
      </c>
      <c r="M58" s="267"/>
      <c r="N58" s="267">
        <v>5</v>
      </c>
      <c r="O58" s="267"/>
      <c r="P58" s="267"/>
      <c r="Q58" s="267" t="s">
        <v>1040</v>
      </c>
      <c r="R58" s="269">
        <f t="shared" si="0"/>
        <v>0</v>
      </c>
      <c r="S58" s="267" t="s">
        <v>690</v>
      </c>
      <c r="T58" s="267"/>
      <c r="U58" s="260" t="s">
        <v>797</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0" t="str">
        <f t="shared" si="1"/>
        <v>Steady Chrysoprase (6sta/5resil)</v>
      </c>
    </row>
    <row r="59" spans="1:29">
      <c r="A59" s="266" t="s">
        <v>1858</v>
      </c>
      <c r="B59" s="267">
        <v>35758</v>
      </c>
      <c r="C59" s="267">
        <v>3</v>
      </c>
      <c r="D59" s="267"/>
      <c r="E59" s="267"/>
      <c r="F59" s="267"/>
      <c r="G59" s="267"/>
      <c r="H59" s="267"/>
      <c r="I59" s="267"/>
      <c r="J59" s="268"/>
      <c r="K59" s="267"/>
      <c r="L59" s="267">
        <v>7</v>
      </c>
      <c r="M59" s="267"/>
      <c r="N59" s="267">
        <v>5</v>
      </c>
      <c r="O59" s="267"/>
      <c r="P59" s="267"/>
      <c r="Q59" s="267" t="s">
        <v>1040</v>
      </c>
      <c r="R59" s="269">
        <f t="shared" si="0"/>
        <v>0</v>
      </c>
      <c r="S59" s="267" t="s">
        <v>673</v>
      </c>
      <c r="T59" s="267"/>
      <c r="U59" s="260" t="s">
        <v>797</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0" t="str">
        <f t="shared" si="1"/>
        <v>Steady Seaspray Emerald (7sta/5resil)</v>
      </c>
    </row>
    <row r="60" spans="1:29">
      <c r="A60" s="266" t="s">
        <v>1498</v>
      </c>
      <c r="B60" s="267">
        <v>33782</v>
      </c>
      <c r="C60" s="267">
        <v>1</v>
      </c>
      <c r="D60" s="267"/>
      <c r="E60" s="267"/>
      <c r="F60" s="267"/>
      <c r="G60" s="267"/>
      <c r="H60" s="267"/>
      <c r="I60" s="267"/>
      <c r="J60" s="268"/>
      <c r="K60" s="267"/>
      <c r="L60" s="267">
        <v>6</v>
      </c>
      <c r="M60" s="267"/>
      <c r="N60" s="267">
        <v>4</v>
      </c>
      <c r="O60" s="267"/>
      <c r="P60" s="267"/>
      <c r="Q60" s="267" t="s">
        <v>1040</v>
      </c>
      <c r="R60" s="269">
        <f t="shared" si="0"/>
        <v>0</v>
      </c>
      <c r="S60" s="267" t="s">
        <v>673</v>
      </c>
      <c r="T60" s="267"/>
      <c r="U60" s="322" t="s">
        <v>798</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0"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1032</v>
      </c>
      <c r="R61" s="250">
        <f t="shared" si="0"/>
        <v>0</v>
      </c>
      <c r="S61" s="120" t="s">
        <v>1688</v>
      </c>
      <c r="U61" s="6" t="s">
        <v>1688</v>
      </c>
      <c r="W61" s="869">
        <f>MAX(W$1:$W60)+1</f>
        <v>17</v>
      </c>
      <c r="X61" s="120">
        <f>SUMPRODUCT(('Gear &amp; Buffs'!$B$10:$B$71=A61)*('Gear &amp; Buffs'!$C$10:$C$71=TRUE))</f>
        <v>0</v>
      </c>
      <c r="Y61" s="6" t="b">
        <f t="shared" si="2"/>
        <v>0</v>
      </c>
      <c r="Z61" s="6" t="b">
        <v>0</v>
      </c>
      <c r="AA61" s="737">
        <v>58</v>
      </c>
      <c r="AB61" s="713" t="str">
        <f t="shared" si="3"/>
        <v/>
      </c>
      <c r="AC61" s="1390" t="str">
        <f t="shared" si="1"/>
        <v xml:space="preserve"> </v>
      </c>
    </row>
    <row r="62" spans="1:29">
      <c r="A62" s="271" t="s">
        <v>1041</v>
      </c>
      <c r="B62" s="272"/>
      <c r="C62" s="272">
        <v>1</v>
      </c>
      <c r="D62" s="272"/>
      <c r="E62" s="272"/>
      <c r="F62" s="272"/>
      <c r="G62" s="272"/>
      <c r="H62" s="272"/>
      <c r="I62" s="272"/>
      <c r="J62" s="273"/>
      <c r="K62" s="272"/>
      <c r="L62" s="272"/>
      <c r="M62" s="272"/>
      <c r="N62" s="272"/>
      <c r="O62" s="272"/>
      <c r="P62" s="272"/>
      <c r="Q62" s="272" t="s">
        <v>1042</v>
      </c>
      <c r="R62" s="274">
        <f t="shared" si="0"/>
        <v>0</v>
      </c>
      <c r="S62" s="272" t="s">
        <v>1688</v>
      </c>
      <c r="T62" s="272"/>
      <c r="U62" s="357" t="s">
        <v>1688</v>
      </c>
      <c r="V62" s="272"/>
      <c r="W62" s="869">
        <f>MAX(W$1:$W61)+1</f>
        <v>18</v>
      </c>
      <c r="X62" s="273">
        <f>SUMPRODUCT(('Gear &amp; Buffs'!$B$10:$B$71=A62)*('Gear &amp; Buffs'!$C$10:$C$71=TRUE))</f>
        <v>0</v>
      </c>
      <c r="Y62" s="275" t="b">
        <f t="shared" si="2"/>
        <v>0</v>
      </c>
      <c r="Z62" s="6" t="b">
        <v>0</v>
      </c>
      <c r="AA62" s="737">
        <v>59</v>
      </c>
      <c r="AB62" s="713" t="str">
        <f t="shared" si="3"/>
        <v/>
      </c>
      <c r="AC62" s="1390" t="str">
        <f t="shared" si="1"/>
        <v>(Yellow Gems)</v>
      </c>
    </row>
    <row r="63" spans="1:29">
      <c r="A63" s="271" t="s">
        <v>1866</v>
      </c>
      <c r="B63" s="272">
        <v>33144</v>
      </c>
      <c r="C63" s="272">
        <v>3</v>
      </c>
      <c r="D63" s="272"/>
      <c r="E63" s="272"/>
      <c r="F63" s="272"/>
      <c r="G63" s="272"/>
      <c r="H63" s="272"/>
      <c r="I63" s="272"/>
      <c r="J63" s="273"/>
      <c r="K63" s="272"/>
      <c r="L63" s="272"/>
      <c r="M63" s="272"/>
      <c r="N63" s="272"/>
      <c r="O63" s="272">
        <v>12</v>
      </c>
      <c r="P63" s="272"/>
      <c r="Q63" s="272" t="s">
        <v>1042</v>
      </c>
      <c r="R63" s="274">
        <f t="shared" si="0"/>
        <v>0</v>
      </c>
      <c r="S63" s="272" t="s">
        <v>1555</v>
      </c>
      <c r="T63" s="272" t="s">
        <v>727</v>
      </c>
      <c r="U63" s="260" t="s">
        <v>797</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0" t="str">
        <f t="shared" si="1"/>
        <v>Facet of Eternity (12def)</v>
      </c>
    </row>
    <row r="64" spans="1:29">
      <c r="A64" s="271" t="s">
        <v>1499</v>
      </c>
      <c r="B64" s="272">
        <v>24053</v>
      </c>
      <c r="C64" s="272">
        <v>1</v>
      </c>
      <c r="D64" s="272"/>
      <c r="E64" s="272"/>
      <c r="F64" s="272"/>
      <c r="G64" s="272"/>
      <c r="H64" s="272"/>
      <c r="I64" s="272"/>
      <c r="J64" s="273"/>
      <c r="K64" s="272"/>
      <c r="L64" s="272"/>
      <c r="M64" s="272"/>
      <c r="N64" s="272">
        <v>8</v>
      </c>
      <c r="O64" s="272"/>
      <c r="P64" s="272"/>
      <c r="Q64" s="272" t="s">
        <v>1042</v>
      </c>
      <c r="R64" s="274">
        <f t="shared" si="0"/>
        <v>0</v>
      </c>
      <c r="S64" s="272" t="s">
        <v>673</v>
      </c>
      <c r="T64" s="272"/>
      <c r="U64" s="322" t="s">
        <v>798</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0" t="str">
        <f t="shared" si="1"/>
        <v>Mystic Dawnstone (8resil)</v>
      </c>
    </row>
    <row r="65" spans="1:29">
      <c r="A65" s="271" t="s">
        <v>1981</v>
      </c>
      <c r="B65" s="272">
        <v>32209</v>
      </c>
      <c r="C65" s="272">
        <v>3</v>
      </c>
      <c r="D65" s="272"/>
      <c r="E65" s="272"/>
      <c r="F65" s="272"/>
      <c r="G65" s="272"/>
      <c r="H65" s="272"/>
      <c r="I65" s="272"/>
      <c r="J65" s="273"/>
      <c r="K65" s="272"/>
      <c r="L65" s="272"/>
      <c r="M65" s="272"/>
      <c r="N65" s="272">
        <v>10</v>
      </c>
      <c r="O65" s="272"/>
      <c r="P65" s="272"/>
      <c r="Q65" s="272" t="s">
        <v>1042</v>
      </c>
      <c r="R65" s="274">
        <f t="shared" si="0"/>
        <v>0</v>
      </c>
      <c r="S65" s="272" t="s">
        <v>673</v>
      </c>
      <c r="T65" s="272"/>
      <c r="U65" s="260" t="s">
        <v>797</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0" t="str">
        <f t="shared" si="1"/>
        <v>Mystic Lionseye (10resil)</v>
      </c>
    </row>
    <row r="66" spans="1:29">
      <c r="A66" s="271" t="s">
        <v>1982</v>
      </c>
      <c r="B66" s="272">
        <v>24051</v>
      </c>
      <c r="C66" s="272">
        <v>1</v>
      </c>
      <c r="D66" s="272"/>
      <c r="E66" s="272"/>
      <c r="F66" s="272"/>
      <c r="G66" s="272"/>
      <c r="H66" s="272">
        <v>8</v>
      </c>
      <c r="I66" s="272"/>
      <c r="J66" s="273"/>
      <c r="K66" s="272"/>
      <c r="L66" s="272"/>
      <c r="M66" s="272"/>
      <c r="N66" s="272"/>
      <c r="O66" s="272"/>
      <c r="P66" s="272"/>
      <c r="Q66" s="272" t="s">
        <v>1042</v>
      </c>
      <c r="R66" s="274">
        <f t="shared" si="0"/>
        <v>44.400251737017243</v>
      </c>
      <c r="S66" s="272" t="s">
        <v>673</v>
      </c>
      <c r="T66" s="272"/>
      <c r="U66" s="322" t="s">
        <v>798</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0" t="str">
        <f t="shared" si="1"/>
        <v>Rigid Dawnstone (8hit)</v>
      </c>
    </row>
    <row r="67" spans="1:29">
      <c r="A67" s="271" t="s">
        <v>1983</v>
      </c>
      <c r="B67" s="272">
        <v>23116</v>
      </c>
      <c r="C67" s="272">
        <v>1</v>
      </c>
      <c r="D67" s="272"/>
      <c r="E67" s="272"/>
      <c r="F67" s="272"/>
      <c r="G67" s="272"/>
      <c r="H67" s="272">
        <v>6</v>
      </c>
      <c r="I67" s="272"/>
      <c r="J67" s="273"/>
      <c r="K67" s="272"/>
      <c r="L67" s="272"/>
      <c r="M67" s="272"/>
      <c r="N67" s="272"/>
      <c r="O67" s="272"/>
      <c r="P67" s="272"/>
      <c r="Q67" s="272" t="s">
        <v>1042</v>
      </c>
      <c r="R67" s="274">
        <f t="shared" si="0"/>
        <v>33.300188802762932</v>
      </c>
      <c r="S67" s="272" t="s">
        <v>673</v>
      </c>
      <c r="T67" s="272"/>
      <c r="U67" s="323" t="s">
        <v>799</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0" t="str">
        <f t="shared" ref="AC67:AC105" si="6">HYPERLINK("https://tbc.wowhead.com/item="&amp;B67,A67)</f>
        <v>Rigid Golden Draenite (6hit)</v>
      </c>
    </row>
    <row r="68" spans="1:29">
      <c r="A68" s="271" t="s">
        <v>1984</v>
      </c>
      <c r="B68" s="272">
        <v>32206</v>
      </c>
      <c r="C68" s="272">
        <v>3</v>
      </c>
      <c r="D68" s="272"/>
      <c r="E68" s="272"/>
      <c r="F68" s="272"/>
      <c r="G68" s="272"/>
      <c r="H68" s="272">
        <v>10</v>
      </c>
      <c r="I68" s="272"/>
      <c r="J68" s="273"/>
      <c r="K68" s="272"/>
      <c r="L68" s="272"/>
      <c r="M68" s="272"/>
      <c r="N68" s="272"/>
      <c r="O68" s="272"/>
      <c r="P68" s="272"/>
      <c r="Q68" s="272" t="s">
        <v>1042</v>
      </c>
      <c r="R68" s="274">
        <f t="shared" si="0"/>
        <v>55.500314671271553</v>
      </c>
      <c r="S68" s="272" t="s">
        <v>673</v>
      </c>
      <c r="T68" s="272"/>
      <c r="U68" s="260" t="s">
        <v>797</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0" t="str">
        <f t="shared" si="6"/>
        <v>Rigid Lionseye (10hit)</v>
      </c>
    </row>
    <row r="69" spans="1:29">
      <c r="A69" s="271" t="s">
        <v>558</v>
      </c>
      <c r="B69" s="272">
        <v>24048</v>
      </c>
      <c r="C69" s="272">
        <v>1</v>
      </c>
      <c r="D69" s="272"/>
      <c r="E69" s="272"/>
      <c r="F69" s="272"/>
      <c r="G69" s="272">
        <v>8</v>
      </c>
      <c r="H69" s="272"/>
      <c r="I69" s="272"/>
      <c r="J69" s="273"/>
      <c r="K69" s="272"/>
      <c r="L69" s="272"/>
      <c r="M69" s="272"/>
      <c r="N69" s="272"/>
      <c r="O69" s="272"/>
      <c r="P69" s="272"/>
      <c r="Q69" s="272" t="s">
        <v>1042</v>
      </c>
      <c r="R69" s="274">
        <f t="shared" si="0"/>
        <v>5.4863704440758738</v>
      </c>
      <c r="S69" s="272" t="s">
        <v>673</v>
      </c>
      <c r="T69" s="272"/>
      <c r="U69" s="322" t="s">
        <v>798</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0" t="str">
        <f t="shared" si="6"/>
        <v>Smooth Dawnstone (8crit)</v>
      </c>
    </row>
    <row r="70" spans="1:29">
      <c r="A70" s="271" t="s">
        <v>559</v>
      </c>
      <c r="B70" s="272">
        <v>28290</v>
      </c>
      <c r="C70" s="272">
        <v>1</v>
      </c>
      <c r="D70" s="272"/>
      <c r="E70" s="272"/>
      <c r="F70" s="272"/>
      <c r="G70" s="272">
        <v>6</v>
      </c>
      <c r="H70" s="272"/>
      <c r="I70" s="272"/>
      <c r="J70" s="273"/>
      <c r="K70" s="272"/>
      <c r="L70" s="272"/>
      <c r="M70" s="272"/>
      <c r="N70" s="272"/>
      <c r="O70" s="272"/>
      <c r="P70" s="272"/>
      <c r="Q70" s="272" t="s">
        <v>1042</v>
      </c>
      <c r="R70" s="274">
        <f t="shared" si="0"/>
        <v>4.1147778330569054</v>
      </c>
      <c r="S70" s="272" t="s">
        <v>673</v>
      </c>
      <c r="T70" s="272"/>
      <c r="U70" s="323" t="s">
        <v>799</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0" t="str">
        <f t="shared" si="6"/>
        <v>Smooth Golden Draenite (6crit)</v>
      </c>
    </row>
    <row r="71" spans="1:29">
      <c r="A71" s="271" t="s">
        <v>2042</v>
      </c>
      <c r="B71" s="272">
        <v>32205</v>
      </c>
      <c r="C71" s="272">
        <v>3</v>
      </c>
      <c r="D71" s="272"/>
      <c r="E71" s="272"/>
      <c r="F71" s="272"/>
      <c r="G71" s="272">
        <v>10</v>
      </c>
      <c r="H71" s="272"/>
      <c r="I71" s="272"/>
      <c r="J71" s="273"/>
      <c r="K71" s="272"/>
      <c r="L71" s="272"/>
      <c r="M71" s="272"/>
      <c r="N71" s="272"/>
      <c r="O71" s="272"/>
      <c r="P71" s="272"/>
      <c r="Q71" s="272" t="s">
        <v>1042</v>
      </c>
      <c r="R71" s="274">
        <f t="shared" si="0"/>
        <v>6.8579630550948423</v>
      </c>
      <c r="S71" s="272" t="s">
        <v>673</v>
      </c>
      <c r="T71" s="272"/>
      <c r="U71" s="260" t="s">
        <v>797</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0" t="str">
        <f t="shared" si="6"/>
        <v>Smooth Lionseye (10crit)</v>
      </c>
    </row>
    <row r="72" spans="1:29">
      <c r="A72" s="271" t="s">
        <v>1418</v>
      </c>
      <c r="B72" s="272">
        <v>28119</v>
      </c>
      <c r="C72" s="272">
        <v>1</v>
      </c>
      <c r="D72" s="272"/>
      <c r="E72" s="272"/>
      <c r="F72" s="272"/>
      <c r="G72" s="272">
        <v>10</v>
      </c>
      <c r="H72" s="272"/>
      <c r="I72" s="272"/>
      <c r="J72" s="273"/>
      <c r="K72" s="272"/>
      <c r="L72" s="272"/>
      <c r="M72" s="272"/>
      <c r="N72" s="272"/>
      <c r="O72" s="272"/>
      <c r="P72" s="272"/>
      <c r="Q72" s="272" t="s">
        <v>1042</v>
      </c>
      <c r="R72" s="274">
        <f t="shared" si="0"/>
        <v>6.8579630550948423</v>
      </c>
      <c r="S72" s="272" t="s">
        <v>676</v>
      </c>
      <c r="T72" s="272" t="s">
        <v>727</v>
      </c>
      <c r="U72" s="260" t="s">
        <v>797</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0" t="str">
        <f t="shared" si="6"/>
        <v>Smooth Ornate Dawnstone (10crit)</v>
      </c>
    </row>
    <row r="73" spans="1:29">
      <c r="A73" s="271" t="s">
        <v>1666</v>
      </c>
      <c r="B73" s="272">
        <v>33143</v>
      </c>
      <c r="C73" s="272">
        <v>3</v>
      </c>
      <c r="D73" s="272"/>
      <c r="E73" s="272"/>
      <c r="F73" s="272"/>
      <c r="G73" s="272">
        <v>12</v>
      </c>
      <c r="H73" s="272"/>
      <c r="I73" s="272"/>
      <c r="J73" s="273"/>
      <c r="K73" s="272"/>
      <c r="L73" s="272"/>
      <c r="M73" s="272"/>
      <c r="N73" s="272"/>
      <c r="O73" s="272"/>
      <c r="P73" s="272"/>
      <c r="Q73" s="272" t="s">
        <v>1042</v>
      </c>
      <c r="R73" s="274">
        <f>$D73*dpsStr+$E73*dpsAgi+$G73*dpsCrit+$H73*dpsHit+$F73*dpsAP+$I73*dpsHaste+$J73*dpsArmor+$K73*dpsExp</f>
        <v>8.2295556661138107</v>
      </c>
      <c r="S73" s="272" t="s">
        <v>1555</v>
      </c>
      <c r="T73" s="272" t="s">
        <v>727</v>
      </c>
      <c r="U73" s="260" t="s">
        <v>797</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0" t="str">
        <f t="shared" si="6"/>
        <v>Stone of Blades (12crit)</v>
      </c>
    </row>
    <row r="74" spans="1:29">
      <c r="A74" s="271" t="s">
        <v>1419</v>
      </c>
      <c r="B74" s="272">
        <v>27679</v>
      </c>
      <c r="C74" s="272">
        <v>3</v>
      </c>
      <c r="D74" s="272"/>
      <c r="E74" s="272"/>
      <c r="F74" s="272"/>
      <c r="G74" s="272"/>
      <c r="H74" s="272"/>
      <c r="I74" s="272"/>
      <c r="J74" s="273"/>
      <c r="K74" s="272"/>
      <c r="L74" s="272"/>
      <c r="M74" s="272"/>
      <c r="N74" s="272">
        <v>10</v>
      </c>
      <c r="O74" s="272"/>
      <c r="P74" s="272"/>
      <c r="Q74" s="272" t="s">
        <v>1042</v>
      </c>
      <c r="R74" s="274">
        <f t="shared" si="0"/>
        <v>0</v>
      </c>
      <c r="S74" s="272" t="s">
        <v>676</v>
      </c>
      <c r="T74" s="272" t="s">
        <v>727</v>
      </c>
      <c r="U74" s="260" t="s">
        <v>797</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0" t="str">
        <f t="shared" si="6"/>
        <v>Sublime Mystic Dawnstone (10resil)</v>
      </c>
    </row>
    <row r="75" spans="1:29">
      <c r="A75" s="271" t="s">
        <v>1871</v>
      </c>
      <c r="B75" s="272">
        <v>24052</v>
      </c>
      <c r="C75" s="272">
        <v>1</v>
      </c>
      <c r="D75" s="272"/>
      <c r="E75" s="272"/>
      <c r="F75" s="272"/>
      <c r="G75" s="272"/>
      <c r="H75" s="272"/>
      <c r="I75" s="272"/>
      <c r="J75" s="273"/>
      <c r="K75" s="272"/>
      <c r="L75" s="272"/>
      <c r="M75" s="272"/>
      <c r="N75" s="272"/>
      <c r="O75" s="272">
        <v>8</v>
      </c>
      <c r="P75" s="272"/>
      <c r="Q75" s="272" t="s">
        <v>1042</v>
      </c>
      <c r="R75" s="274">
        <f t="shared" si="0"/>
        <v>0</v>
      </c>
      <c r="S75" s="272" t="s">
        <v>673</v>
      </c>
      <c r="T75" s="272"/>
      <c r="U75" s="322" t="s">
        <v>798</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0" t="str">
        <f t="shared" si="6"/>
        <v>Thick Dawnstone (8def)</v>
      </c>
    </row>
    <row r="76" spans="1:29">
      <c r="A76" s="271" t="s">
        <v>1872</v>
      </c>
      <c r="B76" s="272">
        <v>23115</v>
      </c>
      <c r="C76" s="272">
        <v>1</v>
      </c>
      <c r="D76" s="272"/>
      <c r="E76" s="272"/>
      <c r="F76" s="272"/>
      <c r="G76" s="272"/>
      <c r="H76" s="272"/>
      <c r="I76" s="272"/>
      <c r="J76" s="273"/>
      <c r="K76" s="272"/>
      <c r="L76" s="272"/>
      <c r="M76" s="272"/>
      <c r="N76" s="272"/>
      <c r="O76" s="272">
        <v>6</v>
      </c>
      <c r="P76" s="272"/>
      <c r="Q76" s="272" t="s">
        <v>1042</v>
      </c>
      <c r="R76" s="274">
        <f t="shared" si="0"/>
        <v>0</v>
      </c>
      <c r="S76" s="272" t="s">
        <v>673</v>
      </c>
      <c r="T76" s="272"/>
      <c r="U76" s="323" t="s">
        <v>799</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0" t="str">
        <f t="shared" si="6"/>
        <v>Thick Golden Draenite (6def)</v>
      </c>
    </row>
    <row r="77" spans="1:29">
      <c r="A77" s="271" t="s">
        <v>1868</v>
      </c>
      <c r="B77" s="272">
        <v>32208</v>
      </c>
      <c r="C77" s="272">
        <v>3</v>
      </c>
      <c r="D77" s="272"/>
      <c r="E77" s="272"/>
      <c r="F77" s="272"/>
      <c r="G77" s="272"/>
      <c r="H77" s="272"/>
      <c r="I77" s="272"/>
      <c r="J77" s="273"/>
      <c r="K77" s="272"/>
      <c r="L77" s="272"/>
      <c r="M77" s="272"/>
      <c r="N77" s="272"/>
      <c r="O77" s="272">
        <v>10</v>
      </c>
      <c r="P77" s="272"/>
      <c r="Q77" s="272" t="s">
        <v>1042</v>
      </c>
      <c r="R77" s="274">
        <f t="shared" si="0"/>
        <v>0</v>
      </c>
      <c r="S77" s="272" t="s">
        <v>673</v>
      </c>
      <c r="T77" s="272"/>
      <c r="U77" s="260" t="s">
        <v>797</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0"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1032</v>
      </c>
      <c r="R78" s="250">
        <f t="shared" si="0"/>
        <v>0</v>
      </c>
      <c r="S78" s="120" t="s">
        <v>1688</v>
      </c>
      <c r="U78" s="6" t="s">
        <v>1688</v>
      </c>
      <c r="W78" s="869">
        <f>MAX(W$1:$W77)+1</f>
        <v>21</v>
      </c>
      <c r="X78" s="120">
        <f>SUMPRODUCT(('Gear &amp; Buffs'!$B$10:$B$71=A78)*('Gear &amp; Buffs'!$C$10:$C$71=TRUE))</f>
        <v>0</v>
      </c>
      <c r="Y78" s="6" t="b">
        <f t="shared" si="2"/>
        <v>0</v>
      </c>
      <c r="Z78" s="6" t="b">
        <v>0</v>
      </c>
      <c r="AA78" s="737">
        <v>75</v>
      </c>
      <c r="AB78" s="713" t="str">
        <f t="shared" si="7"/>
        <v/>
      </c>
      <c r="AC78" s="1390" t="str">
        <f t="shared" si="6"/>
        <v xml:space="preserve"> </v>
      </c>
    </row>
    <row r="79" spans="1:29">
      <c r="A79" s="276" t="s">
        <v>1043</v>
      </c>
      <c r="B79" s="277"/>
      <c r="C79" s="277">
        <v>1</v>
      </c>
      <c r="D79" s="277"/>
      <c r="E79" s="277"/>
      <c r="F79" s="277"/>
      <c r="G79" s="277"/>
      <c r="H79" s="277"/>
      <c r="I79" s="277"/>
      <c r="J79" s="278"/>
      <c r="K79" s="277"/>
      <c r="L79" s="277"/>
      <c r="M79" s="277"/>
      <c r="N79" s="277"/>
      <c r="O79" s="277"/>
      <c r="P79" s="277"/>
      <c r="Q79" s="277" t="s">
        <v>1044</v>
      </c>
      <c r="R79" s="279">
        <f t="shared" si="0"/>
        <v>0</v>
      </c>
      <c r="S79" s="277" t="s">
        <v>1688</v>
      </c>
      <c r="T79" s="277"/>
      <c r="U79" s="357" t="s">
        <v>1688</v>
      </c>
      <c r="V79" s="277"/>
      <c r="W79" s="869">
        <f>MAX(W$1:$W78)+1</f>
        <v>22</v>
      </c>
      <c r="X79" s="278">
        <f>SUMPRODUCT(('Gear &amp; Buffs'!$B$10:$B$71=A79)*('Gear &amp; Buffs'!$C$10:$C$71=TRUE))</f>
        <v>0</v>
      </c>
      <c r="Y79" s="280" t="b">
        <f t="shared" si="2"/>
        <v>0</v>
      </c>
      <c r="Z79" s="6" t="b">
        <v>0</v>
      </c>
      <c r="AA79" s="737">
        <v>76</v>
      </c>
      <c r="AB79" s="713" t="str">
        <f t="shared" si="7"/>
        <v/>
      </c>
      <c r="AC79" s="1390"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1044</v>
      </c>
      <c r="R80" s="279">
        <f t="shared" si="0"/>
        <v>4.1147778330569054</v>
      </c>
      <c r="S80" s="277" t="s">
        <v>690</v>
      </c>
      <c r="T80" s="277"/>
      <c r="U80" s="260" t="s">
        <v>797</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0" t="str">
        <f t="shared" si="6"/>
        <v>Assassin's Fire Opal (6crit/5dodge)</v>
      </c>
    </row>
    <row r="81" spans="1:29">
      <c r="A81" s="276" t="s">
        <v>1875</v>
      </c>
      <c r="B81" s="277">
        <v>30601</v>
      </c>
      <c r="C81" s="277">
        <v>1</v>
      </c>
      <c r="D81" s="277"/>
      <c r="E81" s="277"/>
      <c r="F81" s="277"/>
      <c r="G81" s="277"/>
      <c r="H81" s="277"/>
      <c r="I81" s="277"/>
      <c r="J81" s="278"/>
      <c r="K81" s="277"/>
      <c r="L81" s="277"/>
      <c r="M81" s="277">
        <v>5</v>
      </c>
      <c r="N81" s="277">
        <v>4</v>
      </c>
      <c r="O81" s="277"/>
      <c r="P81" s="277"/>
      <c r="Q81" s="277" t="s">
        <v>1044</v>
      </c>
      <c r="R81" s="279">
        <f t="shared" si="0"/>
        <v>0</v>
      </c>
      <c r="S81" s="277" t="s">
        <v>690</v>
      </c>
      <c r="T81" s="277"/>
      <c r="U81" s="260" t="s">
        <v>797</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0" t="str">
        <f t="shared" si="6"/>
        <v>Beaming Fire Opal (4resil/5dodge)</v>
      </c>
    </row>
    <row r="82" spans="1:29">
      <c r="A82" s="276" t="s">
        <v>1876</v>
      </c>
      <c r="B82" s="277">
        <v>30587</v>
      </c>
      <c r="C82" s="277">
        <v>1</v>
      </c>
      <c r="D82" s="277">
        <v>5</v>
      </c>
      <c r="E82" s="277"/>
      <c r="F82" s="277"/>
      <c r="G82" s="277"/>
      <c r="H82" s="277"/>
      <c r="I82" s="277"/>
      <c r="J82" s="278"/>
      <c r="K82" s="277"/>
      <c r="L82" s="277"/>
      <c r="M82" s="277"/>
      <c r="N82" s="277"/>
      <c r="O82" s="277">
        <v>4</v>
      </c>
      <c r="P82" s="277"/>
      <c r="Q82" s="277" t="s">
        <v>1044</v>
      </c>
      <c r="R82" s="279">
        <f t="shared" si="0"/>
        <v>1.9653151422062365</v>
      </c>
      <c r="S82" s="277" t="s">
        <v>690</v>
      </c>
      <c r="T82" s="277"/>
      <c r="U82" s="260" t="s">
        <v>797</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0"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1044</v>
      </c>
      <c r="R83" s="279">
        <f t="shared" si="0"/>
        <v>6.287621734388722</v>
      </c>
      <c r="S83" s="277" t="s">
        <v>690</v>
      </c>
      <c r="T83" s="277"/>
      <c r="U83" s="260" t="s">
        <v>797</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0"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1044</v>
      </c>
      <c r="R84" s="279">
        <f t="shared" si="0"/>
        <v>2.8586402068413008</v>
      </c>
      <c r="S84" s="277" t="s">
        <v>690</v>
      </c>
      <c r="T84" s="277"/>
      <c r="U84" s="260" t="s">
        <v>797</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0"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1044</v>
      </c>
      <c r="R85" s="279">
        <f t="shared" si="0"/>
        <v>4.7085003642441734</v>
      </c>
      <c r="S85" s="277" t="s">
        <v>690</v>
      </c>
      <c r="T85" s="277"/>
      <c r="U85" s="260" t="s">
        <v>797</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0"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1044</v>
      </c>
      <c r="R86" s="279">
        <f t="shared" si="0"/>
        <v>24.165441010714858</v>
      </c>
      <c r="S86" s="277" t="s">
        <v>690</v>
      </c>
      <c r="T86" s="277"/>
      <c r="U86" s="260" t="s">
        <v>797</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0" t="str">
        <f t="shared" si="6"/>
        <v>Etched Fire Opal (5str/4hit)</v>
      </c>
    </row>
    <row r="87" spans="1:29">
      <c r="A87" s="276" t="s">
        <v>1877</v>
      </c>
      <c r="B87" s="277">
        <v>30558</v>
      </c>
      <c r="C87" s="277">
        <v>1</v>
      </c>
      <c r="D87" s="277"/>
      <c r="E87" s="277"/>
      <c r="F87" s="277"/>
      <c r="G87" s="277"/>
      <c r="H87" s="277"/>
      <c r="I87" s="277"/>
      <c r="J87" s="278"/>
      <c r="K87" s="277"/>
      <c r="L87" s="277"/>
      <c r="M87" s="277"/>
      <c r="N87" s="277"/>
      <c r="O87" s="277">
        <v>4</v>
      </c>
      <c r="P87" s="277"/>
      <c r="Q87" s="277" t="s">
        <v>1044</v>
      </c>
      <c r="R87" s="279">
        <f t="shared" si="0"/>
        <v>0</v>
      </c>
      <c r="S87" s="277" t="s">
        <v>690</v>
      </c>
      <c r="T87" s="277"/>
      <c r="U87" s="260" t="s">
        <v>797</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0"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1044</v>
      </c>
      <c r="R88" s="279">
        <f t="shared" si="0"/>
        <v>26.336190215183478</v>
      </c>
      <c r="S88" s="277" t="s">
        <v>690</v>
      </c>
      <c r="T88" s="277"/>
      <c r="U88" s="260" t="s">
        <v>797</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0"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1044</v>
      </c>
      <c r="R89" s="279">
        <f t="shared" si="0"/>
        <v>19.13173300938638</v>
      </c>
      <c r="S89" s="277" t="s">
        <v>673</v>
      </c>
      <c r="T89" s="277"/>
      <c r="U89" s="323" t="s">
        <v>799</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0"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1044</v>
      </c>
      <c r="R90" s="279">
        <f t="shared" si="0"/>
        <v>25.508977345848507</v>
      </c>
      <c r="S90" s="277" t="s">
        <v>673</v>
      </c>
      <c r="T90" s="277"/>
      <c r="U90" s="322" t="s">
        <v>798</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0"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1044</v>
      </c>
      <c r="R91" s="279">
        <f t="shared" si="0"/>
        <v>31.886221682310634</v>
      </c>
      <c r="S91" s="277" t="s">
        <v>673</v>
      </c>
      <c r="T91" s="277"/>
      <c r="U91" s="260" t="s">
        <v>797</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0" t="str">
        <f t="shared" si="6"/>
        <v>Glinting Pyrestone (5agi/5hit)</v>
      </c>
    </row>
    <row r="92" spans="1:29">
      <c r="A92" s="276" t="s">
        <v>1878</v>
      </c>
      <c r="B92" s="277">
        <v>30585</v>
      </c>
      <c r="C92" s="277">
        <v>1</v>
      </c>
      <c r="D92" s="277"/>
      <c r="E92" s="277">
        <v>4</v>
      </c>
      <c r="F92" s="277"/>
      <c r="G92" s="277"/>
      <c r="H92" s="277"/>
      <c r="I92" s="277"/>
      <c r="J92" s="278"/>
      <c r="K92" s="277"/>
      <c r="L92" s="277"/>
      <c r="M92" s="277"/>
      <c r="N92" s="277"/>
      <c r="O92" s="277">
        <v>5</v>
      </c>
      <c r="P92" s="277"/>
      <c r="Q92" s="277" t="s">
        <v>1044</v>
      </c>
      <c r="R92" s="279">
        <f t="shared" si="0"/>
        <v>3.3088514773398856</v>
      </c>
      <c r="S92" s="277" t="s">
        <v>673</v>
      </c>
      <c r="T92" s="277"/>
      <c r="U92" s="260" t="s">
        <v>797</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0" t="str">
        <f t="shared" si="6"/>
        <v>Glistening Fire Opal (4agi/5def)</v>
      </c>
    </row>
    <row r="93" spans="1:29">
      <c r="A93" s="276" t="s">
        <v>1679</v>
      </c>
      <c r="B93" s="277">
        <v>23098</v>
      </c>
      <c r="C93" s="277">
        <v>1</v>
      </c>
      <c r="D93" s="277">
        <v>3</v>
      </c>
      <c r="E93" s="277"/>
      <c r="F93" s="277"/>
      <c r="G93" s="277">
        <v>3</v>
      </c>
      <c r="H93" s="277"/>
      <c r="I93" s="277"/>
      <c r="J93" s="278"/>
      <c r="K93" s="277"/>
      <c r="L93" s="277"/>
      <c r="M93" s="277"/>
      <c r="N93" s="277"/>
      <c r="O93" s="277"/>
      <c r="P93" s="277"/>
      <c r="Q93" s="277" t="s">
        <v>1044</v>
      </c>
      <c r="R93" s="279">
        <f t="shared" si="0"/>
        <v>3.2365780018521946</v>
      </c>
      <c r="S93" s="277" t="s">
        <v>673</v>
      </c>
      <c r="T93" s="277"/>
      <c r="U93" s="323" t="s">
        <v>799</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0" t="str">
        <f t="shared" si="6"/>
        <v>Inscribed Flame Spessarite (3str/3crit)</v>
      </c>
    </row>
    <row r="94" spans="1:29">
      <c r="A94" s="276" t="s">
        <v>1680</v>
      </c>
      <c r="B94" s="277">
        <v>24058</v>
      </c>
      <c r="C94" s="277">
        <v>1</v>
      </c>
      <c r="D94" s="277">
        <v>4</v>
      </c>
      <c r="E94" s="277"/>
      <c r="F94" s="277"/>
      <c r="G94" s="277">
        <v>4</v>
      </c>
      <c r="H94" s="277"/>
      <c r="I94" s="277"/>
      <c r="J94" s="278"/>
      <c r="K94" s="277"/>
      <c r="L94" s="277"/>
      <c r="M94" s="277"/>
      <c r="N94" s="277"/>
      <c r="O94" s="277"/>
      <c r="P94" s="277"/>
      <c r="Q94" s="277" t="s">
        <v>1044</v>
      </c>
      <c r="R94" s="279">
        <f t="shared" ref="R94:R105" si="9">$D94*dpsStr+$E94*dpsAgi+$G94*dpsCrit+$H94*dpsHit+$F94*dpsAP+$I94*dpsHaste+$J94*dpsArmor+$K94*dpsExp</f>
        <v>4.3154373358029261</v>
      </c>
      <c r="S94" s="277" t="s">
        <v>673</v>
      </c>
      <c r="T94" s="277"/>
      <c r="U94" s="322" t="s">
        <v>798</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0" t="str">
        <f t="shared" si="6"/>
        <v>Inscribed Noble Topaz (4str/4crit)</v>
      </c>
    </row>
    <row r="95" spans="1:29">
      <c r="A95" s="276" t="s">
        <v>1681</v>
      </c>
      <c r="B95" s="277">
        <v>28363</v>
      </c>
      <c r="C95" s="277">
        <v>1</v>
      </c>
      <c r="D95" s="277"/>
      <c r="E95" s="277"/>
      <c r="F95" s="277">
        <v>10</v>
      </c>
      <c r="G95" s="277">
        <v>5</v>
      </c>
      <c r="H95" s="277"/>
      <c r="I95" s="277"/>
      <c r="J95" s="278"/>
      <c r="K95" s="277"/>
      <c r="L95" s="277"/>
      <c r="M95" s="277"/>
      <c r="N95" s="277"/>
      <c r="O95" s="277"/>
      <c r="P95" s="277"/>
      <c r="Q95" s="277" t="s">
        <v>1044</v>
      </c>
      <c r="R95" s="279">
        <f t="shared" si="9"/>
        <v>7.0022817860990472</v>
      </c>
      <c r="S95" s="277" t="s">
        <v>676</v>
      </c>
      <c r="T95" s="277" t="s">
        <v>727</v>
      </c>
      <c r="U95" s="260" t="s">
        <v>797</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0" t="str">
        <f t="shared" si="6"/>
        <v>Inscribed Ornate Topaz (5crit/10ap)</v>
      </c>
    </row>
    <row r="96" spans="1:29">
      <c r="A96" s="276" t="s">
        <v>1682</v>
      </c>
      <c r="B96" s="277">
        <v>32217</v>
      </c>
      <c r="C96" s="277">
        <v>3</v>
      </c>
      <c r="D96" s="277">
        <v>5</v>
      </c>
      <c r="E96" s="277"/>
      <c r="F96" s="277"/>
      <c r="G96" s="277">
        <v>5</v>
      </c>
      <c r="H96" s="277"/>
      <c r="I96" s="277"/>
      <c r="J96" s="278"/>
      <c r="K96" s="277"/>
      <c r="L96" s="277"/>
      <c r="M96" s="277"/>
      <c r="N96" s="277"/>
      <c r="O96" s="277"/>
      <c r="P96" s="277"/>
      <c r="Q96" s="277" t="s">
        <v>1044</v>
      </c>
      <c r="R96" s="279">
        <f t="shared" si="9"/>
        <v>5.3942966697536576</v>
      </c>
      <c r="S96" s="277" t="s">
        <v>673</v>
      </c>
      <c r="T96" s="277"/>
      <c r="U96" s="260" t="s">
        <v>797</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0" t="str">
        <f t="shared" si="6"/>
        <v>Inscribed Pyrestone (5str/5crit)</v>
      </c>
    </row>
    <row r="97" spans="1:29">
      <c r="A97" s="276" t="s">
        <v>1683</v>
      </c>
      <c r="B97" s="277">
        <v>30575</v>
      </c>
      <c r="C97" s="277">
        <v>1</v>
      </c>
      <c r="D97" s="277"/>
      <c r="E97" s="277"/>
      <c r="F97" s="277"/>
      <c r="G97" s="277"/>
      <c r="H97" s="277">
        <v>4</v>
      </c>
      <c r="I97" s="277"/>
      <c r="J97" s="278"/>
      <c r="K97" s="277"/>
      <c r="L97" s="277"/>
      <c r="M97" s="277">
        <v>5</v>
      </c>
      <c r="N97" s="277"/>
      <c r="O97" s="277"/>
      <c r="P97" s="277"/>
      <c r="Q97" s="277" t="s">
        <v>1044</v>
      </c>
      <c r="R97" s="279">
        <f t="shared" si="9"/>
        <v>22.200125868508621</v>
      </c>
      <c r="S97" s="277" t="s">
        <v>690</v>
      </c>
      <c r="T97" s="277"/>
      <c r="U97" s="260" t="s">
        <v>797</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0" t="str">
        <f t="shared" si="6"/>
        <v>Nimble Fire Opal (4hit/5dodge)</v>
      </c>
    </row>
    <row r="98" spans="1:29">
      <c r="A98" s="276" t="s">
        <v>1684</v>
      </c>
      <c r="B98" s="277">
        <v>30553</v>
      </c>
      <c r="C98" s="277">
        <v>1</v>
      </c>
      <c r="D98" s="277"/>
      <c r="E98" s="277"/>
      <c r="F98" s="277">
        <v>10</v>
      </c>
      <c r="G98" s="277"/>
      <c r="H98" s="277">
        <v>4</v>
      </c>
      <c r="I98" s="277"/>
      <c r="J98" s="278"/>
      <c r="K98" s="277"/>
      <c r="L98" s="277"/>
      <c r="M98" s="277"/>
      <c r="N98" s="277"/>
      <c r="O98" s="277"/>
      <c r="P98" s="277"/>
      <c r="Q98" s="277" t="s">
        <v>1044</v>
      </c>
      <c r="R98" s="279">
        <f t="shared" si="9"/>
        <v>25.773426127060247</v>
      </c>
      <c r="S98" s="277" t="s">
        <v>690</v>
      </c>
      <c r="T98" s="277"/>
      <c r="U98" s="260" t="s">
        <v>797</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0" t="str">
        <f t="shared" si="6"/>
        <v>Pristine Fire Opal (4hit/10ap)</v>
      </c>
    </row>
    <row r="99" spans="1:29">
      <c r="A99" s="276" t="s">
        <v>1258</v>
      </c>
      <c r="B99" s="277">
        <v>30604</v>
      </c>
      <c r="C99" s="277">
        <v>1</v>
      </c>
      <c r="D99" s="277">
        <v>5</v>
      </c>
      <c r="E99" s="277"/>
      <c r="F99" s="277"/>
      <c r="G99" s="277"/>
      <c r="H99" s="277"/>
      <c r="I99" s="277"/>
      <c r="J99" s="278"/>
      <c r="K99" s="277"/>
      <c r="L99" s="277"/>
      <c r="M99" s="277"/>
      <c r="N99" s="277">
        <v>4</v>
      </c>
      <c r="O99" s="277"/>
      <c r="P99" s="277"/>
      <c r="Q99" s="277" t="s">
        <v>1044</v>
      </c>
      <c r="R99" s="279">
        <f t="shared" si="9"/>
        <v>1.9653151422062365</v>
      </c>
      <c r="S99" s="277" t="s">
        <v>690</v>
      </c>
      <c r="T99" s="277"/>
      <c r="U99" s="260" t="s">
        <v>797</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0" t="str">
        <f t="shared" si="6"/>
        <v>Resplendent Fire Opal (5str/4res)</v>
      </c>
    </row>
    <row r="100" spans="1:29">
      <c r="A100" s="276" t="s">
        <v>1551</v>
      </c>
      <c r="B100" s="277">
        <v>30607</v>
      </c>
      <c r="C100" s="277">
        <v>1</v>
      </c>
      <c r="D100" s="277"/>
      <c r="E100" s="277"/>
      <c r="F100" s="277"/>
      <c r="G100" s="277"/>
      <c r="H100" s="277"/>
      <c r="I100" s="277"/>
      <c r="J100" s="278"/>
      <c r="K100" s="277"/>
      <c r="L100" s="277"/>
      <c r="M100" s="277"/>
      <c r="N100" s="277">
        <v>4</v>
      </c>
      <c r="O100" s="277"/>
      <c r="P100" s="277"/>
      <c r="Q100" s="277" t="s">
        <v>1044</v>
      </c>
      <c r="R100" s="279">
        <f t="shared" si="9"/>
        <v>0</v>
      </c>
      <c r="S100" s="277" t="s">
        <v>690</v>
      </c>
      <c r="T100" s="277"/>
      <c r="U100" s="260" t="s">
        <v>797</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0" t="str">
        <f t="shared" si="6"/>
        <v>Splendid Fire Opal (5parry/4res)</v>
      </c>
    </row>
    <row r="101" spans="1:29">
      <c r="A101" s="276" t="s">
        <v>1552</v>
      </c>
      <c r="B101" s="277">
        <v>30554</v>
      </c>
      <c r="C101" s="277">
        <v>1</v>
      </c>
      <c r="D101" s="277"/>
      <c r="E101" s="277"/>
      <c r="F101" s="277"/>
      <c r="G101" s="277"/>
      <c r="H101" s="277"/>
      <c r="I101" s="277"/>
      <c r="J101" s="278"/>
      <c r="K101" s="277"/>
      <c r="L101" s="277"/>
      <c r="M101" s="277">
        <v>4</v>
      </c>
      <c r="N101" s="277"/>
      <c r="O101" s="277">
        <v>5</v>
      </c>
      <c r="P101" s="277"/>
      <c r="Q101" s="277" t="s">
        <v>1044</v>
      </c>
      <c r="R101" s="279">
        <f t="shared" si="9"/>
        <v>0</v>
      </c>
      <c r="S101" s="277" t="s">
        <v>690</v>
      </c>
      <c r="T101" s="277"/>
      <c r="U101" s="260" t="s">
        <v>797</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0" t="str">
        <f t="shared" si="6"/>
        <v>Stalwart Fire Opal (5def/4dodge)</v>
      </c>
    </row>
    <row r="102" spans="1:29">
      <c r="A102" s="276" t="s">
        <v>1500</v>
      </c>
      <c r="B102" s="277">
        <v>32637</v>
      </c>
      <c r="C102" s="277">
        <v>3</v>
      </c>
      <c r="D102" s="277"/>
      <c r="E102" s="277"/>
      <c r="F102" s="277">
        <v>8</v>
      </c>
      <c r="G102" s="277">
        <v>4</v>
      </c>
      <c r="H102" s="277"/>
      <c r="I102" s="277"/>
      <c r="J102" s="278"/>
      <c r="K102" s="277"/>
      <c r="L102" s="277"/>
      <c r="M102" s="277"/>
      <c r="N102" s="277"/>
      <c r="O102" s="277"/>
      <c r="P102" s="277"/>
      <c r="Q102" s="277" t="s">
        <v>1044</v>
      </c>
      <c r="R102" s="279">
        <f t="shared" si="9"/>
        <v>5.6018254288792377</v>
      </c>
      <c r="S102" s="277" t="s">
        <v>674</v>
      </c>
      <c r="T102" s="277" t="s">
        <v>727</v>
      </c>
      <c r="U102" s="322" t="s">
        <v>798</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0" t="str">
        <f t="shared" si="6"/>
        <v>Unstable Citrine (4crit/8ap)</v>
      </c>
    </row>
    <row r="103" spans="1:29">
      <c r="A103" s="276" t="s">
        <v>1501</v>
      </c>
      <c r="B103" s="277">
        <v>31869</v>
      </c>
      <c r="C103" s="277">
        <v>1</v>
      </c>
      <c r="D103" s="277"/>
      <c r="E103" s="277"/>
      <c r="F103" s="277">
        <v>6</v>
      </c>
      <c r="G103" s="277">
        <v>3</v>
      </c>
      <c r="H103" s="277"/>
      <c r="I103" s="277"/>
      <c r="J103" s="278"/>
      <c r="K103" s="277"/>
      <c r="L103" s="277"/>
      <c r="M103" s="277"/>
      <c r="N103" s="277"/>
      <c r="O103" s="277"/>
      <c r="P103" s="277"/>
      <c r="Q103" s="277" t="s">
        <v>1044</v>
      </c>
      <c r="R103" s="279">
        <f t="shared" si="9"/>
        <v>4.2013690716594283</v>
      </c>
      <c r="S103" s="277" t="s">
        <v>673</v>
      </c>
      <c r="T103" s="277"/>
      <c r="U103" s="323" t="s">
        <v>799</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0" t="str">
        <f t="shared" si="6"/>
        <v>Wicked Flame Spessarite (3crit/6ap)</v>
      </c>
    </row>
    <row r="104" spans="1:29">
      <c r="A104" s="276" t="s">
        <v>2071</v>
      </c>
      <c r="B104" s="277">
        <v>31868</v>
      </c>
      <c r="C104" s="277">
        <v>1</v>
      </c>
      <c r="D104" s="277"/>
      <c r="E104" s="277"/>
      <c r="F104" s="277">
        <v>8</v>
      </c>
      <c r="G104" s="277">
        <v>4</v>
      </c>
      <c r="H104" s="277"/>
      <c r="I104" s="277"/>
      <c r="J104" s="278"/>
      <c r="K104" s="277"/>
      <c r="L104" s="277"/>
      <c r="M104" s="277"/>
      <c r="N104" s="277"/>
      <c r="O104" s="277"/>
      <c r="P104" s="277"/>
      <c r="Q104" s="277" t="s">
        <v>1044</v>
      </c>
      <c r="R104" s="279">
        <f t="shared" si="9"/>
        <v>5.6018254288792377</v>
      </c>
      <c r="S104" s="277" t="s">
        <v>673</v>
      </c>
      <c r="T104" s="277"/>
      <c r="U104" s="322" t="s">
        <v>798</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0" t="str">
        <f t="shared" si="6"/>
        <v>Wicked Noble Topaz (4crit/8ap)</v>
      </c>
    </row>
    <row r="105" spans="1:29">
      <c r="A105" s="276" t="s">
        <v>2072</v>
      </c>
      <c r="B105" s="277">
        <v>32222</v>
      </c>
      <c r="C105" s="277">
        <v>3</v>
      </c>
      <c r="D105" s="277"/>
      <c r="E105" s="277"/>
      <c r="F105" s="277">
        <v>10</v>
      </c>
      <c r="G105" s="277">
        <v>5</v>
      </c>
      <c r="H105" s="277"/>
      <c r="I105" s="277"/>
      <c r="J105" s="278"/>
      <c r="K105" s="277"/>
      <c r="L105" s="277"/>
      <c r="M105" s="277"/>
      <c r="N105" s="277"/>
      <c r="O105" s="277"/>
      <c r="P105" s="277"/>
      <c r="Q105" s="277" t="s">
        <v>1044</v>
      </c>
      <c r="R105" s="279">
        <f t="shared" si="9"/>
        <v>7.0022817860990472</v>
      </c>
      <c r="S105" s="277" t="s">
        <v>673</v>
      </c>
      <c r="T105" s="277"/>
      <c r="U105" s="260" t="s">
        <v>797</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0" t="str">
        <f t="shared" si="6"/>
        <v>Wicked Pyrestone (5crit/10ap)</v>
      </c>
    </row>
    <row r="106" spans="1:29">
      <c r="Y106" s="120"/>
    </row>
    <row r="107" spans="1:29" ht="23.25" thickBot="1">
      <c r="A107" s="752" t="s">
        <v>2837</v>
      </c>
      <c r="B107" s="752" t="s">
        <v>1933</v>
      </c>
      <c r="C107" s="752" t="s">
        <v>2795</v>
      </c>
      <c r="D107" s="752" t="s">
        <v>1213</v>
      </c>
      <c r="E107" s="752" t="s">
        <v>1214</v>
      </c>
      <c r="F107" s="752" t="s">
        <v>767</v>
      </c>
      <c r="G107" s="752" t="s">
        <v>2139</v>
      </c>
      <c r="H107" s="752" t="s">
        <v>2138</v>
      </c>
      <c r="I107" s="752" t="s">
        <v>770</v>
      </c>
      <c r="J107" s="752" t="s">
        <v>769</v>
      </c>
      <c r="K107" s="752" t="s">
        <v>759</v>
      </c>
      <c r="L107" s="752" t="s">
        <v>1215</v>
      </c>
      <c r="M107" s="752" t="s">
        <v>264</v>
      </c>
      <c r="N107" s="752" t="s">
        <v>1216</v>
      </c>
      <c r="O107" s="752" t="s">
        <v>1286</v>
      </c>
      <c r="P107" s="752" t="s">
        <v>1045</v>
      </c>
      <c r="Q107" s="730" t="s">
        <v>1046</v>
      </c>
      <c r="R107" s="752" t="s">
        <v>265</v>
      </c>
      <c r="S107" s="752" t="s">
        <v>1343</v>
      </c>
      <c r="T107" s="779" t="s">
        <v>54</v>
      </c>
      <c r="U107" s="780" t="s">
        <v>56</v>
      </c>
      <c r="V107" s="781" t="s">
        <v>55</v>
      </c>
      <c r="W107" s="752">
        <v>0</v>
      </c>
      <c r="X107" s="752"/>
      <c r="Y107" s="752"/>
    </row>
    <row r="108" spans="1:29">
      <c r="A108" s="6" t="s">
        <v>2206</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1688</v>
      </c>
      <c r="Z108" s="6" t="s">
        <v>1923</v>
      </c>
      <c r="AC108" s="1390"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0">
        <f t="shared" ref="AC109:AC117" si="11">HYPERLINK("https://tbc.wowhead.com/item="&amp;B109,A109)</f>
        <v>0</v>
      </c>
    </row>
    <row r="110" spans="1:29">
      <c r="A110" s="6" t="s">
        <v>1667</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1923</v>
      </c>
      <c r="AC110" s="1390" t="str">
        <f t="shared" si="11"/>
        <v>Brutal Earthstorm Diamond (3dam/stun)</v>
      </c>
    </row>
    <row r="111" spans="1:29">
      <c r="A111" s="6" t="s">
        <v>1668</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1923</v>
      </c>
      <c r="AC111" s="1390" t="str">
        <f t="shared" si="11"/>
        <v>Enigmatic Skyfire Diamond (12crit/5%root resi)</v>
      </c>
    </row>
    <row r="112" spans="1:29">
      <c r="A112" s="336" t="s">
        <v>1502</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1923</v>
      </c>
      <c r="AC112" s="1390"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Relentless Earthstorm Diamond (12agi/3%crit dam)</v>
      </c>
      <c r="Z113" s="6" t="s">
        <v>1923</v>
      </c>
      <c r="AC113" s="1390" t="str">
        <f t="shared" si="11"/>
        <v>Powerful Earthstorm Diamond (18sta/5%stun resi)</v>
      </c>
    </row>
    <row r="114" spans="1:29">
      <c r="A114" s="6" t="s">
        <v>292</v>
      </c>
      <c r="B114" s="120">
        <v>32409</v>
      </c>
      <c r="C114" s="120">
        <v>1</v>
      </c>
      <c r="E114" s="120">
        <f>IF(S114,12,0)</f>
        <v>12</v>
      </c>
      <c r="H114" s="121"/>
      <c r="R114" s="250">
        <f t="shared" si="10"/>
        <v>9.9265544320196568</v>
      </c>
      <c r="S114" s="120" t="b">
        <f>IF('Gear &amp; Buffs'!Y43=TRUE,IF(AND(T108&gt;=2,U108&gt;=2,V108&gt;=2),TRUE,FALSE),TRUE)</f>
        <v>1</v>
      </c>
      <c r="V114" s="784"/>
      <c r="W114" s="129">
        <f>IF(AND(OR(IF(includep1,$C114&lt;=1), IF(includep2,$C114&lt;=2), IF(includep3,$C114&lt;=3), IF(includep4,$C114&lt;=107), IF(includep5,$C114&lt;=5))),MAX($W$107:$W113)+1,"")</f>
        <v>4</v>
      </c>
      <c r="X114" s="737">
        <v>5</v>
      </c>
      <c r="Y114" s="713" t="str">
        <f t="shared" si="12"/>
        <v>Swift Skyfire Diamond (24ap/minor speed)</v>
      </c>
      <c r="Z114" s="6" t="s">
        <v>1923</v>
      </c>
      <c r="AC114" s="1390"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5</v>
      </c>
      <c r="X115" s="737">
        <v>6</v>
      </c>
      <c r="Y115" s="713" t="str">
        <f t="shared" si="12"/>
        <v>Swift Windfire Diamond (20ap/minor speed)</v>
      </c>
      <c r="Z115" s="6" t="s">
        <v>1923</v>
      </c>
      <c r="AC115" s="1390"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6</v>
      </c>
      <c r="X116" s="737">
        <v>7</v>
      </c>
      <c r="Y116" s="713" t="str">
        <f t="shared" si="12"/>
        <v>Thundering Skyfire Diamond (haste)</v>
      </c>
      <c r="Z116" s="6" t="s">
        <v>1923</v>
      </c>
      <c r="AC116" s="1390" t="str">
        <f t="shared" si="11"/>
        <v>Swift Windfire Diamond (20ap/minor speed)</v>
      </c>
    </row>
    <row r="117" spans="1:29">
      <c r="A117" s="6" t="s">
        <v>295</v>
      </c>
      <c r="B117" s="120">
        <v>32410</v>
      </c>
      <c r="C117" s="120">
        <v>1</v>
      </c>
      <c r="H117" s="121"/>
      <c r="I117" s="120">
        <f>IF(S117,240*itTSDup,0)</f>
        <v>27.536636673910554</v>
      </c>
      <c r="R117" s="250">
        <f t="shared" si="10"/>
        <v>101.09758764853754</v>
      </c>
      <c r="S117" s="120" t="b">
        <f>IF('Gear &amp; Buffs'!Y43=TRUE,IF(AND(T108&gt;=2,U108&gt;=2,V108&gt;=2),TRUE,FALSE),TRUE)</f>
        <v>1</v>
      </c>
      <c r="V117" s="784"/>
      <c r="W117" s="129">
        <f>IF(AND(OR(IF(includep1,$C117&lt;=1), IF(includep2,$C117&lt;=2), IF(includep3,$C117&lt;=3), IF(includep4,$C117&lt;=107), IF(includep5,$C117&lt;=5))),MAX($W$107:$W116)+1,"")</f>
        <v>7</v>
      </c>
      <c r="X117" s="737">
        <v>8</v>
      </c>
      <c r="Y117" s="713" t="str">
        <f t="shared" si="12"/>
        <v/>
      </c>
      <c r="Z117" s="6" t="s">
        <v>1923</v>
      </c>
      <c r="AC117" s="1390"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B35" sqref="AB35"/>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0"/>
      <c r="U1" s="700"/>
      <c r="V1" s="700"/>
      <c r="W1" s="700" t="s">
        <v>567</v>
      </c>
      <c r="X1" s="705" t="s">
        <v>568</v>
      </c>
      <c r="Y1" s="701" t="s">
        <v>265</v>
      </c>
      <c r="Z1" s="702" t="s">
        <v>1473</v>
      </c>
      <c r="AA1" s="701">
        <v>0</v>
      </c>
      <c r="AB1" s="701"/>
      <c r="AC1" s="703" t="s">
        <v>460</v>
      </c>
    </row>
    <row r="2" spans="1:30">
      <c r="A2" s="694" t="s">
        <v>2333</v>
      </c>
      <c r="B2" s="695">
        <v>22478</v>
      </c>
      <c r="C2" s="695">
        <v>1</v>
      </c>
      <c r="D2" s="695">
        <v>18</v>
      </c>
      <c r="E2" s="695">
        <v>30</v>
      </c>
      <c r="F2" s="695"/>
      <c r="G2" s="696">
        <v>28</v>
      </c>
      <c r="H2" s="696">
        <v>10</v>
      </c>
      <c r="I2" s="695"/>
      <c r="J2" s="695"/>
      <c r="K2" s="695"/>
      <c r="L2" s="695">
        <v>29</v>
      </c>
      <c r="M2" s="696"/>
      <c r="N2" s="696"/>
      <c r="O2" s="695"/>
      <c r="P2" s="695" t="s">
        <v>2334</v>
      </c>
      <c r="Q2" s="695" t="s">
        <v>1047</v>
      </c>
      <c r="R2" s="695"/>
      <c r="S2" s="695" t="s">
        <v>667</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1688</v>
      </c>
      <c r="AD2" s="1391" t="str">
        <f>HYPERLINK("https://tbc.wowhead.com/item="&amp;B2,A2)</f>
        <v>Bonescythe Helmet</v>
      </c>
    </row>
    <row r="3" spans="1:30">
      <c r="A3" s="676" t="s">
        <v>1483</v>
      </c>
      <c r="B3" s="677">
        <v>35033</v>
      </c>
      <c r="C3" s="677">
        <v>5</v>
      </c>
      <c r="D3" s="677"/>
      <c r="E3" s="677">
        <v>36</v>
      </c>
      <c r="F3" s="677">
        <v>62</v>
      </c>
      <c r="G3" s="678">
        <v>26</v>
      </c>
      <c r="H3" s="678">
        <v>17</v>
      </c>
      <c r="I3" s="677"/>
      <c r="J3" s="677">
        <v>84</v>
      </c>
      <c r="K3" s="677"/>
      <c r="L3" s="677">
        <v>72</v>
      </c>
      <c r="M3" s="678"/>
      <c r="N3" s="678">
        <v>25</v>
      </c>
      <c r="O3" s="677"/>
      <c r="P3" s="677" t="s">
        <v>1067</v>
      </c>
      <c r="Q3" s="677" t="s">
        <v>1063</v>
      </c>
      <c r="R3" s="677" t="s">
        <v>1068</v>
      </c>
      <c r="S3" s="677" t="s">
        <v>676</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1" t="str">
        <f t="shared" ref="AD3:AD28" si="0">HYPERLINK("https://tbc.wowhead.com/item="&amp;B3,A3)</f>
        <v>Brutal Gladiator's Leather Helm</v>
      </c>
    </row>
    <row r="4" spans="1:30">
      <c r="A4" s="676" t="s">
        <v>1048</v>
      </c>
      <c r="B4" s="678">
        <v>29502</v>
      </c>
      <c r="C4" s="678">
        <v>1</v>
      </c>
      <c r="D4" s="677"/>
      <c r="E4" s="677">
        <v>37</v>
      </c>
      <c r="F4" s="677">
        <v>74</v>
      </c>
      <c r="G4" s="678"/>
      <c r="H4" s="678">
        <v>18</v>
      </c>
      <c r="I4" s="678"/>
      <c r="J4" s="677"/>
      <c r="K4" s="678"/>
      <c r="L4" s="677">
        <v>42</v>
      </c>
      <c r="M4" s="678"/>
      <c r="N4" s="678"/>
      <c r="O4" s="678"/>
      <c r="P4" s="687"/>
      <c r="Q4" s="677" t="s">
        <v>1047</v>
      </c>
      <c r="R4" s="677"/>
      <c r="S4" s="677" t="s">
        <v>684</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1" t="str">
        <f t="shared" si="0"/>
        <v>Cobrascale Hood</v>
      </c>
    </row>
    <row r="5" spans="1:30">
      <c r="A5" s="676" t="s">
        <v>1049</v>
      </c>
      <c r="B5" s="678">
        <v>28732</v>
      </c>
      <c r="C5" s="678">
        <v>1</v>
      </c>
      <c r="D5" s="677"/>
      <c r="E5" s="677">
        <v>34</v>
      </c>
      <c r="F5" s="677">
        <v>100</v>
      </c>
      <c r="G5" s="678"/>
      <c r="H5" s="678">
        <v>24</v>
      </c>
      <c r="I5" s="678"/>
      <c r="J5" s="677"/>
      <c r="K5" s="678"/>
      <c r="L5" s="677">
        <v>33</v>
      </c>
      <c r="M5" s="678"/>
      <c r="N5" s="678"/>
      <c r="O5" s="678"/>
      <c r="P5" s="687"/>
      <c r="Q5" s="677" t="s">
        <v>1047</v>
      </c>
      <c r="R5" s="677"/>
      <c r="S5" s="678" t="s">
        <v>671</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1" t="str">
        <f t="shared" si="0"/>
        <v>Cowl of Defiance</v>
      </c>
    </row>
    <row r="6" spans="1:30">
      <c r="A6" s="676" t="s">
        <v>2248</v>
      </c>
      <c r="B6" s="678">
        <v>32235</v>
      </c>
      <c r="C6" s="678">
        <v>3</v>
      </c>
      <c r="D6" s="677"/>
      <c r="E6" s="677">
        <v>39</v>
      </c>
      <c r="F6" s="677">
        <v>108</v>
      </c>
      <c r="G6" s="678">
        <v>38</v>
      </c>
      <c r="H6" s="678">
        <v>21</v>
      </c>
      <c r="I6" s="678"/>
      <c r="J6" s="677"/>
      <c r="K6" s="678"/>
      <c r="L6" s="677">
        <v>46</v>
      </c>
      <c r="M6" s="678"/>
      <c r="N6" s="678"/>
      <c r="O6" s="678"/>
      <c r="P6" s="687"/>
      <c r="Q6" s="677" t="s">
        <v>1050</v>
      </c>
      <c r="R6" s="677" t="s">
        <v>1051</v>
      </c>
      <c r="S6" s="678" t="s">
        <v>682</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1" t="str">
        <f t="shared" si="0"/>
        <v>Cursed Vision of Sargeras</v>
      </c>
    </row>
    <row r="7" spans="1:30">
      <c r="A7" s="676" t="s">
        <v>1052</v>
      </c>
      <c r="B7" s="678">
        <v>27415</v>
      </c>
      <c r="C7" s="678">
        <v>1</v>
      </c>
      <c r="D7" s="677"/>
      <c r="E7" s="677">
        <v>29</v>
      </c>
      <c r="F7" s="677">
        <v>60</v>
      </c>
      <c r="G7" s="678"/>
      <c r="H7" s="678">
        <v>20</v>
      </c>
      <c r="I7" s="678"/>
      <c r="J7" s="677"/>
      <c r="K7" s="678"/>
      <c r="L7" s="677">
        <v>30</v>
      </c>
      <c r="M7" s="678"/>
      <c r="N7" s="678"/>
      <c r="O7" s="678"/>
      <c r="P7" s="687"/>
      <c r="Q7" s="677" t="s">
        <v>1047</v>
      </c>
      <c r="R7" s="677"/>
      <c r="S7" s="677" t="s">
        <v>672</v>
      </c>
      <c r="T7" s="686"/>
      <c r="U7" s="686"/>
      <c r="V7" s="686"/>
      <c r="W7" s="686" t="s">
        <v>631</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1" t="str">
        <f t="shared" si="0"/>
        <v>Darkguard Face Mask</v>
      </c>
    </row>
    <row r="8" spans="1:30" s="47" customFormat="1">
      <c r="A8" s="689" t="s">
        <v>1053</v>
      </c>
      <c r="B8" s="677">
        <v>32478</v>
      </c>
      <c r="C8" s="677">
        <v>5</v>
      </c>
      <c r="D8" s="677"/>
      <c r="E8" s="677">
        <v>48</v>
      </c>
      <c r="F8" s="677">
        <v>76</v>
      </c>
      <c r="G8" s="678"/>
      <c r="H8" s="678">
        <v>11</v>
      </c>
      <c r="I8" s="677"/>
      <c r="J8" s="677"/>
      <c r="K8" s="677"/>
      <c r="L8" s="677">
        <v>28</v>
      </c>
      <c r="M8" s="678"/>
      <c r="N8" s="678"/>
      <c r="O8" s="677"/>
      <c r="P8" s="677"/>
      <c r="Q8" s="677" t="s">
        <v>1054</v>
      </c>
      <c r="R8" s="677" t="s">
        <v>1055</v>
      </c>
      <c r="S8" s="677" t="s">
        <v>688</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1" t="str">
        <f t="shared" si="0"/>
        <v>Deathblow X11 Goggles</v>
      </c>
    </row>
    <row r="9" spans="1:30">
      <c r="A9" s="676" t="s">
        <v>1056</v>
      </c>
      <c r="B9" s="677">
        <v>30146</v>
      </c>
      <c r="C9" s="677">
        <v>2</v>
      </c>
      <c r="D9" s="677"/>
      <c r="E9" s="677">
        <v>39</v>
      </c>
      <c r="F9" s="677">
        <v>78</v>
      </c>
      <c r="G9" s="678">
        <v>25</v>
      </c>
      <c r="H9" s="678"/>
      <c r="I9" s="677"/>
      <c r="J9" s="677"/>
      <c r="K9" s="677"/>
      <c r="L9" s="677">
        <v>48</v>
      </c>
      <c r="M9" s="678"/>
      <c r="N9" s="678"/>
      <c r="O9" s="677"/>
      <c r="P9" s="677" t="s">
        <v>1062</v>
      </c>
      <c r="Q9" s="677" t="s">
        <v>1063</v>
      </c>
      <c r="R9" s="677" t="s">
        <v>1064</v>
      </c>
      <c r="S9" s="677" t="s">
        <v>666</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1" t="str">
        <f t="shared" si="0"/>
        <v>Deathmantle Helm</v>
      </c>
    </row>
    <row r="10" spans="1:30">
      <c r="A10" s="676" t="s">
        <v>964</v>
      </c>
      <c r="B10" s="677">
        <v>34244</v>
      </c>
      <c r="C10" s="677">
        <v>5</v>
      </c>
      <c r="D10" s="677"/>
      <c r="E10" s="677">
        <v>43</v>
      </c>
      <c r="F10" s="677">
        <v>126</v>
      </c>
      <c r="G10" s="678"/>
      <c r="H10" s="678">
        <v>30</v>
      </c>
      <c r="I10" s="677">
        <v>34</v>
      </c>
      <c r="J10" s="677"/>
      <c r="K10" s="677"/>
      <c r="L10" s="677">
        <v>57</v>
      </c>
      <c r="M10" s="678"/>
      <c r="N10" s="678"/>
      <c r="O10" s="677"/>
      <c r="P10" s="677"/>
      <c r="Q10" s="677" t="s">
        <v>1063</v>
      </c>
      <c r="R10" s="677" t="s">
        <v>2019</v>
      </c>
      <c r="S10" s="677" t="s">
        <v>870</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1" t="str">
        <f t="shared" si="0"/>
        <v>Duplicitous Guise</v>
      </c>
    </row>
    <row r="11" spans="1:30" s="129" customFormat="1">
      <c r="A11" s="676" t="s">
        <v>1066</v>
      </c>
      <c r="B11" s="677">
        <v>25830</v>
      </c>
      <c r="C11" s="677">
        <v>1</v>
      </c>
      <c r="D11" s="677"/>
      <c r="E11" s="677">
        <v>34</v>
      </c>
      <c r="F11" s="677">
        <v>36</v>
      </c>
      <c r="G11" s="678">
        <v>13</v>
      </c>
      <c r="H11" s="678"/>
      <c r="I11" s="677"/>
      <c r="J11" s="677"/>
      <c r="K11" s="677"/>
      <c r="L11" s="677">
        <v>53</v>
      </c>
      <c r="M11" s="678"/>
      <c r="N11" s="678">
        <v>23</v>
      </c>
      <c r="O11" s="677"/>
      <c r="P11" s="677" t="s">
        <v>1067</v>
      </c>
      <c r="Q11" s="677" t="s">
        <v>1063</v>
      </c>
      <c r="R11" s="677" t="s">
        <v>1068</v>
      </c>
      <c r="S11" s="677" t="s">
        <v>676</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1" t="str">
        <f t="shared" si="0"/>
        <v>Gladiator's Leather Helm</v>
      </c>
    </row>
    <row r="12" spans="1:30">
      <c r="A12" s="676" t="s">
        <v>547</v>
      </c>
      <c r="B12" s="677">
        <v>33479</v>
      </c>
      <c r="C12" s="677">
        <v>4</v>
      </c>
      <c r="D12" s="677"/>
      <c r="E12" s="677">
        <v>40</v>
      </c>
      <c r="F12" s="677">
        <v>82</v>
      </c>
      <c r="G12" s="678"/>
      <c r="H12" s="678">
        <v>24</v>
      </c>
      <c r="I12" s="677"/>
      <c r="J12" s="677"/>
      <c r="K12" s="677"/>
      <c r="L12" s="677">
        <v>48</v>
      </c>
      <c r="M12" s="678"/>
      <c r="N12" s="678"/>
      <c r="O12" s="677"/>
      <c r="P12" s="677"/>
      <c r="Q12" s="677" t="s">
        <v>1000</v>
      </c>
      <c r="R12" s="677" t="s">
        <v>1064</v>
      </c>
      <c r="S12" s="677" t="s">
        <v>663</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the Deceiver</v>
      </c>
      <c r="AD12" s="1391" t="str">
        <f t="shared" si="0"/>
        <v>Grimgrin Faceguard</v>
      </c>
    </row>
    <row r="13" spans="1:30">
      <c r="A13" s="676" t="s">
        <v>1070</v>
      </c>
      <c r="B13" s="677">
        <v>28414</v>
      </c>
      <c r="C13" s="677">
        <v>1</v>
      </c>
      <c r="D13" s="677"/>
      <c r="E13" s="677"/>
      <c r="F13" s="677">
        <v>66</v>
      </c>
      <c r="G13" s="678">
        <v>25</v>
      </c>
      <c r="H13" s="678"/>
      <c r="I13" s="677"/>
      <c r="J13" s="677"/>
      <c r="K13" s="677"/>
      <c r="L13" s="677">
        <v>25</v>
      </c>
      <c r="M13" s="678"/>
      <c r="N13" s="678"/>
      <c r="O13" s="677"/>
      <c r="P13" s="677" t="s">
        <v>2145</v>
      </c>
      <c r="Q13" s="677" t="s">
        <v>1050</v>
      </c>
      <c r="R13" s="677" t="s">
        <v>1071</v>
      </c>
      <c r="S13" s="677" t="s">
        <v>672</v>
      </c>
      <c r="T13" s="686"/>
      <c r="U13" s="686"/>
      <c r="V13" s="686"/>
      <c r="W13" s="686" t="s">
        <v>631</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Mask of Veiled Death</v>
      </c>
      <c r="AD13" s="1391" t="str">
        <f t="shared" si="0"/>
        <v>Helm of Assassination</v>
      </c>
    </row>
    <row r="14" spans="1:30">
      <c r="A14" s="676" t="s">
        <v>1072</v>
      </c>
      <c r="B14" s="677">
        <v>28182</v>
      </c>
      <c r="C14" s="677">
        <v>1</v>
      </c>
      <c r="D14" s="677"/>
      <c r="E14" s="677">
        <v>25</v>
      </c>
      <c r="F14" s="677">
        <v>66</v>
      </c>
      <c r="G14" s="678"/>
      <c r="H14" s="678">
        <v>14</v>
      </c>
      <c r="I14" s="677"/>
      <c r="J14" s="677"/>
      <c r="K14" s="677"/>
      <c r="L14" s="677">
        <v>21</v>
      </c>
      <c r="M14" s="678"/>
      <c r="N14" s="678"/>
      <c r="O14" s="677"/>
      <c r="P14" s="677"/>
      <c r="Q14" s="677" t="s">
        <v>1050</v>
      </c>
      <c r="R14" s="677" t="s">
        <v>1068</v>
      </c>
      <c r="S14" s="677" t="s">
        <v>674</v>
      </c>
      <c r="T14" s="686"/>
      <c r="U14" s="686"/>
      <c r="V14" s="686"/>
      <c r="W14" s="686" t="s">
        <v>631</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Netherblade Facemask</v>
      </c>
      <c r="AD14" s="1391" t="str">
        <f t="shared" si="0"/>
        <v>Helm of the Claw</v>
      </c>
    </row>
    <row r="15" spans="1:30">
      <c r="A15" s="676" t="s">
        <v>1073</v>
      </c>
      <c r="B15" s="677">
        <v>28796</v>
      </c>
      <c r="C15" s="677">
        <v>1</v>
      </c>
      <c r="D15" s="677"/>
      <c r="E15" s="677"/>
      <c r="F15" s="677">
        <v>84</v>
      </c>
      <c r="G15" s="678">
        <v>42</v>
      </c>
      <c r="H15" s="678">
        <v>31</v>
      </c>
      <c r="I15" s="677"/>
      <c r="J15" s="677"/>
      <c r="K15" s="677"/>
      <c r="L15" s="677">
        <v>45</v>
      </c>
      <c r="M15" s="678"/>
      <c r="N15" s="678"/>
      <c r="O15" s="677"/>
      <c r="P15" s="677"/>
      <c r="Q15" s="677" t="s">
        <v>1047</v>
      </c>
      <c r="R15" s="677"/>
      <c r="S15" s="677" t="s">
        <v>677</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Opportunist's Leather Helm</v>
      </c>
      <c r="AD15" s="1391" t="str">
        <f t="shared" si="0"/>
        <v>Malefic Mask of the Shadows</v>
      </c>
    </row>
    <row r="16" spans="1:30">
      <c r="A16" s="676" t="s">
        <v>1074</v>
      </c>
      <c r="B16" s="677">
        <v>32087</v>
      </c>
      <c r="C16" s="677">
        <v>1</v>
      </c>
      <c r="D16" s="677"/>
      <c r="E16" s="677">
        <v>32</v>
      </c>
      <c r="F16" s="677">
        <v>64</v>
      </c>
      <c r="G16" s="678"/>
      <c r="H16" s="678">
        <v>16</v>
      </c>
      <c r="I16" s="677"/>
      <c r="J16" s="677"/>
      <c r="K16" s="677"/>
      <c r="L16" s="677">
        <v>36</v>
      </c>
      <c r="M16" s="678"/>
      <c r="N16" s="678"/>
      <c r="O16" s="677"/>
      <c r="P16" s="677"/>
      <c r="Q16" s="677" t="s">
        <v>1050</v>
      </c>
      <c r="R16" s="677" t="s">
        <v>1055</v>
      </c>
      <c r="S16" s="677" t="s">
        <v>690</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9</v>
      </c>
      <c r="AB16" s="737">
        <v>13</v>
      </c>
      <c r="AC16" s="713" t="str">
        <f t="shared" si="1"/>
        <v>Savage Mask of the Lynx Lord</v>
      </c>
      <c r="AD16" s="1391" t="str">
        <f t="shared" si="0"/>
        <v>Mask of the Deceiver</v>
      </c>
    </row>
    <row r="17" spans="1:35">
      <c r="A17" s="676" t="s">
        <v>1210</v>
      </c>
      <c r="B17" s="677">
        <v>34404</v>
      </c>
      <c r="C17" s="677">
        <v>5</v>
      </c>
      <c r="D17" s="677">
        <v>50</v>
      </c>
      <c r="E17" s="677">
        <v>50</v>
      </c>
      <c r="F17" s="677"/>
      <c r="G17" s="678">
        <v>30</v>
      </c>
      <c r="H17" s="678"/>
      <c r="I17" s="677"/>
      <c r="J17" s="677"/>
      <c r="K17" s="677"/>
      <c r="L17" s="677">
        <v>58</v>
      </c>
      <c r="M17" s="678"/>
      <c r="N17" s="678"/>
      <c r="O17" s="677"/>
      <c r="P17" s="677"/>
      <c r="Q17" s="677" t="s">
        <v>1063</v>
      </c>
      <c r="R17" s="677" t="s">
        <v>1051</v>
      </c>
      <c r="S17" s="677" t="s">
        <v>870</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Stealther's Helmet of Second Sight</v>
      </c>
      <c r="AD17" s="1391" t="str">
        <f t="shared" si="0"/>
        <v>Mask of the Fury Hunter</v>
      </c>
    </row>
    <row r="18" spans="1:35">
      <c r="A18" s="676" t="s">
        <v>1075</v>
      </c>
      <c r="B18" s="677">
        <v>31281</v>
      </c>
      <c r="C18" s="677">
        <v>1</v>
      </c>
      <c r="D18" s="677"/>
      <c r="E18" s="677"/>
      <c r="F18" s="677">
        <v>80</v>
      </c>
      <c r="G18" s="678">
        <v>30</v>
      </c>
      <c r="H18" s="678">
        <v>19</v>
      </c>
      <c r="I18" s="677"/>
      <c r="J18" s="677"/>
      <c r="K18" s="677"/>
      <c r="L18" s="677"/>
      <c r="M18" s="678"/>
      <c r="N18" s="678"/>
      <c r="O18" s="677"/>
      <c r="P18" s="677"/>
      <c r="Q18" s="677" t="s">
        <v>1047</v>
      </c>
      <c r="R18" s="677"/>
      <c r="S18" s="677" t="s">
        <v>673</v>
      </c>
      <c r="T18" s="686"/>
      <c r="U18" s="686"/>
      <c r="V18" s="686"/>
      <c r="W18" s="686" t="s">
        <v>631</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10</v>
      </c>
      <c r="AB18" s="737">
        <v>15</v>
      </c>
      <c r="AC18" s="713" t="str">
        <f t="shared" si="1"/>
        <v>The Night Watchman</v>
      </c>
      <c r="AD18" s="1391" t="str">
        <f t="shared" si="0"/>
        <v>Mask of Veiled Death</v>
      </c>
    </row>
    <row r="19" spans="1:35">
      <c r="A19" s="676" t="s">
        <v>1076</v>
      </c>
      <c r="B19" s="677">
        <v>31999</v>
      </c>
      <c r="C19" s="677">
        <v>2</v>
      </c>
      <c r="D19" s="677"/>
      <c r="E19" s="677">
        <v>37</v>
      </c>
      <c r="F19" s="677">
        <v>44</v>
      </c>
      <c r="G19" s="678">
        <v>17</v>
      </c>
      <c r="H19" s="678"/>
      <c r="I19" s="677"/>
      <c r="J19" s="677"/>
      <c r="K19" s="677"/>
      <c r="L19" s="677">
        <v>58</v>
      </c>
      <c r="M19" s="678"/>
      <c r="N19" s="678">
        <v>25</v>
      </c>
      <c r="O19" s="677"/>
      <c r="P19" s="677" t="s">
        <v>1067</v>
      </c>
      <c r="Q19" s="677" t="s">
        <v>1063</v>
      </c>
      <c r="R19" s="677" t="s">
        <v>1068</v>
      </c>
      <c r="S19" s="677" t="s">
        <v>676</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Wastewalker Helm</v>
      </c>
      <c r="AD19" s="1391" t="str">
        <f t="shared" si="0"/>
        <v>Merciless Gladiator's Leather Helm</v>
      </c>
    </row>
    <row r="20" spans="1:35">
      <c r="A20" s="689" t="s">
        <v>461</v>
      </c>
      <c r="B20" s="677">
        <v>29044</v>
      </c>
      <c r="C20" s="677">
        <v>1</v>
      </c>
      <c r="D20" s="677"/>
      <c r="E20" s="677">
        <v>28</v>
      </c>
      <c r="F20" s="677">
        <v>78</v>
      </c>
      <c r="G20" s="678"/>
      <c r="H20" s="678">
        <v>14</v>
      </c>
      <c r="I20" s="677"/>
      <c r="J20" s="677"/>
      <c r="K20" s="677"/>
      <c r="L20" s="677">
        <v>39</v>
      </c>
      <c r="M20" s="678"/>
      <c r="N20" s="678"/>
      <c r="O20" s="677"/>
      <c r="P20" s="677" t="s">
        <v>1077</v>
      </c>
      <c r="Q20" s="677" t="s">
        <v>1063</v>
      </c>
      <c r="R20" s="677" t="s">
        <v>1055</v>
      </c>
      <c r="S20" s="677" t="s">
        <v>671</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11</v>
      </c>
      <c r="AB20" s="737">
        <v>17</v>
      </c>
      <c r="AC20" s="713" t="str">
        <f t="shared" si="1"/>
        <v>(Unmodeled)</v>
      </c>
      <c r="AD20" s="1391" t="str">
        <f t="shared" si="0"/>
        <v>Netherblade Facemask</v>
      </c>
    </row>
    <row r="21" spans="1:35">
      <c r="A21" s="689" t="s">
        <v>704</v>
      </c>
      <c r="B21" s="677">
        <v>35367</v>
      </c>
      <c r="C21" s="677">
        <v>1</v>
      </c>
      <c r="D21" s="677"/>
      <c r="E21" s="677">
        <v>20</v>
      </c>
      <c r="F21" s="677">
        <v>20</v>
      </c>
      <c r="G21" s="678">
        <v>10</v>
      </c>
      <c r="H21" s="678"/>
      <c r="I21" s="677"/>
      <c r="J21" s="677"/>
      <c r="K21" s="677"/>
      <c r="L21" s="677">
        <v>36</v>
      </c>
      <c r="M21" s="678"/>
      <c r="N21" s="678">
        <v>24</v>
      </c>
      <c r="O21" s="677"/>
      <c r="P21" s="677" t="s">
        <v>2858</v>
      </c>
      <c r="Q21" s="677" t="s">
        <v>1063</v>
      </c>
      <c r="R21" s="677" t="s">
        <v>1068</v>
      </c>
      <c r="S21" s="677" t="s">
        <v>675</v>
      </c>
      <c r="T21" s="676"/>
      <c r="U21" s="47"/>
      <c r="V21" s="686"/>
      <c r="W21" s="686" t="s">
        <v>631</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12</v>
      </c>
      <c r="AB21" s="737">
        <v>18</v>
      </c>
      <c r="AC21" s="713" t="str">
        <f t="shared" si="1"/>
        <v/>
      </c>
      <c r="AD21" s="1391" t="str">
        <f t="shared" si="0"/>
        <v>Opportunist's Leather Helm</v>
      </c>
    </row>
    <row r="22" spans="1:35" s="210" customFormat="1">
      <c r="A22" s="689" t="s">
        <v>979</v>
      </c>
      <c r="B22" s="677">
        <v>34353</v>
      </c>
      <c r="C22" s="677">
        <v>5</v>
      </c>
      <c r="D22" s="677"/>
      <c r="E22" s="677">
        <v>61</v>
      </c>
      <c r="F22" s="677">
        <v>104</v>
      </c>
      <c r="G22" s="678"/>
      <c r="H22" s="678">
        <v>24</v>
      </c>
      <c r="I22" s="677"/>
      <c r="J22" s="677"/>
      <c r="K22" s="677"/>
      <c r="L22" s="677">
        <v>47</v>
      </c>
      <c r="M22" s="678"/>
      <c r="N22" s="678"/>
      <c r="O22" s="677"/>
      <c r="P22" s="677"/>
      <c r="Q22" s="677" t="s">
        <v>1054</v>
      </c>
      <c r="R22" s="677" t="s">
        <v>1055</v>
      </c>
      <c r="S22" s="677" t="s">
        <v>688</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1" t="str">
        <f t="shared" si="0"/>
        <v>Quad Deathblow X44 Goggles</v>
      </c>
    </row>
    <row r="23" spans="1:35">
      <c r="A23" s="676" t="s">
        <v>1078</v>
      </c>
      <c r="B23" s="677">
        <v>27938</v>
      </c>
      <c r="C23" s="677">
        <v>1</v>
      </c>
      <c r="D23" s="677"/>
      <c r="E23" s="677">
        <v>35</v>
      </c>
      <c r="F23" s="677">
        <v>58</v>
      </c>
      <c r="G23" s="678"/>
      <c r="H23" s="678">
        <v>15</v>
      </c>
      <c r="I23" s="677"/>
      <c r="J23" s="677"/>
      <c r="K23" s="677"/>
      <c r="L23" s="677">
        <v>34</v>
      </c>
      <c r="M23" s="678"/>
      <c r="N23" s="678"/>
      <c r="O23" s="677"/>
      <c r="P23" s="677"/>
      <c r="Q23" s="677" t="s">
        <v>1047</v>
      </c>
      <c r="R23" s="677"/>
      <c r="S23" s="677" t="s">
        <v>690</v>
      </c>
      <c r="T23" s="686"/>
      <c r="U23" s="47"/>
      <c r="V23" s="686"/>
      <c r="W23" s="686" t="s">
        <v>631</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13</v>
      </c>
      <c r="AB23" s="737">
        <v>20</v>
      </c>
      <c r="AC23" s="713" t="str">
        <f t="shared" si="1"/>
        <v/>
      </c>
      <c r="AD23" s="1391" t="str">
        <f t="shared" si="0"/>
        <v>Savage Mask of the Lynx Lord</v>
      </c>
    </row>
    <row r="24" spans="1:35">
      <c r="A24" s="676" t="s">
        <v>997</v>
      </c>
      <c r="B24" s="677">
        <v>31027</v>
      </c>
      <c r="C24" s="677">
        <v>3</v>
      </c>
      <c r="D24" s="677"/>
      <c r="E24" s="677">
        <v>45</v>
      </c>
      <c r="F24" s="677">
        <v>92</v>
      </c>
      <c r="G24" s="678">
        <v>28</v>
      </c>
      <c r="H24" s="678">
        <v>15</v>
      </c>
      <c r="I24" s="677"/>
      <c r="J24" s="677"/>
      <c r="K24" s="677"/>
      <c r="L24" s="677">
        <v>55</v>
      </c>
      <c r="M24" s="678"/>
      <c r="N24" s="678"/>
      <c r="O24" s="677"/>
      <c r="P24" s="677" t="s">
        <v>998</v>
      </c>
      <c r="Q24" s="677" t="s">
        <v>1050</v>
      </c>
      <c r="R24" s="677" t="s">
        <v>2019</v>
      </c>
      <c r="S24" s="677" t="s">
        <v>683</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1" t="str">
        <f t="shared" si="0"/>
        <v>Slayer's Helm</v>
      </c>
    </row>
    <row r="25" spans="1:35">
      <c r="A25" s="676" t="s">
        <v>999</v>
      </c>
      <c r="B25" s="678">
        <v>31109</v>
      </c>
      <c r="C25" s="678">
        <v>1</v>
      </c>
      <c r="D25" s="677"/>
      <c r="E25" s="677">
        <v>24</v>
      </c>
      <c r="F25" s="677">
        <v>60</v>
      </c>
      <c r="G25" s="678"/>
      <c r="H25" s="678">
        <v>13</v>
      </c>
      <c r="I25" s="678"/>
      <c r="J25" s="677"/>
      <c r="K25" s="678"/>
      <c r="L25" s="677">
        <v>18</v>
      </c>
      <c r="M25" s="678"/>
      <c r="N25" s="678"/>
      <c r="O25" s="678"/>
      <c r="P25" s="677"/>
      <c r="Q25" s="677" t="s">
        <v>1000</v>
      </c>
      <c r="R25" s="677" t="s">
        <v>1064</v>
      </c>
      <c r="S25" s="677" t="s">
        <v>674</v>
      </c>
      <c r="T25" s="686"/>
      <c r="U25" s="686"/>
      <c r="V25" s="686"/>
      <c r="W25" s="686" t="s">
        <v>631</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14</v>
      </c>
      <c r="AB25" s="737">
        <v>22</v>
      </c>
      <c r="AC25" s="713" t="str">
        <f t="shared" si="1"/>
        <v/>
      </c>
      <c r="AD25" s="1391" t="str">
        <f t="shared" si="0"/>
        <v>Stealther's Helmet of Second Sight</v>
      </c>
    </row>
    <row r="26" spans="1:35">
      <c r="A26" s="682" t="s">
        <v>1001</v>
      </c>
      <c r="B26" s="677">
        <v>31333</v>
      </c>
      <c r="C26" s="677">
        <v>1</v>
      </c>
      <c r="D26" s="677"/>
      <c r="E26" s="677">
        <v>45</v>
      </c>
      <c r="F26" s="677">
        <v>68</v>
      </c>
      <c r="G26" s="678"/>
      <c r="H26" s="678"/>
      <c r="I26" s="677"/>
      <c r="J26" s="677"/>
      <c r="K26" s="677"/>
      <c r="L26" s="677">
        <v>27</v>
      </c>
      <c r="M26" s="678"/>
      <c r="N26" s="678"/>
      <c r="O26" s="677"/>
      <c r="P26" s="677"/>
      <c r="Q26" s="677" t="s">
        <v>1047</v>
      </c>
      <c r="R26" s="677"/>
      <c r="S26" s="677" t="s">
        <v>673</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15</v>
      </c>
      <c r="AB26" s="737">
        <v>23</v>
      </c>
      <c r="AC26" s="713" t="str">
        <f t="shared" si="1"/>
        <v/>
      </c>
      <c r="AD26" s="1391" t="str">
        <f t="shared" si="0"/>
        <v>The Night Watchman</v>
      </c>
    </row>
    <row r="27" spans="1:35">
      <c r="A27" s="676" t="s">
        <v>1524</v>
      </c>
      <c r="B27" s="677">
        <v>33701</v>
      </c>
      <c r="C27" s="677">
        <v>3</v>
      </c>
      <c r="D27" s="677"/>
      <c r="E27" s="677">
        <v>31</v>
      </c>
      <c r="F27" s="677">
        <v>52</v>
      </c>
      <c r="G27" s="678">
        <v>21</v>
      </c>
      <c r="H27" s="678">
        <v>12</v>
      </c>
      <c r="I27" s="677"/>
      <c r="J27" s="677">
        <v>84</v>
      </c>
      <c r="K27" s="677"/>
      <c r="L27" s="677">
        <v>65</v>
      </c>
      <c r="M27" s="678"/>
      <c r="N27" s="678">
        <v>25</v>
      </c>
      <c r="O27" s="677"/>
      <c r="P27" s="677" t="s">
        <v>1067</v>
      </c>
      <c r="Q27" s="677" t="s">
        <v>1063</v>
      </c>
      <c r="R27" s="677" t="s">
        <v>1068</v>
      </c>
      <c r="S27" s="677" t="s">
        <v>676</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1" t="str">
        <f t="shared" si="0"/>
        <v>Vengeful Gladiator's Leather Helm</v>
      </c>
      <c r="AE27" s="125"/>
      <c r="AI27" s="129"/>
    </row>
    <row r="28" spans="1:35">
      <c r="A28" s="676" t="s">
        <v>1002</v>
      </c>
      <c r="B28" s="677">
        <v>28224</v>
      </c>
      <c r="C28" s="677">
        <v>1</v>
      </c>
      <c r="D28" s="677"/>
      <c r="E28" s="677"/>
      <c r="F28" s="677">
        <v>56</v>
      </c>
      <c r="G28" s="678">
        <v>22</v>
      </c>
      <c r="H28" s="678">
        <v>18</v>
      </c>
      <c r="I28" s="677"/>
      <c r="J28" s="677"/>
      <c r="K28" s="677"/>
      <c r="L28" s="677">
        <v>30</v>
      </c>
      <c r="M28" s="678"/>
      <c r="N28" s="678"/>
      <c r="O28" s="677"/>
      <c r="P28" s="677" t="s">
        <v>1003</v>
      </c>
      <c r="Q28" s="677" t="s">
        <v>1054</v>
      </c>
      <c r="R28" s="677" t="s">
        <v>1064</v>
      </c>
      <c r="S28" s="677" t="s">
        <v>690</v>
      </c>
      <c r="T28" s="47"/>
      <c r="U28" s="47"/>
      <c r="V28" s="47"/>
      <c r="W28" s="47" t="s">
        <v>631</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16</v>
      </c>
      <c r="AB28" s="737">
        <v>25</v>
      </c>
      <c r="AC28" s="713" t="str">
        <f t="shared" si="1"/>
        <v/>
      </c>
      <c r="AD28" s="1391"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17</v>
      </c>
      <c r="AB29" s="737">
        <v>26</v>
      </c>
      <c r="AC29" s="713" t="str">
        <f t="shared" si="1"/>
        <v/>
      </c>
    </row>
    <row r="30" spans="1:35">
      <c r="A30" s="689" t="s">
        <v>2206</v>
      </c>
      <c r="B30" s="708"/>
      <c r="C30" s="708"/>
      <c r="D30" s="709"/>
      <c r="E30" s="709"/>
      <c r="F30" s="709"/>
      <c r="G30" s="708"/>
      <c r="H30" s="708"/>
      <c r="I30" s="708"/>
      <c r="J30" s="677"/>
      <c r="K30" s="708"/>
      <c r="L30" s="709"/>
      <c r="M30" s="708"/>
      <c r="N30" s="708"/>
      <c r="O30" s="708"/>
      <c r="P30" s="708"/>
      <c r="Q30" s="677" t="s">
        <v>1047</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1004</v>
      </c>
      <c r="B33" s="729" t="s">
        <v>1933</v>
      </c>
      <c r="C33" s="729" t="s">
        <v>2795</v>
      </c>
      <c r="D33" s="730" t="s">
        <v>1213</v>
      </c>
      <c r="E33" s="730" t="s">
        <v>1214</v>
      </c>
      <c r="F33" s="730" t="s">
        <v>767</v>
      </c>
      <c r="G33" s="729" t="s">
        <v>2139</v>
      </c>
      <c r="H33" s="729" t="s">
        <v>2138</v>
      </c>
      <c r="I33" s="729" t="s">
        <v>770</v>
      </c>
      <c r="J33" s="731" t="s">
        <v>769</v>
      </c>
      <c r="K33" s="729" t="s">
        <v>759</v>
      </c>
      <c r="L33" s="730" t="s">
        <v>1215</v>
      </c>
      <c r="M33" s="729" t="s">
        <v>264</v>
      </c>
      <c r="N33" s="729" t="s">
        <v>1216</v>
      </c>
      <c r="O33" s="729" t="s">
        <v>1286</v>
      </c>
      <c r="P33" s="729" t="s">
        <v>1045</v>
      </c>
      <c r="Q33" s="730" t="s">
        <v>1046</v>
      </c>
      <c r="R33" s="730" t="s">
        <v>1940</v>
      </c>
      <c r="S33" s="730" t="s">
        <v>665</v>
      </c>
      <c r="T33" s="729"/>
      <c r="U33" s="729"/>
      <c r="V33" s="729"/>
      <c r="W33" s="729" t="s">
        <v>920</v>
      </c>
      <c r="X33" s="729"/>
      <c r="Y33" s="732" t="s">
        <v>265</v>
      </c>
      <c r="Z33" s="733"/>
      <c r="AA33" s="733">
        <v>0</v>
      </c>
      <c r="AB33" s="865"/>
      <c r="AC33" s="734" t="s">
        <v>1688</v>
      </c>
    </row>
    <row r="34" spans="1:29">
      <c r="A34" s="694" t="s">
        <v>1005</v>
      </c>
      <c r="B34" s="695">
        <v>2585</v>
      </c>
      <c r="C34" s="695">
        <v>1</v>
      </c>
      <c r="D34" s="695"/>
      <c r="E34" s="695"/>
      <c r="F34" s="695">
        <v>28</v>
      </c>
      <c r="G34" s="696"/>
      <c r="H34" s="696"/>
      <c r="I34" s="696"/>
      <c r="J34" s="696"/>
      <c r="K34" s="696"/>
      <c r="L34" s="695"/>
      <c r="M34" s="696">
        <v>12</v>
      </c>
      <c r="N34" s="696"/>
      <c r="O34" s="696"/>
      <c r="P34" s="696"/>
      <c r="Q34" s="696"/>
      <c r="R34" s="696"/>
      <c r="S34" s="696" t="s">
        <v>1688</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t="str">
        <f>" "</f>
        <v xml:space="preserve"> </v>
      </c>
    </row>
    <row r="35" spans="1:29">
      <c r="A35" s="676" t="s">
        <v>464</v>
      </c>
      <c r="B35" s="677">
        <v>3003</v>
      </c>
      <c r="C35" s="677">
        <v>1</v>
      </c>
      <c r="D35" s="677"/>
      <c r="E35" s="677"/>
      <c r="F35" s="677">
        <v>34</v>
      </c>
      <c r="G35" s="678"/>
      <c r="H35" s="678">
        <v>16</v>
      </c>
      <c r="I35" s="678"/>
      <c r="J35" s="678"/>
      <c r="K35" s="678"/>
      <c r="L35" s="677"/>
      <c r="M35" s="678"/>
      <c r="N35" s="678"/>
      <c r="O35" s="678"/>
      <c r="P35" s="678"/>
      <c r="Q35" s="678"/>
      <c r="R35" s="677"/>
      <c r="S35" s="678" t="s">
        <v>1688</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2157</v>
      </c>
      <c r="B36" s="677">
        <v>2999</v>
      </c>
      <c r="C36" s="677">
        <v>1</v>
      </c>
      <c r="D36" s="677"/>
      <c r="E36" s="677"/>
      <c r="F36" s="677"/>
      <c r="G36" s="678"/>
      <c r="H36" s="678"/>
      <c r="I36" s="678"/>
      <c r="J36" s="678"/>
      <c r="K36" s="678"/>
      <c r="L36" s="677"/>
      <c r="M36" s="678">
        <v>17</v>
      </c>
      <c r="N36" s="678"/>
      <c r="O36" s="678">
        <v>16</v>
      </c>
      <c r="P36" s="678"/>
      <c r="Q36" s="678"/>
      <c r="R36" s="678"/>
      <c r="S36" s="678" t="s">
        <v>1688</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1103</v>
      </c>
      <c r="B37" s="677">
        <v>2543</v>
      </c>
      <c r="C37" s="677">
        <v>1</v>
      </c>
      <c r="D37" s="677"/>
      <c r="E37" s="677"/>
      <c r="F37" s="677"/>
      <c r="G37" s="678"/>
      <c r="H37" s="678"/>
      <c r="I37" s="678">
        <v>10</v>
      </c>
      <c r="J37" s="678"/>
      <c r="K37" s="678"/>
      <c r="L37" s="677"/>
      <c r="M37" s="678"/>
      <c r="N37" s="678"/>
      <c r="O37" s="678"/>
      <c r="P37" s="678"/>
      <c r="Q37" s="678"/>
      <c r="R37" s="678"/>
      <c r="S37" s="678" t="s">
        <v>1688</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1104</v>
      </c>
      <c r="B38" s="677">
        <v>1508</v>
      </c>
      <c r="C38" s="677">
        <v>1</v>
      </c>
      <c r="D38" s="677"/>
      <c r="E38" s="677">
        <v>8</v>
      </c>
      <c r="F38" s="677"/>
      <c r="G38" s="678"/>
      <c r="H38" s="678"/>
      <c r="I38" s="678"/>
      <c r="J38" s="678"/>
      <c r="K38" s="678"/>
      <c r="L38" s="677"/>
      <c r="M38" s="678"/>
      <c r="N38" s="678"/>
      <c r="O38" s="678"/>
      <c r="P38" s="678"/>
      <c r="Q38" s="678"/>
      <c r="R38" s="678"/>
      <c r="S38" s="678" t="s">
        <v>1688</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2206</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9" priority="1" stopIfTrue="1" operator="lessThan">
      <formula>0</formula>
    </cfRule>
    <cfRule type="cellIs" dxfId="4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6"/>
  <sheetViews>
    <sheetView workbookViewId="0">
      <selection activeCell="W4" sqref="W4:W39"/>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437</v>
      </c>
    </row>
    <row r="2" spans="1:25">
      <c r="A2" s="10" t="s">
        <v>2803</v>
      </c>
      <c r="B2" s="116">
        <v>29349</v>
      </c>
      <c r="C2" s="116">
        <v>1</v>
      </c>
      <c r="D2" s="114"/>
      <c r="E2" s="114"/>
      <c r="F2" s="114">
        <v>34</v>
      </c>
      <c r="G2" s="116">
        <v>30</v>
      </c>
      <c r="H2" s="116"/>
      <c r="I2" s="116"/>
      <c r="J2" s="114"/>
      <c r="K2" s="116"/>
      <c r="L2" s="114">
        <v>19</v>
      </c>
      <c r="M2" s="116"/>
      <c r="N2" s="114"/>
      <c r="O2" s="116"/>
      <c r="P2" s="114"/>
      <c r="Q2" s="114" t="s">
        <v>1032</v>
      </c>
      <c r="R2" s="114"/>
      <c r="S2" s="114" t="s">
        <v>690</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Adamantine Chain of the Unbroken</v>
      </c>
    </row>
    <row r="3" spans="1:25">
      <c r="A3" s="130" t="s">
        <v>2335</v>
      </c>
      <c r="B3" s="116">
        <v>35507</v>
      </c>
      <c r="C3" s="116">
        <v>5</v>
      </c>
      <c r="D3" s="114"/>
      <c r="E3" s="114">
        <v>20</v>
      </c>
      <c r="F3" s="114">
        <v>42</v>
      </c>
      <c r="G3" s="116"/>
      <c r="H3" s="116">
        <v>18</v>
      </c>
      <c r="I3" s="116"/>
      <c r="J3" s="114"/>
      <c r="K3" s="116"/>
      <c r="L3" s="114">
        <v>18</v>
      </c>
      <c r="M3" s="116"/>
      <c r="N3" s="114"/>
      <c r="O3" s="116"/>
      <c r="P3" s="114"/>
      <c r="Q3" s="114" t="s">
        <v>1032</v>
      </c>
      <c r="R3" s="114"/>
      <c r="S3" s="114" t="s">
        <v>690</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1" t="str">
        <f t="shared" ref="Y3:Y36" si="0">HYPERLINK("https://tbc.wowhead.com/item="&amp;B3,A3)</f>
        <v>Amulet of Bitter Hatred</v>
      </c>
    </row>
    <row r="4" spans="1:25">
      <c r="A4" s="10" t="s">
        <v>2804</v>
      </c>
      <c r="B4" s="116">
        <v>30710</v>
      </c>
      <c r="C4" s="116">
        <v>1</v>
      </c>
      <c r="D4" s="114"/>
      <c r="E4" s="114"/>
      <c r="F4" s="114">
        <v>54</v>
      </c>
      <c r="G4" s="116">
        <v>17</v>
      </c>
      <c r="H4" s="116"/>
      <c r="I4" s="116"/>
      <c r="J4" s="114"/>
      <c r="K4" s="116"/>
      <c r="L4" s="114"/>
      <c r="M4" s="116"/>
      <c r="N4" s="114"/>
      <c r="O4" s="116"/>
      <c r="P4" s="114"/>
      <c r="Q4" s="114" t="s">
        <v>1032</v>
      </c>
      <c r="R4" s="114"/>
      <c r="S4" s="114" t="s">
        <v>672</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9" si="1">IF(ISNA(INDEX($A$2:$A$37,MATCH(W4,V$2:V$37,0))), "", INDEX($A$2:$A$37,MATCH(W4,V$2:V$37,0)))</f>
        <v>Adamantine Chain of the Unbroken</v>
      </c>
      <c r="Y4" s="1391" t="str">
        <f t="shared" si="0"/>
        <v>Blood Guard's Necklace of Ferocity</v>
      </c>
    </row>
    <row r="5" spans="1:25">
      <c r="A5" s="10" t="s">
        <v>1105</v>
      </c>
      <c r="B5" s="116">
        <v>27779</v>
      </c>
      <c r="C5" s="116">
        <v>1</v>
      </c>
      <c r="D5" s="114"/>
      <c r="E5" s="114">
        <v>19</v>
      </c>
      <c r="F5" s="114">
        <v>36</v>
      </c>
      <c r="G5" s="116"/>
      <c r="H5" s="116">
        <v>13</v>
      </c>
      <c r="I5" s="116"/>
      <c r="J5" s="114"/>
      <c r="K5" s="116"/>
      <c r="L5" s="114">
        <v>18</v>
      </c>
      <c r="M5" s="116"/>
      <c r="N5" s="114"/>
      <c r="O5" s="116"/>
      <c r="P5" s="114"/>
      <c r="Q5" s="114" t="s">
        <v>1032</v>
      </c>
      <c r="R5" s="114"/>
      <c r="S5" s="114" t="s">
        <v>690</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1" t="str">
        <f t="shared" si="0"/>
        <v>Bone Chain Necklace</v>
      </c>
    </row>
    <row r="6" spans="1:25">
      <c r="A6" s="10" t="s">
        <v>1106</v>
      </c>
      <c r="B6" s="116">
        <v>24114</v>
      </c>
      <c r="C6" s="116">
        <v>1</v>
      </c>
      <c r="D6" s="114"/>
      <c r="E6" s="114"/>
      <c r="F6" s="114"/>
      <c r="G6" s="116">
        <v>28</v>
      </c>
      <c r="H6" s="116">
        <v>21</v>
      </c>
      <c r="I6" s="116"/>
      <c r="J6" s="114"/>
      <c r="K6" s="116"/>
      <c r="L6" s="114"/>
      <c r="M6" s="116"/>
      <c r="N6" s="114"/>
      <c r="O6" s="116"/>
      <c r="P6" s="114"/>
      <c r="Q6" s="114" t="s">
        <v>1032</v>
      </c>
      <c r="R6" s="114"/>
      <c r="S6" s="114" t="s">
        <v>684</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ref="X6" si="2">IF(ISNA(INDEX($A$2:$A$37,MATCH(W6,V$2:V$37,0))), "", INDEX($A$2:$A$37,MATCH(W6,V$2:V$37,0)))</f>
        <v>Bone Chain Necklace</v>
      </c>
      <c r="Y6" s="1391" t="str">
        <f t="shared" ref="Y6" si="3">HYPERLINK("https://tbc.wowhead.com/item="&amp;B6,A6)</f>
        <v>Braided Eternium Chain (w/ +28crit)</v>
      </c>
    </row>
    <row r="7" spans="1:25">
      <c r="A7" s="10" t="s">
        <v>2478</v>
      </c>
      <c r="B7" s="116">
        <v>24114</v>
      </c>
      <c r="C7" s="116">
        <v>1</v>
      </c>
      <c r="D7" s="114"/>
      <c r="E7" s="114"/>
      <c r="F7" s="114"/>
      <c r="G7" s="116"/>
      <c r="H7" s="116">
        <v>21</v>
      </c>
      <c r="I7" s="116"/>
      <c r="J7" s="114"/>
      <c r="K7" s="116"/>
      <c r="L7" s="114"/>
      <c r="M7" s="116"/>
      <c r="N7" s="114"/>
      <c r="O7" s="116"/>
      <c r="P7" s="114"/>
      <c r="Q7" s="114" t="s">
        <v>1032</v>
      </c>
      <c r="R7" s="114"/>
      <c r="S7" s="114" t="s">
        <v>684</v>
      </c>
      <c r="T7" s="116"/>
      <c r="U7" s="890">
        <f>($D7*dpsStr+$E7*dpsAgi+$G7*dpsCrit+$H7*dpsHit+$F7*dpsAP+$I7*dpsHaste+$J7*dpsArmor+$K7*dpsExp+IF(MID($Q7,1,1)+MID($Q7,3,1)+MID($Q7,5,1)&gt;0,VLOOKUP('Gear &amp; Buffs'!$B$33,GenSocketStats,18,FALSE)+IF(MID($Q7,1,1)+MID($Q7,3,1)+MID($Q7,5,1)&gt;1,VLOOKUP('Gear &amp; Buffs'!$B$34,GenSocketStats,18,FALSE),0),0))-'Gear &amp; Buffs'!$AF$32</f>
        <v>-14.902024071234791</v>
      </c>
      <c r="V7" s="220">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5</v>
      </c>
      <c r="W7" s="737">
        <v>4</v>
      </c>
      <c r="X7" s="713" t="str">
        <f t="shared" si="1"/>
        <v>Braided Eternium Chain (w/ +28crit)</v>
      </c>
      <c r="Y7" s="1391" t="str">
        <f t="shared" si="0"/>
        <v>Braided Eternium Chain (w/o +28crit)</v>
      </c>
    </row>
    <row r="8" spans="1:25">
      <c r="A8" s="721" t="s">
        <v>859</v>
      </c>
      <c r="B8" s="114">
        <v>33296</v>
      </c>
      <c r="C8" s="114">
        <v>4</v>
      </c>
      <c r="D8" s="114"/>
      <c r="E8" s="114"/>
      <c r="F8" s="114"/>
      <c r="G8" s="116"/>
      <c r="H8" s="116">
        <v>22</v>
      </c>
      <c r="I8" s="114"/>
      <c r="J8" s="114"/>
      <c r="K8" s="114">
        <v>21</v>
      </c>
      <c r="L8" s="114">
        <v>48</v>
      </c>
      <c r="M8" s="116"/>
      <c r="N8" s="127"/>
      <c r="O8" s="114"/>
      <c r="P8" s="114"/>
      <c r="Q8" s="114" t="s">
        <v>1032</v>
      </c>
      <c r="R8" s="114"/>
      <c r="S8" s="114" t="s">
        <v>690</v>
      </c>
      <c r="T8" s="114"/>
      <c r="U8" s="890">
        <f>($D8*dpsStr+$E8*dpsAgi+$G8*dpsCrit+$H8*dpsHit+$F8*dpsAP+$I8*dpsHaste+$J8*dpsArmor+$K8*dpsExp+IF(MID($Q8,1,1)+MID($Q8,3,1)+MID($Q8,5,1)&gt;0,VLOOKUP('Gear &amp; Buffs'!$B$33,GenSocketStats,18,FALSE)+IF(MID($Q8,1,1)+MID($Q8,3,1)+MID($Q8,5,1)&gt;1,VLOOKUP('Gear &amp; Buffs'!$B$34,GenSocketStats,18,FALSE),0),0))-'Gear &amp; Buffs'!$AF$32</f>
        <v>15.398820468810754</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Braided Eternium Chain (w/o +28crit)</v>
      </c>
      <c r="Y8" s="1391" t="str">
        <f t="shared" si="0"/>
        <v>Brooch of Deftness</v>
      </c>
    </row>
    <row r="9" spans="1:25">
      <c r="A9" s="126" t="s">
        <v>1107</v>
      </c>
      <c r="B9" s="114">
        <v>30059</v>
      </c>
      <c r="C9" s="114">
        <v>2</v>
      </c>
      <c r="D9" s="114"/>
      <c r="E9" s="114"/>
      <c r="F9" s="114">
        <v>64</v>
      </c>
      <c r="G9" s="116">
        <v>23</v>
      </c>
      <c r="H9" s="116"/>
      <c r="I9" s="114"/>
      <c r="J9" s="114"/>
      <c r="K9" s="114"/>
      <c r="L9" s="114">
        <v>24</v>
      </c>
      <c r="M9" s="116"/>
      <c r="N9" s="127"/>
      <c r="O9" s="114"/>
      <c r="P9" s="114"/>
      <c r="Q9" s="114" t="s">
        <v>1032</v>
      </c>
      <c r="R9" s="114"/>
      <c r="S9" s="114" t="s">
        <v>666</v>
      </c>
      <c r="T9" s="114"/>
      <c r="U9" s="890">
        <f>($D9*dpsStr+$E9*dpsAgi+$G9*dpsCrit+$H9*dpsHit+$F9*dpsAP+$I9*dpsHaste+$J9*dpsArmor+$K9*dpsExp+IF(MID($Q9,1,1)+MID($Q9,3,1)+MID($Q9,5,1)&gt;0,VLOOKUP('Gear &amp; Buffs'!$B$33,GenSocketStats,18,FALSE)+IF(MID($Q9,1,1)+MID($Q9,3,1)+MID($Q9,5,1)&gt;1,VLOOKUP('Gear &amp; Buffs'!$B$34,GenSocketStats,18,FALSE),0),0))-'Gear &amp; Buffs'!$AF$32</f>
        <v>-92.81024819945651</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Choker of Vile Intent</v>
      </c>
      <c r="Y9" s="1391" t="str">
        <f t="shared" si="0"/>
        <v>Choker of Animalistic Fury</v>
      </c>
    </row>
    <row r="10" spans="1:25">
      <c r="A10" s="10" t="s">
        <v>1109</v>
      </c>
      <c r="B10" s="116">
        <v>32260</v>
      </c>
      <c r="C10" s="116">
        <v>3</v>
      </c>
      <c r="D10" s="114"/>
      <c r="E10" s="114"/>
      <c r="F10" s="114">
        <v>72</v>
      </c>
      <c r="G10" s="116">
        <v>27</v>
      </c>
      <c r="H10" s="116">
        <v>21</v>
      </c>
      <c r="I10" s="116"/>
      <c r="J10" s="114"/>
      <c r="K10" s="116"/>
      <c r="L10" s="114"/>
      <c r="M10" s="116"/>
      <c r="N10" s="114"/>
      <c r="O10" s="116"/>
      <c r="P10" s="114"/>
      <c r="Q10" s="114" t="s">
        <v>1032</v>
      </c>
      <c r="R10" s="114"/>
      <c r="S10" s="114" t="s">
        <v>682</v>
      </c>
      <c r="T10" s="116"/>
      <c r="U10" s="890">
        <f>($D10*dpsStr+$E10*dpsAgi+$G10*dpsCrit+$H10*dpsHit+$F10*dpsAP+$I10*dpsHaste+$J10*dpsArmor+$K10*dpsExp+IF(MID($Q10,1,1)+MID($Q10,3,1)+MID($Q10,5,1)&gt;0,VLOOKUP('Gear &amp; Buffs'!$B$33,GenSocketStats,18,FALSE)+IF(MID($Q10,1,1)+MID($Q10,3,1)+MID($Q10,5,1)&gt;1,VLOOKUP('Gear &amp; Buffs'!$B$34,GenSocketStats,18,FALSE),0),0))-'Gear &amp; Buffs'!$AF$32</f>
        <v>29.34223803909299</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Earthen Mark of Razing</v>
      </c>
      <c r="Y10" s="1391" t="str">
        <f t="shared" si="0"/>
        <v>Choker of Endless Nightmares</v>
      </c>
    </row>
    <row r="11" spans="1:25">
      <c r="A11" s="10" t="s">
        <v>1018</v>
      </c>
      <c r="B11" s="116">
        <v>32591</v>
      </c>
      <c r="C11" s="116">
        <v>3</v>
      </c>
      <c r="D11" s="114"/>
      <c r="E11" s="114"/>
      <c r="F11" s="114">
        <v>70</v>
      </c>
      <c r="G11" s="116"/>
      <c r="H11" s="116"/>
      <c r="I11" s="116"/>
      <c r="J11" s="114">
        <v>175</v>
      </c>
      <c r="K11" s="116"/>
      <c r="L11" s="114">
        <v>37</v>
      </c>
      <c r="M11" s="116"/>
      <c r="N11" s="114"/>
      <c r="O11" s="116"/>
      <c r="P11" s="114"/>
      <c r="Q11" s="114" t="s">
        <v>1032</v>
      </c>
      <c r="R11" s="114"/>
      <c r="S11" s="114" t="s">
        <v>682</v>
      </c>
      <c r="T11" s="116"/>
      <c r="U11" s="890">
        <f>($D11*dpsStr+$E11*dpsAgi+$G11*dpsCrit+$H11*dpsHit+$F11*dpsAP+$I11*dpsHaste+$J11*dpsArmor+$K11*dpsExp+IF(MID($Q11,1,1)+MID($Q11,3,1)+MID($Q11,5,1)&gt;0,VLOOKUP('Gear &amp; Buffs'!$B$33,GenSocketStats,18,FALSE)+IF(MID($Q11,1,1)+MID($Q11,3,1)+MID($Q11,5,1)&gt;1,VLOOKUP('Gear &amp; Buffs'!$B$34,GenSocketStats,18,FALSE),0),0))-'Gear &amp; Buffs'!$AF$32</f>
        <v>-84.930577837142891</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Haramad's Bargain</v>
      </c>
      <c r="Y11" s="1391" t="str">
        <f t="shared" si="0"/>
        <v>Choker of Serrated Blades</v>
      </c>
    </row>
    <row r="12" spans="1:25">
      <c r="A12" s="10" t="s">
        <v>656</v>
      </c>
      <c r="B12" s="116">
        <v>29381</v>
      </c>
      <c r="C12" s="116">
        <v>1</v>
      </c>
      <c r="D12" s="114"/>
      <c r="E12" s="114">
        <v>20</v>
      </c>
      <c r="F12" s="114">
        <v>42</v>
      </c>
      <c r="G12" s="116"/>
      <c r="H12" s="116">
        <v>18</v>
      </c>
      <c r="I12" s="116"/>
      <c r="J12" s="114"/>
      <c r="K12" s="116"/>
      <c r="L12" s="114">
        <v>18</v>
      </c>
      <c r="M12" s="116"/>
      <c r="N12" s="114"/>
      <c r="O12" s="116"/>
      <c r="P12" s="114"/>
      <c r="Q12" s="114" t="s">
        <v>1032</v>
      </c>
      <c r="R12" s="114"/>
      <c r="S12" s="114" t="s">
        <v>690</v>
      </c>
      <c r="T12" s="116"/>
      <c r="U12" s="890">
        <f>($D12*dpsStr+$E12*dpsAgi+$G12*dpsCrit+$H12*dpsHit+$F12*dpsAP+$I12*dpsHaste+$J12*dpsArmor+$K12*dpsExp+IF(MID($Q12,1,1)+MID($Q12,3,1)+MID($Q12,5,1)&gt;0,VLOOKUP('Gear &amp; Buffs'!$B$33,GenSocketStats,18,FALSE)+IF(MID($Q12,1,1)+MID($Q12,3,1)+MID($Q12,5,1)&gt;1,VLOOKUP('Gear &amp; Buffs'!$B$34,GenSocketStats,18,FALSE),0),0))-'Gear &amp; Buffs'!$AF$32</f>
        <v>0</v>
      </c>
      <c r="V12" s="220">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Insignia of the Mag'hari Hero</v>
      </c>
      <c r="Y12" s="1391" t="str">
        <f t="shared" si="0"/>
        <v>Choker of Vile Intent</v>
      </c>
    </row>
    <row r="13" spans="1:25">
      <c r="A13" s="10" t="s">
        <v>2026</v>
      </c>
      <c r="B13" s="116">
        <v>34177</v>
      </c>
      <c r="C13" s="116">
        <v>5</v>
      </c>
      <c r="D13" s="114"/>
      <c r="E13" s="114">
        <v>25</v>
      </c>
      <c r="F13" s="114">
        <v>64</v>
      </c>
      <c r="G13" s="116"/>
      <c r="H13" s="116"/>
      <c r="I13" s="116">
        <v>30</v>
      </c>
      <c r="J13" s="114"/>
      <c r="K13" s="116"/>
      <c r="L13" s="114">
        <v>33</v>
      </c>
      <c r="M13" s="116"/>
      <c r="N13" s="114"/>
      <c r="O13" s="116"/>
      <c r="P13" s="114"/>
      <c r="Q13" s="114" t="s">
        <v>1032</v>
      </c>
      <c r="R13" s="114"/>
      <c r="S13" s="114" t="s">
        <v>870</v>
      </c>
      <c r="T13" s="116"/>
      <c r="U13" s="890">
        <f>($D13*dpsStr+$E13*dpsAgi+$G13*dpsCrit+$H13*dpsHit+$F13*dpsAP+$I13*dpsHaste+$J13*dpsArmor+$K13*dpsExp+IF(MID($Q13,1,1)+MID($Q13,3,1)+MID($Q13,5,1)&gt;0,VLOOKUP('Gear &amp; Buffs'!$B$33,GenSocketStats,18,FALSE)+IF(MID($Q13,1,1)+MID($Q13,3,1)+MID($Q13,5,1)&gt;1,VLOOKUP('Gear &amp; Buffs'!$B$34,GenSocketStats,18,FALSE),0),0))-'Gear &amp; Buffs'!$AF$32</f>
        <v>22.238300677803863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Jagged Bark Pendant</v>
      </c>
      <c r="Y13" s="1391" t="str">
        <f t="shared" si="0"/>
        <v>Clutch of Demise</v>
      </c>
    </row>
    <row r="14" spans="1:25">
      <c r="A14" s="10" t="s">
        <v>1019</v>
      </c>
      <c r="B14" s="116">
        <v>25562</v>
      </c>
      <c r="C14" s="116">
        <v>1</v>
      </c>
      <c r="D14" s="114"/>
      <c r="E14" s="114">
        <v>23</v>
      </c>
      <c r="F14" s="114">
        <v>20</v>
      </c>
      <c r="G14" s="116"/>
      <c r="H14" s="116">
        <v>13</v>
      </c>
      <c r="I14" s="116"/>
      <c r="J14" s="114"/>
      <c r="K14" s="116"/>
      <c r="L14" s="114"/>
      <c r="M14" s="116"/>
      <c r="N14" s="114"/>
      <c r="O14" s="116"/>
      <c r="P14" s="114"/>
      <c r="Q14" s="114" t="s">
        <v>1032</v>
      </c>
      <c r="R14" s="114"/>
      <c r="S14" s="114" t="s">
        <v>674</v>
      </c>
      <c r="T14" s="116"/>
      <c r="U14" s="890">
        <f>($D14*dpsStr+$E14*dpsAgi+$G14*dpsCrit+$H14*dpsHit+$F14*dpsAP+$I14*dpsHaste+$J14*dpsArmor+$K14*dpsExp+IF(MID($Q14,1,1)+MID($Q14,3,1)+MID($Q14,5,1)&gt;0,VLOOKUP('Gear &amp; Buffs'!$B$33,GenSocketStats,18,FALSE)+IF(MID($Q14,1,1)+MID($Q14,3,1)+MID($Q14,5,1)&gt;1,VLOOKUP('Gear &amp; Buffs'!$B$34,GenSocketStats,18,FALSE),0),0))-'Gear &amp; Buffs'!$AF$32</f>
        <v>-33.12977929644444</v>
      </c>
      <c r="V14" s="220">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Natasha's Choker</v>
      </c>
      <c r="Y14" s="1391" t="str">
        <f t="shared" si="0"/>
        <v>Earthen Mark of Razing</v>
      </c>
    </row>
    <row r="15" spans="1:25">
      <c r="A15" s="10" t="s">
        <v>1991</v>
      </c>
      <c r="B15" s="116">
        <v>35135</v>
      </c>
      <c r="C15" s="116">
        <v>5</v>
      </c>
      <c r="D15" s="114"/>
      <c r="E15" s="114"/>
      <c r="F15" s="114">
        <v>58</v>
      </c>
      <c r="G15" s="116">
        <v>26</v>
      </c>
      <c r="H15" s="116"/>
      <c r="I15" s="116"/>
      <c r="J15" s="114"/>
      <c r="K15" s="116"/>
      <c r="L15" s="114">
        <v>39</v>
      </c>
      <c r="M15" s="116"/>
      <c r="N15" s="114">
        <v>18</v>
      </c>
      <c r="O15" s="116"/>
      <c r="P15" s="114"/>
      <c r="Q15" s="114" t="s">
        <v>1042</v>
      </c>
      <c r="R15" s="114" t="s">
        <v>1337</v>
      </c>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-67.387862092210526</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Necklace of Trophies</v>
      </c>
      <c r="Y15" s="1391" t="str">
        <f t="shared" si="0"/>
        <v>Guardian's Pendant of Triumph</v>
      </c>
    </row>
    <row r="16" spans="1:25">
      <c r="A16" s="10" t="s">
        <v>2805</v>
      </c>
      <c r="B16" s="116">
        <v>29119</v>
      </c>
      <c r="C16" s="116">
        <v>1</v>
      </c>
      <c r="D16" s="114">
        <v>26</v>
      </c>
      <c r="E16" s="114">
        <v>25</v>
      </c>
      <c r="F16" s="114"/>
      <c r="G16" s="116"/>
      <c r="H16" s="116"/>
      <c r="I16" s="116"/>
      <c r="J16" s="114"/>
      <c r="K16" s="116"/>
      <c r="L16" s="114"/>
      <c r="M16" s="116"/>
      <c r="N16" s="114"/>
      <c r="O16" s="116"/>
      <c r="P16" s="114"/>
      <c r="Q16" s="114" t="s">
        <v>1032</v>
      </c>
      <c r="R16" s="114"/>
      <c r="S16" s="114" t="s">
        <v>675</v>
      </c>
      <c r="T16" s="116"/>
      <c r="U16" s="890">
        <f>($D16*dpsStr+$E16*dpsAgi+$G16*dpsCrit+$H16*dpsHit+$F16*dpsAP+$I16*dpsHaste+$J16*dpsArmor+$K16*dpsExp+IF(MID($Q16,1,1)+MID($Q16,3,1)+MID($Q16,5,1)&gt;0,VLOOKUP('Gear &amp; Buffs'!$B$33,GenSocketStats,18,FALSE)+IF(MID($Q16,1,1)+MID($Q16,3,1)+MID($Q16,5,1)&gt;1,VLOOKUP('Gear &amp; Buffs'!$B$34,GenSocketStats,18,FALSE),0),0))-'Gear &amp; Buffs'!$AF$32</f>
        <v>-100.55272440805834</v>
      </c>
      <c r="V16" s="220">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Pendant of Triumph</v>
      </c>
      <c r="Y16" s="1391" t="str">
        <f t="shared" si="0"/>
        <v>Haramad's Bargain</v>
      </c>
    </row>
    <row r="17" spans="1:25">
      <c r="A17" s="10" t="s">
        <v>977</v>
      </c>
      <c r="B17" s="116">
        <v>34358</v>
      </c>
      <c r="C17" s="116">
        <v>5</v>
      </c>
      <c r="D17" s="114"/>
      <c r="E17" s="114"/>
      <c r="F17" s="114">
        <v>58</v>
      </c>
      <c r="G17" s="116"/>
      <c r="H17" s="116"/>
      <c r="I17" s="116">
        <v>29</v>
      </c>
      <c r="J17" s="114">
        <v>150</v>
      </c>
      <c r="K17" s="116"/>
      <c r="L17" s="114">
        <v>42</v>
      </c>
      <c r="M17" s="116"/>
      <c r="N17" s="114"/>
      <c r="O17" s="116"/>
      <c r="P17" s="114"/>
      <c r="Q17" s="114" t="s">
        <v>1042</v>
      </c>
      <c r="R17" s="114" t="s">
        <v>1065</v>
      </c>
      <c r="S17" s="114" t="s">
        <v>687</v>
      </c>
      <c r="T17" s="116"/>
      <c r="U17" s="890">
        <f>($D17*dpsStr+$E17*dpsAgi+$G17*dpsCrit+$H17*dpsHit+$F17*dpsAP+$I17*dpsHaste+$J17*dpsArmor+$K17*dpsExp+IF(MID($Q17,1,1)+MID($Q17,3,1)+MID($Q17,5,1)&gt;0,VLOOKUP('Gear &amp; Buffs'!$B$33,GenSocketStats,18,FALSE)+IF(MID($Q17,1,1)+MID($Q17,3,1)+MID($Q17,5,1)&gt;1,VLOOKUP('Gear &amp; Buffs'!$B$34,GenSocketStats,18,FALSE),0),0))-'Gear &amp; Buffs'!$AF$32</f>
        <v>39.687881596613352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Prestor's Talisman of Connivery</v>
      </c>
      <c r="Y17" s="1391" t="str">
        <f t="shared" si="0"/>
        <v>Hard Khorium Choker</v>
      </c>
    </row>
    <row r="18" spans="1:25">
      <c r="A18" s="10" t="s">
        <v>2806</v>
      </c>
      <c r="B18" s="114">
        <v>28168</v>
      </c>
      <c r="C18" s="114">
        <v>1</v>
      </c>
      <c r="D18" s="114"/>
      <c r="E18" s="114"/>
      <c r="F18" s="114">
        <v>30</v>
      </c>
      <c r="G18" s="114">
        <v>15</v>
      </c>
      <c r="H18" s="114">
        <v>14</v>
      </c>
      <c r="I18" s="114"/>
      <c r="J18" s="114"/>
      <c r="K18" s="114"/>
      <c r="L18" s="114">
        <v>21</v>
      </c>
      <c r="M18" s="114"/>
      <c r="N18" s="114"/>
      <c r="O18" s="114"/>
      <c r="P18" s="114"/>
      <c r="Q18" s="114" t="s">
        <v>1032</v>
      </c>
      <c r="R18" s="114"/>
      <c r="S18" s="114" t="s">
        <v>674</v>
      </c>
      <c r="T18" s="114"/>
      <c r="U18" s="890">
        <f>($D18*dpsStr+$E18*dpsAgi+$G18*dpsCrit+$H18*dpsHit+$F18*dpsAP+$I18*dpsHaste+$J18*dpsArmor+$K18*dpsExp+IF(MID($Q18,1,1)+MID($Q18,3,1)+MID($Q18,5,1)&gt;0,VLOOKUP('Gear &amp; Buffs'!$B$33,GenSocketStats,18,FALSE)+IF(MID($Q18,1,1)+MID($Q18,3,1)+MID($Q18,5,1)&gt;1,VLOOKUP('Gear &amp; Buffs'!$B$34,GenSocketStats,18,FALSE),0),0))-'Gear &amp; Buffs'!$AF$32</f>
        <v>-32.745398982827737</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Saberclaw Talisman</v>
      </c>
      <c r="Y18" s="1391" t="str">
        <f t="shared" si="0"/>
        <v>Insignia of the Mag'hari Hero</v>
      </c>
    </row>
    <row r="19" spans="1:25">
      <c r="A19" s="10" t="s">
        <v>2807</v>
      </c>
      <c r="B19" s="114">
        <v>28343</v>
      </c>
      <c r="C19" s="114">
        <v>1</v>
      </c>
      <c r="D19" s="114"/>
      <c r="E19" s="114">
        <v>26</v>
      </c>
      <c r="F19" s="114">
        <v>30</v>
      </c>
      <c r="G19" s="114"/>
      <c r="H19" s="114"/>
      <c r="I19" s="114"/>
      <c r="J19" s="114"/>
      <c r="K19" s="114"/>
      <c r="L19" s="114">
        <v>15</v>
      </c>
      <c r="M19" s="114"/>
      <c r="N19" s="114"/>
      <c r="O19" s="114"/>
      <c r="P19" s="114"/>
      <c r="Q19" s="114" t="s">
        <v>1032</v>
      </c>
      <c r="R19" s="114"/>
      <c r="S19" s="114" t="s">
        <v>672</v>
      </c>
      <c r="T19" s="114"/>
      <c r="U19" s="890">
        <f>($D19*dpsStr+$E19*dpsAgi+$G19*dpsCrit+$H19*dpsHit+$F19*dpsAP+$I19*dpsHaste+$J19*dpsArmor+$K19*dpsExp+IF(MID($Q19,1,1)+MID($Q19,3,1)+MID($Q19,5,1)&gt;0,VLOOKUP('Gear &amp; Buffs'!$B$33,GenSocketStats,18,FALSE)+IF(MID($Q19,1,1)+MID($Q19,3,1)+MID($Q19,5,1)&gt;1,VLOOKUP('Gear &amp; Buffs'!$B$34,GenSocketStats,18,FALSE),0),0))-'Gear &amp; Buffs'!$AF$32</f>
        <v>-99.225249502540919</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Talon Lord's Collar</v>
      </c>
      <c r="Y19" s="1391" t="str">
        <f t="shared" si="0"/>
        <v>Jagged Bark Pendant</v>
      </c>
    </row>
    <row r="20" spans="1:25">
      <c r="A20" s="10" t="s">
        <v>1020</v>
      </c>
      <c r="B20" s="114">
        <v>31695</v>
      </c>
      <c r="C20" s="114">
        <v>1</v>
      </c>
      <c r="D20" s="114"/>
      <c r="E20" s="114"/>
      <c r="F20" s="114">
        <v>50</v>
      </c>
      <c r="G20" s="114">
        <v>15</v>
      </c>
      <c r="H20" s="114">
        <v>10</v>
      </c>
      <c r="I20" s="114"/>
      <c r="J20" s="114"/>
      <c r="K20" s="114"/>
      <c r="L20" s="114"/>
      <c r="M20" s="114"/>
      <c r="N20" s="114"/>
      <c r="O20" s="114"/>
      <c r="P20" s="114"/>
      <c r="Q20" s="114" t="s">
        <v>1032</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-47.798924334233106</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Traitor's Noose</v>
      </c>
      <c r="Y20" s="1391" t="str">
        <f t="shared" si="0"/>
        <v>Natasha's Choker</v>
      </c>
    </row>
    <row r="21" spans="1:25">
      <c r="A21" s="10" t="s">
        <v>2808</v>
      </c>
      <c r="B21" s="114">
        <v>31275</v>
      </c>
      <c r="C21" s="114">
        <v>1</v>
      </c>
      <c r="D21" s="114">
        <v>22</v>
      </c>
      <c r="E21" s="114">
        <v>15</v>
      </c>
      <c r="F21" s="114"/>
      <c r="G21" s="114"/>
      <c r="H21" s="114">
        <v>14</v>
      </c>
      <c r="I21" s="114"/>
      <c r="J21" s="114"/>
      <c r="K21" s="114"/>
      <c r="L21" s="114"/>
      <c r="M21" s="114"/>
      <c r="N21" s="114"/>
      <c r="O21" s="114"/>
      <c r="P21" s="114"/>
      <c r="Q21" s="114" t="s">
        <v>1032</v>
      </c>
      <c r="R21" s="114"/>
      <c r="S21" s="114" t="s">
        <v>673</v>
      </c>
      <c r="T21" s="114"/>
      <c r="U21" s="890">
        <f>($D21*dpsStr+$E21*dpsAgi+$G21*dpsCrit+$H21*dpsHit+$F21*dpsAP+$I21*dpsHaste+$J21*dpsArmor+$K21*dpsExp+IF(MID($Q21,1,1)+MID($Q21,3,1)+MID($Q21,5,1)&gt;0,VLOOKUP('Gear &amp; Buffs'!$B$33,GenSocketStats,18,FALSE)+IF(MID($Q21,1,1)+MID($Q21,3,1)+MID($Q21,5,1)&gt;1,VLOOKUP('Gear &amp; Buffs'!$B$34,GenSocketStats,18,FALSE),0),0))-'Gear &amp; Buffs'!$AF$32</f>
        <v>-32.696664675392867</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Worgen Claw Necklace</v>
      </c>
      <c r="Y21" s="1391" t="str">
        <f t="shared" si="0"/>
        <v>Necklace of Trophies</v>
      </c>
    </row>
    <row r="22" spans="1:25" s="62" customFormat="1" ht="12.75">
      <c r="A22" s="10" t="s">
        <v>2481</v>
      </c>
      <c r="B22" s="116">
        <v>28244</v>
      </c>
      <c r="C22" s="116">
        <v>1</v>
      </c>
      <c r="D22" s="114"/>
      <c r="E22" s="114"/>
      <c r="F22" s="114">
        <v>36</v>
      </c>
      <c r="G22" s="116">
        <v>10</v>
      </c>
      <c r="H22" s="116"/>
      <c r="I22" s="116"/>
      <c r="J22" s="114"/>
      <c r="K22" s="116"/>
      <c r="L22" s="114">
        <v>27</v>
      </c>
      <c r="M22" s="116"/>
      <c r="N22" s="114">
        <v>17</v>
      </c>
      <c r="O22" s="116"/>
      <c r="P22" s="114"/>
      <c r="Q22" s="114" t="s">
        <v>1042</v>
      </c>
      <c r="R22" s="114" t="s">
        <v>1021</v>
      </c>
      <c r="S22" s="114" t="s">
        <v>676</v>
      </c>
      <c r="T22" s="116"/>
      <c r="U22" s="890">
        <f>($D22*dpsStr+$E22*dpsAgi+$G22*dpsCrit+$H22*dpsHit+$F22*dpsAP+$I22*dpsHaste+$J22*dpsArmor+$K22*dpsExp+IF(MID($Q22,1,1)+MID($Q22,3,1)+MID($Q22,5,1)&gt;0,VLOOKUP('Gear &amp; Buffs'!$B$33,GenSocketStats,18,FALSE)+IF(MID($Q22,1,1)+MID($Q22,3,1)+MID($Q22,5,1)&gt;1,VLOOKUP('Gear &amp; Buffs'!$B$34,GenSocketStats,18,FALSE),0),0))-'Gear &amp; Buffs'!$AF$32</f>
        <v>-86.22186354917585</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(Unmodeled)</v>
      </c>
      <c r="Y22" s="1391" t="str">
        <f t="shared" si="0"/>
        <v>Pendant of Triumph</v>
      </c>
    </row>
    <row r="23" spans="1:25" s="62" customFormat="1" ht="12.75">
      <c r="A23" s="10" t="s">
        <v>1022</v>
      </c>
      <c r="B23" s="116">
        <v>19377</v>
      </c>
      <c r="C23" s="116">
        <v>1</v>
      </c>
      <c r="D23" s="114"/>
      <c r="E23" s="114">
        <v>25</v>
      </c>
      <c r="F23" s="114">
        <v>22</v>
      </c>
      <c r="G23" s="116"/>
      <c r="H23" s="116">
        <v>10</v>
      </c>
      <c r="I23" s="116"/>
      <c r="J23" s="114"/>
      <c r="K23" s="116"/>
      <c r="L23" s="114"/>
      <c r="M23" s="116"/>
      <c r="N23" s="114"/>
      <c r="O23" s="116"/>
      <c r="P23" s="114"/>
      <c r="Q23" s="114" t="s">
        <v>1032</v>
      </c>
      <c r="R23" s="114"/>
      <c r="S23" s="114" t="s">
        <v>667</v>
      </c>
      <c r="T23" s="116"/>
      <c r="U23" s="890">
        <f>($D23*dpsStr+$E23*dpsAgi+$G23*dpsCrit+$H23*dpsHit+$F23*dpsAP+$I23*dpsHaste+$J23*dpsArmor+$K23*dpsExp+IF(MID($Q23,1,1)+MID($Q23,3,1)+MID($Q23,5,1)&gt;0,VLOOKUP('Gear &amp; Buffs'!$B$33,GenSocketStats,18,FALSE)+IF(MID($Q23,1,1)+MID($Q23,3,1)+MID($Q23,5,1)&gt;1,VLOOKUP('Gear &amp; Buffs'!$B$34,GenSocketStats,18,FALSE),0),0))-'Gear &amp; Buffs'!$AF$32</f>
        <v>-47.410787907445638</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Prestor's Talisman of Connivery</v>
      </c>
    </row>
    <row r="24" spans="1:25" s="62" customFormat="1" ht="12.75">
      <c r="A24" s="130" t="s">
        <v>2482</v>
      </c>
      <c r="B24" s="116">
        <v>28674</v>
      </c>
      <c r="C24" s="116">
        <v>1</v>
      </c>
      <c r="D24" s="114"/>
      <c r="E24" s="114">
        <v>21</v>
      </c>
      <c r="F24" s="114">
        <v>46</v>
      </c>
      <c r="G24" s="116"/>
      <c r="H24" s="116"/>
      <c r="I24" s="116"/>
      <c r="J24" s="114"/>
      <c r="K24" s="116"/>
      <c r="L24" s="114">
        <v>33</v>
      </c>
      <c r="M24" s="116"/>
      <c r="N24" s="114"/>
      <c r="O24" s="116"/>
      <c r="P24" s="114"/>
      <c r="Q24" s="114" t="s">
        <v>1032</v>
      </c>
      <c r="R24" s="114"/>
      <c r="S24" s="114" t="s">
        <v>671</v>
      </c>
      <c r="T24" s="116"/>
      <c r="U24" s="890">
        <f>($D24*dpsStr+$E24*dpsAgi+$G24*dpsCrit+$H24*dpsHit+$F24*dpsAP+$I24*dpsHaste+$J24*dpsArmor+$K24*dpsExp+IF(MID($Q24,1,1)+MID($Q24,3,1)+MID($Q24,5,1)&gt;0,VLOOKUP('Gear &amp; Buffs'!$B$33,GenSocketStats,18,FALSE)+IF(MID($Q24,1,1)+MID($Q24,3,1)+MID($Q24,5,1)&gt;1,VLOOKUP('Gear &amp; Buffs'!$B$34,GenSocketStats,18,FALSE),0),0))-'Gear &amp; Buffs'!$AF$32</f>
        <v>-97.644033435533174</v>
      </c>
      <c r="V24" s="220">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15</v>
      </c>
      <c r="W24" s="737">
        <v>21</v>
      </c>
      <c r="X24" s="713" t="str">
        <f t="shared" si="1"/>
        <v/>
      </c>
      <c r="Y24" s="1391" t="str">
        <f t="shared" si="0"/>
        <v>Saberclaw Talisman</v>
      </c>
    </row>
    <row r="25" spans="1:25" s="47" customFormat="1">
      <c r="A25" s="10" t="s">
        <v>2028</v>
      </c>
      <c r="B25" s="116">
        <v>34679</v>
      </c>
      <c r="C25" s="116">
        <v>5</v>
      </c>
      <c r="D25" s="114"/>
      <c r="E25" s="114">
        <v>18</v>
      </c>
      <c r="F25" s="124">
        <f>64+200*itSSPMAup</f>
        <v>105.70726033493017</v>
      </c>
      <c r="G25" s="116"/>
      <c r="H25" s="116"/>
      <c r="I25" s="116"/>
      <c r="J25" s="114"/>
      <c r="K25" s="116"/>
      <c r="L25" s="114">
        <v>19</v>
      </c>
      <c r="M25" s="116"/>
      <c r="N25" s="114"/>
      <c r="O25" s="116"/>
      <c r="P25" s="114"/>
      <c r="Q25" s="114" t="s">
        <v>1032</v>
      </c>
      <c r="R25" s="114"/>
      <c r="S25" s="114" t="s">
        <v>675</v>
      </c>
      <c r="T25" s="116" t="s">
        <v>976</v>
      </c>
      <c r="U25" s="890">
        <f>($D25*dpsStr+$E25*dpsAgi+$G25*dpsCrit+$H25*dpsHit+$F25*dpsAP+$I25*dpsHaste+$J25*dpsArmor+$K25*dpsExp+IF(MID($Q25,1,1)+MID($Q25,3,1)+MID($Q25,5,1)&gt;0,VLOOKUP('Gear &amp; Buffs'!$B$33,GenSocketStats,18,FALSE)+IF(MID($Q25,1,1)+MID($Q25,3,1)+MID($Q25,5,1)&gt;1,VLOOKUP('Gear &amp; Buffs'!$B$34,GenSocketStats,18,FALSE),0),0))-'Gear &amp; Buffs'!$AF$32</f>
        <v>-78.790475164316575</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Shattered Sun Pendant of Might (Aldor)</v>
      </c>
    </row>
    <row r="26" spans="1:25">
      <c r="A26" s="10" t="s">
        <v>2029</v>
      </c>
      <c r="B26" s="116">
        <v>34679</v>
      </c>
      <c r="C26" s="116">
        <v>5</v>
      </c>
      <c r="D26" s="114"/>
      <c r="E26" s="114">
        <v>18</v>
      </c>
      <c r="F26" s="114">
        <v>64</v>
      </c>
      <c r="G26" s="116"/>
      <c r="H26" s="116"/>
      <c r="I26" s="116"/>
      <c r="J26" s="114"/>
      <c r="K26" s="116"/>
      <c r="L26" s="114">
        <v>19</v>
      </c>
      <c r="M26" s="116"/>
      <c r="N26" s="114"/>
      <c r="O26" s="116"/>
      <c r="P26" s="114"/>
      <c r="Q26" s="114" t="s">
        <v>1032</v>
      </c>
      <c r="R26" s="114"/>
      <c r="S26" s="114" t="s">
        <v>675</v>
      </c>
      <c r="T26" s="116" t="s">
        <v>976</v>
      </c>
      <c r="U26" s="890">
        <f>($D26*dpsStr+$E26*dpsAgi+$G26*dpsCrit+$H26*dpsHit+$F26*dpsAP+$I26*dpsHaste+$J26*dpsArmor+$K26*dpsExp+IF(MID($Q26,1,1)+MID($Q26,3,1)+MID($Q26,5,1)&gt;0,VLOOKUP('Gear &amp; Buffs'!$B$33,GenSocketStats,18,FALSE)+IF(MID($Q26,1,1)+MID($Q26,3,1)+MID($Q26,5,1)&gt;1,VLOOKUP('Gear &amp; Buffs'!$B$34,GenSocketStats,18,FALSE),0),0))-'Gear &amp; Buffs'!$AF$32</f>
        <v>-93.693731578145162</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Shattered Sun Pendant of Might (Scryer)</v>
      </c>
    </row>
    <row r="27" spans="1:25">
      <c r="A27" s="10" t="s">
        <v>2483</v>
      </c>
      <c r="B27" s="116">
        <v>34680</v>
      </c>
      <c r="C27" s="116">
        <v>5</v>
      </c>
      <c r="D27" s="114"/>
      <c r="E27" s="114"/>
      <c r="F27" s="114"/>
      <c r="G27" s="116"/>
      <c r="H27" s="116">
        <v>13</v>
      </c>
      <c r="I27" s="116"/>
      <c r="J27" s="114"/>
      <c r="K27" s="116">
        <v>18</v>
      </c>
      <c r="L27" s="114">
        <v>48</v>
      </c>
      <c r="M27" s="124">
        <f>100*itSSPRAup</f>
        <v>20.853630167465081</v>
      </c>
      <c r="N27" s="114"/>
      <c r="O27" s="116"/>
      <c r="P27" s="114"/>
      <c r="Q27" s="114" t="s">
        <v>1032</v>
      </c>
      <c r="R27" s="114"/>
      <c r="S27" s="114" t="s">
        <v>675</v>
      </c>
      <c r="T27" s="116" t="s">
        <v>976</v>
      </c>
      <c r="U27" s="890">
        <f>($D27*dpsStr+$E27*dpsAgi+$G27*dpsCrit+$H27*dpsHit+$F27*dpsAP+$I27*dpsHaste+$J27*dpsArmor+$K27*dpsExp+IF(MID($Q27,1,1)+MID($Q27,3,1)+MID($Q27,5,1)&gt;0,VLOOKUP('Gear &amp; Buffs'!$B$33,GenSocketStats,18,FALSE)+IF(MID($Q27,1,1)+MID($Q27,3,1)+MID($Q27,5,1)&gt;1,VLOOKUP('Gear &amp; Buffs'!$B$34,GenSocketStats,18,FALSE),0),0))-'Gear &amp; Buffs'!$AF$32</f>
        <v>-38.087293174321985</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Shattered Sun Pendant of Resolve (Aldor)</v>
      </c>
    </row>
    <row r="28" spans="1:25">
      <c r="A28" s="10" t="s">
        <v>2030</v>
      </c>
      <c r="B28" s="116">
        <v>34680</v>
      </c>
      <c r="C28" s="116">
        <v>5</v>
      </c>
      <c r="D28" s="114"/>
      <c r="E28" s="114"/>
      <c r="F28" s="114"/>
      <c r="G28" s="116"/>
      <c r="H28" s="116">
        <v>13</v>
      </c>
      <c r="I28" s="116"/>
      <c r="J28" s="114"/>
      <c r="K28" s="124">
        <f>18+100*itSSPRSup</f>
        <v>38.853630167465084</v>
      </c>
      <c r="L28" s="114">
        <v>48</v>
      </c>
      <c r="M28" s="116"/>
      <c r="N28" s="114"/>
      <c r="O28" s="116"/>
      <c r="P28" s="114"/>
      <c r="Q28" s="114" t="s">
        <v>1032</v>
      </c>
      <c r="R28" s="114"/>
      <c r="S28" s="114" t="s">
        <v>675</v>
      </c>
      <c r="T28" s="116" t="s">
        <v>976</v>
      </c>
      <c r="U28" s="890">
        <f>($D28*dpsStr+$E28*dpsAgi+$G28*dpsCrit+$H28*dpsHit+$F28*dpsAP+$I28*dpsHaste+$J28*dpsArmor+$K28*dpsExp+IF(MID($Q28,1,1)+MID($Q28,3,1)+MID($Q28,5,1)&gt;0,VLOOKUP('Gear &amp; Buffs'!$B$33,GenSocketStats,18,FALSE)+IF(MID($Q28,1,1)+MID($Q28,3,1)+MID($Q28,5,1)&gt;1,VLOOKUP('Gear &amp; Buffs'!$B$34,GenSocketStats,18,FALSE),0),0))-'Gear &amp; Buffs'!$AF$32</f>
        <v>-13.508993071145795</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Shattered Sun Pendant of Resolve (Scryer)</v>
      </c>
    </row>
    <row r="29" spans="1:25">
      <c r="A29" s="10" t="s">
        <v>2336</v>
      </c>
      <c r="B29" s="116">
        <v>35292</v>
      </c>
      <c r="C29" s="116">
        <v>5</v>
      </c>
      <c r="D29" s="114"/>
      <c r="E29" s="114"/>
      <c r="F29" s="114">
        <v>58</v>
      </c>
      <c r="G29" s="116">
        <v>28</v>
      </c>
      <c r="H29" s="116"/>
      <c r="I29" s="116"/>
      <c r="J29" s="114"/>
      <c r="K29" s="116"/>
      <c r="L29" s="114">
        <v>18</v>
      </c>
      <c r="M29" s="116"/>
      <c r="N29" s="114">
        <v>19</v>
      </c>
      <c r="O29" s="116"/>
      <c r="P29" s="114"/>
      <c r="Q29" s="114" t="s">
        <v>1038</v>
      </c>
      <c r="R29" s="114" t="s">
        <v>1065</v>
      </c>
      <c r="S29" s="114" t="s">
        <v>870</v>
      </c>
      <c r="T29" s="116"/>
      <c r="U29" s="890">
        <f>($D29*dpsStr+$E29*dpsAgi+$G29*dpsCrit+$H29*dpsHit+$F29*dpsAP+$I29*dpsHaste+$J29*dpsArmor+$K29*dpsExp+IF(MID($Q29,1,1)+MID($Q29,3,1)+MID($Q29,5,1)&gt;0,VLOOKUP('Gear &amp; Buffs'!$B$33,GenSocketStats,18,FALSE)+IF(MID($Q29,1,1)+MID($Q29,3,1)+MID($Q29,5,1)&gt;1,VLOOKUP('Gear &amp; Buffs'!$B$34,GenSocketStats,18,FALSE),0),0))-'Gear &amp; Buffs'!$AF$32</f>
        <v>-66.016269481191557</v>
      </c>
      <c r="V29" s="220" t="str">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Sin'dorei Pendant of Triumph</v>
      </c>
    </row>
    <row r="30" spans="1:25">
      <c r="A30" s="10" t="s">
        <v>2484</v>
      </c>
      <c r="B30" s="114">
        <v>29335</v>
      </c>
      <c r="C30" s="114">
        <v>1</v>
      </c>
      <c r="D30" s="114"/>
      <c r="E30" s="114"/>
      <c r="F30" s="114">
        <v>38</v>
      </c>
      <c r="G30" s="114"/>
      <c r="H30" s="114">
        <v>21</v>
      </c>
      <c r="I30" s="114"/>
      <c r="J30" s="114"/>
      <c r="K30" s="114"/>
      <c r="L30" s="114">
        <v>19</v>
      </c>
      <c r="M30" s="114"/>
      <c r="N30" s="114"/>
      <c r="O30" s="114"/>
      <c r="P30" s="114"/>
      <c r="Q30" s="114" t="s">
        <v>1032</v>
      </c>
      <c r="R30" s="114"/>
      <c r="S30" s="114" t="s">
        <v>674</v>
      </c>
      <c r="T30" s="114"/>
      <c r="U30" s="890">
        <f>($D30*dpsStr+$E30*dpsAgi+$G30*dpsCrit+$H30*dpsHit+$F30*dpsAP+$I30*dpsHaste+$J30*dpsArmor+$K30*dpsExp+IF(MID($Q30,1,1)+MID($Q30,3,1)+MID($Q30,5,1)&gt;0,VLOOKUP('Gear &amp; Buffs'!$B$33,GenSocketStats,18,FALSE)+IF(MID($Q30,1,1)+MID($Q30,3,1)+MID($Q30,5,1)&gt;1,VLOOKUP('Gear &amp; Buffs'!$B$34,GenSocketStats,18,FALSE),0),0))-'Gear &amp; Buffs'!$AF$32</f>
        <v>-1.3234830887386124</v>
      </c>
      <c r="V30" s="220">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16</v>
      </c>
      <c r="W30" s="737">
        <v>27</v>
      </c>
      <c r="X30" s="713" t="str">
        <f t="shared" si="1"/>
        <v/>
      </c>
      <c r="Y30" s="1391" t="str">
        <f t="shared" si="0"/>
        <v>Talon Lord's Collar</v>
      </c>
    </row>
    <row r="31" spans="1:25">
      <c r="A31" s="10" t="s">
        <v>689</v>
      </c>
      <c r="B31" s="116">
        <v>30017</v>
      </c>
      <c r="C31" s="116">
        <v>2</v>
      </c>
      <c r="D31" s="114"/>
      <c r="E31" s="114">
        <v>27</v>
      </c>
      <c r="F31" s="114">
        <v>70</v>
      </c>
      <c r="G31" s="116"/>
      <c r="H31" s="116"/>
      <c r="I31" s="116"/>
      <c r="J31" s="114"/>
      <c r="K31" s="116"/>
      <c r="L31" s="114">
        <v>26</v>
      </c>
      <c r="M31" s="116"/>
      <c r="N31" s="114"/>
      <c r="O31" s="116"/>
      <c r="P31" s="114"/>
      <c r="Q31" s="114" t="s">
        <v>1032</v>
      </c>
      <c r="R31" s="114"/>
      <c r="S31" s="114" t="s">
        <v>679</v>
      </c>
      <c r="T31" s="116"/>
      <c r="U31" s="890">
        <f>($D31*dpsStr+$E31*dpsAgi+$G31*dpsCrit+$H31*dpsHit+$F31*dpsAP+$I31*dpsHaste+$J31*dpsArmor+$K31*dpsExp+IF(MID($Q31,1,1)+MID($Q31,3,1)+MID($Q31,5,1)&gt;0,VLOOKUP('Gear &amp; Buffs'!$B$33,GenSocketStats,18,FALSE)+IF(MID($Q31,1,1)+MID($Q31,3,1)+MID($Q31,5,1)&gt;1,VLOOKUP('Gear &amp; Buffs'!$B$34,GenSocketStats,18,FALSE),0),0))-'Gear &amp; Buffs'!$AF$32</f>
        <v>-84.104835598999443</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Telonicus's Pendant of Mayhem</v>
      </c>
    </row>
    <row r="32" spans="1:25">
      <c r="A32" s="10" t="s">
        <v>277</v>
      </c>
      <c r="B32" s="116">
        <v>33297</v>
      </c>
      <c r="C32" s="116">
        <v>4</v>
      </c>
      <c r="D32" s="114"/>
      <c r="E32" s="114"/>
      <c r="F32" s="114">
        <v>50</v>
      </c>
      <c r="G32" s="116"/>
      <c r="H32" s="116"/>
      <c r="I32" s="116">
        <v>25</v>
      </c>
      <c r="J32" s="114"/>
      <c r="K32" s="116"/>
      <c r="L32" s="114">
        <v>37</v>
      </c>
      <c r="M32" s="116"/>
      <c r="N32" s="114"/>
      <c r="O32" s="116"/>
      <c r="P32" s="114"/>
      <c r="Q32" s="114" t="s">
        <v>1032</v>
      </c>
      <c r="R32" s="114"/>
      <c r="S32" s="114" t="s">
        <v>663</v>
      </c>
      <c r="T32" s="116"/>
      <c r="U32" s="890">
        <f>($D32*dpsStr+$E32*dpsAgi+$G32*dpsCrit+$H32*dpsHit+$F32*dpsAP+$I32*dpsHaste+$J32*dpsArmor+$K32*dpsExp+IF(MID($Q32,1,1)+MID($Q32,3,1)+MID($Q32,5,1)&gt;0,VLOOKUP('Gear &amp; Buffs'!$B$33,GenSocketStats,18,FALSE)+IF(MID($Q32,1,1)+MID($Q32,3,1)+MID($Q32,5,1)&gt;1,VLOOKUP('Gear &amp; Buffs'!$B$34,GenSocketStats,18,FALSE),0),0))-'Gear &amp; Buffs'!$AF$32</f>
        <v>-21.801565112643402</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The Savage's Choker</v>
      </c>
    </row>
    <row r="33" spans="1:25">
      <c r="A33" s="10" t="s">
        <v>2485</v>
      </c>
      <c r="B33" s="114">
        <v>27546</v>
      </c>
      <c r="C33" s="114">
        <v>1</v>
      </c>
      <c r="D33" s="114"/>
      <c r="E33" s="114"/>
      <c r="F33" s="114">
        <v>38</v>
      </c>
      <c r="G33" s="114">
        <v>18</v>
      </c>
      <c r="H33" s="114">
        <v>12</v>
      </c>
      <c r="I33" s="114"/>
      <c r="J33" s="114"/>
      <c r="K33" s="114"/>
      <c r="L33" s="114">
        <v>18</v>
      </c>
      <c r="M33" s="114"/>
      <c r="N33" s="114"/>
      <c r="O33" s="114"/>
      <c r="P33" s="114"/>
      <c r="Q33" s="114" t="s">
        <v>1032</v>
      </c>
      <c r="R33" s="114"/>
      <c r="S33" s="114" t="s">
        <v>690</v>
      </c>
      <c r="T33" s="114"/>
      <c r="U33" s="890">
        <f>($D33*dpsStr+$E33*dpsAgi+$G33*dpsCrit+$H33*dpsHit+$F33*dpsAP+$I33*dpsHaste+$J33*dpsArmor+$K33*dpsExp+IF(MID($Q33,1,1)+MID($Q33,3,1)+MID($Q33,5,1)&gt;0,VLOOKUP('Gear &amp; Buffs'!$B$33,GenSocketStats,18,FALSE)+IF(MID($Q33,1,1)+MID($Q33,3,1)+MID($Q33,5,1)&gt;1,VLOOKUP('Gear &amp; Buffs'!$B$34,GenSocketStats,18,FALSE),0),0))-'Gear &amp; Buffs'!$AF$32</f>
        <v>-38.929432793712294</v>
      </c>
      <c r="V33" s="220">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17</v>
      </c>
      <c r="W33" s="737">
        <v>30</v>
      </c>
      <c r="X33" s="713" t="str">
        <f t="shared" si="1"/>
        <v/>
      </c>
      <c r="Y33" s="1391" t="str">
        <f t="shared" si="0"/>
        <v>Traitor's Noose</v>
      </c>
    </row>
    <row r="34" spans="1:25">
      <c r="A34" s="10" t="s">
        <v>2486</v>
      </c>
      <c r="B34" s="116">
        <v>33066</v>
      </c>
      <c r="C34" s="116">
        <v>2</v>
      </c>
      <c r="D34" s="114"/>
      <c r="E34" s="114"/>
      <c r="F34" s="114">
        <v>42</v>
      </c>
      <c r="G34" s="116">
        <v>18</v>
      </c>
      <c r="H34" s="116"/>
      <c r="I34" s="116"/>
      <c r="J34" s="114"/>
      <c r="K34" s="116"/>
      <c r="L34" s="114">
        <v>31</v>
      </c>
      <c r="M34" s="116"/>
      <c r="N34" s="114">
        <v>18</v>
      </c>
      <c r="O34" s="116"/>
      <c r="P34" s="114"/>
      <c r="Q34" s="114" t="s">
        <v>1042</v>
      </c>
      <c r="R34" s="114" t="s">
        <v>1337</v>
      </c>
      <c r="S34" s="114" t="s">
        <v>676</v>
      </c>
      <c r="T34" s="116"/>
      <c r="U34" s="890">
        <f>($D34*dpsStr+$E34*dpsAgi+$G34*dpsCrit+$H34*dpsHit+$F34*dpsAP+$I34*dpsHaste+$J34*dpsArmor+$K34*dpsExp+IF(MID($Q34,1,1)+MID($Q34,3,1)+MID($Q34,5,1)&gt;0,VLOOKUP('Gear &amp; Buffs'!$B$33,GenSocketStats,18,FALSE)+IF(MID($Q34,1,1)+MID($Q34,3,1)+MID($Q34,5,1)&gt;1,VLOOKUP('Gear &amp; Buffs'!$B$34,GenSocketStats,18,FALSE),0),0))-'Gear &amp; Buffs'!$AF$32</f>
        <v>-78.591512949969001</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Veteran's Pendant of Triumph</v>
      </c>
    </row>
    <row r="35" spans="1:25">
      <c r="A35" s="10" t="s">
        <v>158</v>
      </c>
      <c r="B35" s="116">
        <v>33923</v>
      </c>
      <c r="C35" s="116">
        <v>3</v>
      </c>
      <c r="D35" s="114"/>
      <c r="E35" s="114"/>
      <c r="F35" s="114">
        <v>50</v>
      </c>
      <c r="G35" s="116">
        <v>22</v>
      </c>
      <c r="H35" s="116"/>
      <c r="I35" s="116"/>
      <c r="J35" s="114"/>
      <c r="K35" s="116"/>
      <c r="L35" s="114">
        <v>35</v>
      </c>
      <c r="M35" s="116"/>
      <c r="N35" s="114">
        <v>18</v>
      </c>
      <c r="O35" s="116"/>
      <c r="P35" s="114"/>
      <c r="Q35" s="114" t="s">
        <v>1042</v>
      </c>
      <c r="R35" s="114" t="s">
        <v>1337</v>
      </c>
      <c r="S35" s="114" t="s">
        <v>676</v>
      </c>
      <c r="T35" s="116"/>
      <c r="U35" s="890">
        <f>($D35*dpsStr+$E35*dpsAgi+$G35*dpsCrit+$H35*dpsHit+$F35*dpsAP+$I35*dpsHaste+$J35*dpsArmor+$K35*dpsExp+IF(MID($Q35,1,1)+MID($Q35,3,1)+MID($Q35,5,1)&gt;0,VLOOKUP('Gear &amp; Buffs'!$B$33,GenSocketStats,18,FALSE)+IF(MID($Q35,1,1)+MID($Q35,3,1)+MID($Q35,5,1)&gt;1,VLOOKUP('Gear &amp; Buffs'!$B$34,GenSocketStats,18,FALSE),0),0))-'Gear &amp; Buffs'!$AF$32</f>
        <v>-72.989687521089763</v>
      </c>
      <c r="V35" s="220" t="str">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1" t="str">
        <f t="shared" si="0"/>
        <v>Vindicator's Pendant of Triumph</v>
      </c>
    </row>
    <row r="36" spans="1:25">
      <c r="A36" s="126" t="s">
        <v>1338</v>
      </c>
      <c r="B36" s="114">
        <v>28509</v>
      </c>
      <c r="C36" s="114">
        <v>1</v>
      </c>
      <c r="D36" s="114"/>
      <c r="E36" s="114">
        <v>20</v>
      </c>
      <c r="F36" s="114">
        <v>42</v>
      </c>
      <c r="G36" s="116"/>
      <c r="H36" s="116">
        <v>17</v>
      </c>
      <c r="I36" s="114"/>
      <c r="J36" s="114"/>
      <c r="K36" s="114"/>
      <c r="L36" s="114">
        <v>21</v>
      </c>
      <c r="M36" s="116"/>
      <c r="N36" s="127"/>
      <c r="O36" s="114"/>
      <c r="P36" s="114"/>
      <c r="Q36" s="114" t="s">
        <v>1032</v>
      </c>
      <c r="R36" s="114"/>
      <c r="S36" s="114" t="s">
        <v>671</v>
      </c>
      <c r="T36" s="114"/>
      <c r="U36" s="890">
        <f>($D36*dpsStr+$E36*dpsAgi+$G36*dpsCrit+$H36*dpsHit+$F36*dpsAP+$I36*dpsHaste+$J36*dpsArmor+$K36*dpsExp+IF(MID($Q36,1,1)+MID($Q36,3,1)+MID($Q36,5,1)&gt;0,VLOOKUP('Gear &amp; Buffs'!$B$33,GenSocketStats,18,FALSE)+IF(MID($Q36,1,1)+MID($Q36,3,1)+MID($Q36,5,1)&gt;1,VLOOKUP('Gear &amp; Buffs'!$B$34,GenSocketStats,18,FALSE),0),0))-'Gear &amp; Buffs'!$AF$32</f>
        <v>-5.5500314671271553</v>
      </c>
      <c r="V36" s="220">
        <f>IF(AND(IF('Gear &amp; Buffs'!$AC$50,U36&gt;0+'Gear &amp; Buffs'!$U$42,TRUE),OR(IF(includep1,$C36&lt;=1), IF(includep2,$C36&lt;=2), IF(includep3,$C36&lt;=3), IF(includep4,$C36&lt;=4), IF(includep5,$C36&lt;=5)), OR(IF(includeblacksmith,S36="Blacksmithing"),IF(includeleatherwork,S36="Leatherworking"),IF(includeengineer,S36="Engineering"),IF(includejewelcrafting,S36="Jewelcrafting"),IF(includeboecrafted,S36="BoE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18</v>
      </c>
      <c r="W36" s="737">
        <v>33</v>
      </c>
      <c r="X36" s="713" t="str">
        <f t="shared" si="1"/>
        <v/>
      </c>
      <c r="Y36" s="1391" t="str">
        <f t="shared" si="0"/>
        <v>Worgen Claw Necklace</v>
      </c>
    </row>
    <row r="37" spans="1:25">
      <c r="A37" s="10" t="str">
        <f>'Gear &amp; Buffs'!$B$157</f>
        <v>(Unmodeled)</v>
      </c>
      <c r="B37" s="114"/>
      <c r="C37" s="114"/>
      <c r="D37" s="114">
        <f>'Gear &amp; Buffs'!$D$157</f>
        <v>0</v>
      </c>
      <c r="E37" s="114">
        <f>'Gear &amp; Buffs'!$E$157</f>
        <v>0</v>
      </c>
      <c r="F37" s="114">
        <f>'Gear &amp; Buffs'!$I$157</f>
        <v>0</v>
      </c>
      <c r="G37" s="115">
        <f>'Gear &amp; Buffs'!$G$157</f>
        <v>0</v>
      </c>
      <c r="H37" s="115">
        <f>'Gear &amp; Buffs'!$H$157</f>
        <v>0</v>
      </c>
      <c r="I37" s="115">
        <f>'Gear &amp; Buffs'!$P$157</f>
        <v>0</v>
      </c>
      <c r="J37" s="114">
        <f>'Gear &amp; Buffs'!$Q$157</f>
        <v>0</v>
      </c>
      <c r="K37" s="116">
        <f>'Gear &amp; Buffs'!$L$157</f>
        <v>0</v>
      </c>
      <c r="L37" s="114">
        <f>'Gear &amp; Buffs'!$F$157</f>
        <v>0</v>
      </c>
      <c r="M37" s="116">
        <f>'Gear &amp; Buffs'!$K$157</f>
        <v>0</v>
      </c>
      <c r="N37" s="114">
        <f>'Gear &amp; Buffs'!$J$157</f>
        <v>0</v>
      </c>
      <c r="O37" s="115">
        <f>'Gear &amp; Buffs'!M157</f>
        <v>0</v>
      </c>
      <c r="P37" s="114"/>
      <c r="Q37" s="114" t="str">
        <f>'Gear &amp; Buffs'!$R$157</f>
        <v>0 0 0</v>
      </c>
      <c r="R37" s="719">
        <f>'Gear &amp; Buffs'!$S$157</f>
        <v>0</v>
      </c>
      <c r="S37" s="116"/>
      <c r="T37" s="114"/>
      <c r="U37" s="890">
        <f>($D37*dpsStr+$E37*dpsAgi+$G37*dpsCrit+$H37*dpsHit+$F37*dpsAP+$I37*dpsHaste+$J37*dpsArmor+$K37*dpsExp+IF(MID($Q37,1,1)+MID($Q37,3,1)+MID($Q37,5,1)&gt;0,VLOOKUP('Gear &amp; Buffs'!$B$33,GenSocketStats,18,FALSE)+IF(MID($Q37,1,1)+MID($Q37,3,1)+MID($Q37,5,1)&gt;1,VLOOKUP('Gear &amp; Buffs'!$B$34,GenSocketStats,18,FALSE),0),0))-'Gear &amp; Buffs'!$AF$32</f>
        <v>-131.45268488090505</v>
      </c>
      <c r="V37" s="680">
        <f>MAX($V$1:V36)+1</f>
        <v>19</v>
      </c>
      <c r="W37" s="737">
        <v>34</v>
      </c>
      <c r="X37" s="713" t="str">
        <f t="shared" si="1"/>
        <v/>
      </c>
      <c r="Y37" s="1391"/>
    </row>
    <row r="38" spans="1:25">
      <c r="A38" s="126" t="s">
        <v>2206</v>
      </c>
      <c r="B38" s="113"/>
      <c r="C38" s="113"/>
      <c r="D38" s="112"/>
      <c r="E38" s="112"/>
      <c r="F38" s="112"/>
      <c r="G38" s="113"/>
      <c r="H38" s="113"/>
      <c r="I38" s="113"/>
      <c r="J38" s="114"/>
      <c r="K38" s="113"/>
      <c r="L38" s="112"/>
      <c r="M38" s="113"/>
      <c r="N38" s="112"/>
      <c r="O38" s="113"/>
      <c r="P38" s="113"/>
      <c r="Q38" s="114" t="s">
        <v>1032</v>
      </c>
      <c r="R38" s="114"/>
      <c r="S38" s="114"/>
      <c r="T38" s="113"/>
      <c r="U38" s="720"/>
      <c r="V38" s="680"/>
      <c r="W38" s="737">
        <v>35</v>
      </c>
      <c r="X38" s="713" t="str">
        <f t="shared" si="1"/>
        <v/>
      </c>
    </row>
    <row r="39" spans="1:25">
      <c r="R39" s="114"/>
      <c r="S39" s="114"/>
      <c r="T39" s="114"/>
      <c r="V39" s="680"/>
      <c r="W39" s="737">
        <v>36</v>
      </c>
      <c r="X39" s="713" t="str">
        <f t="shared" si="1"/>
        <v/>
      </c>
    </row>
    <row r="40" spans="1:25">
      <c r="R40" s="114"/>
      <c r="S40" s="114"/>
      <c r="T40" s="114"/>
      <c r="W40" s="677"/>
      <c r="X40" s="676"/>
    </row>
    <row r="41" spans="1:25">
      <c r="A41" s="126"/>
      <c r="B41" s="114"/>
      <c r="C41" s="114"/>
      <c r="D41" s="114"/>
      <c r="E41" s="114"/>
      <c r="F41" s="127"/>
      <c r="G41" s="114"/>
      <c r="H41" s="114"/>
      <c r="I41" s="114"/>
      <c r="J41" s="116"/>
      <c r="K41" s="116"/>
      <c r="L41" s="116"/>
      <c r="M41" s="116"/>
      <c r="N41" s="114"/>
      <c r="O41" s="114"/>
      <c r="P41" s="114"/>
      <c r="Q41" s="114"/>
      <c r="R41" s="114"/>
      <c r="S41" s="114"/>
      <c r="T41" s="114"/>
      <c r="V41" s="114"/>
      <c r="W41" s="677"/>
      <c r="X41" s="676"/>
    </row>
    <row r="42" spans="1:25">
      <c r="A42" s="169"/>
      <c r="B42" s="170"/>
      <c r="C42" s="170"/>
      <c r="D42" s="170"/>
      <c r="E42" s="170"/>
      <c r="F42" s="171"/>
      <c r="G42" s="171"/>
      <c r="H42" s="170"/>
      <c r="I42" s="171"/>
      <c r="J42" s="170"/>
      <c r="K42" s="171"/>
      <c r="L42" s="171"/>
      <c r="M42" s="171"/>
      <c r="N42" s="171"/>
      <c r="O42" s="171"/>
      <c r="P42" s="171"/>
      <c r="Q42" s="170"/>
      <c r="R42" s="114"/>
      <c r="S42" s="114"/>
      <c r="T42" s="114"/>
    </row>
    <row r="43" spans="1:25">
      <c r="A43" s="10"/>
      <c r="B43" s="114"/>
      <c r="C43" s="114"/>
      <c r="D43" s="114"/>
      <c r="E43" s="114"/>
      <c r="F43" s="116"/>
      <c r="G43" s="116"/>
      <c r="H43" s="114"/>
      <c r="I43" s="116"/>
      <c r="J43" s="114"/>
      <c r="K43" s="116"/>
      <c r="L43" s="116"/>
      <c r="M43" s="116"/>
      <c r="N43" s="116"/>
      <c r="O43" s="116"/>
      <c r="P43" s="114"/>
      <c r="Q43" s="114"/>
      <c r="R43" s="114"/>
      <c r="S43" s="114"/>
      <c r="T43" s="114"/>
    </row>
    <row r="44" spans="1:25">
      <c r="F44" s="171"/>
      <c r="G44" s="171"/>
      <c r="H44" s="170"/>
      <c r="I44" s="171"/>
      <c r="J44" s="170"/>
      <c r="K44" s="171"/>
      <c r="L44" s="171"/>
      <c r="M44" s="171"/>
      <c r="N44" s="171"/>
      <c r="O44" s="171"/>
      <c r="P44" s="170"/>
      <c r="Q44" s="170"/>
    </row>
    <row r="45" spans="1:25">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0"/>
      <c r="Q47" s="170"/>
    </row>
    <row r="48" spans="1:25">
      <c r="A48" s="6"/>
      <c r="F48" s="171"/>
      <c r="G48" s="171"/>
      <c r="H48" s="170"/>
      <c r="I48" s="171"/>
      <c r="J48" s="170"/>
      <c r="K48" s="171"/>
      <c r="L48" s="171"/>
      <c r="M48" s="171"/>
      <c r="N48" s="171"/>
      <c r="O48" s="171"/>
      <c r="P48" s="171"/>
      <c r="Q48" s="170"/>
    </row>
    <row r="49" spans="1:17">
      <c r="A49" s="6"/>
      <c r="F49" s="171"/>
      <c r="G49" s="171"/>
      <c r="H49" s="170"/>
      <c r="I49" s="171"/>
      <c r="J49" s="170"/>
      <c r="K49" s="171"/>
      <c r="L49" s="171"/>
      <c r="M49" s="171"/>
      <c r="N49" s="171"/>
      <c r="O49" s="171"/>
      <c r="P49" s="170"/>
      <c r="Q49" s="170"/>
    </row>
    <row r="50" spans="1:17">
      <c r="A50" s="6"/>
      <c r="D50" s="114"/>
      <c r="F50" s="170"/>
      <c r="G50" s="170"/>
      <c r="H50" s="170"/>
      <c r="I50" s="170"/>
      <c r="J50" s="170"/>
      <c r="K50" s="170"/>
      <c r="L50" s="170"/>
      <c r="M50" s="170"/>
      <c r="N50" s="170"/>
      <c r="O50" s="170"/>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F53" s="171"/>
      <c r="G53" s="171"/>
      <c r="H53" s="170"/>
      <c r="I53" s="171"/>
      <c r="J53" s="170"/>
      <c r="K53" s="171"/>
      <c r="L53" s="171"/>
      <c r="M53" s="171"/>
      <c r="N53" s="171"/>
      <c r="O53" s="171"/>
      <c r="P53" s="170"/>
      <c r="Q53" s="170"/>
    </row>
    <row r="54" spans="1:17">
      <c r="A54" s="6"/>
      <c r="D54" s="120"/>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0"/>
      <c r="K57" s="171"/>
      <c r="L57" s="171"/>
      <c r="M57" s="171"/>
      <c r="N57" s="171"/>
      <c r="O57" s="171"/>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7"/>
      <c r="K59" s="170"/>
      <c r="L59" s="170"/>
      <c r="M59" s="170"/>
      <c r="N59" s="170"/>
      <c r="O59" s="170"/>
      <c r="P59" s="170"/>
      <c r="Q59" s="170"/>
    </row>
    <row r="60" spans="1:17">
      <c r="A60" s="6"/>
      <c r="F60" s="171"/>
      <c r="G60" s="171"/>
      <c r="H60" s="170"/>
      <c r="I60" s="171"/>
      <c r="J60" s="170"/>
      <c r="K60" s="171"/>
      <c r="L60" s="171"/>
      <c r="M60" s="171"/>
      <c r="N60" s="171"/>
      <c r="O60" s="171"/>
      <c r="P60" s="171"/>
      <c r="Q60" s="170"/>
    </row>
    <row r="61" spans="1:17">
      <c r="A61" s="6"/>
      <c r="F61" s="170"/>
      <c r="G61" s="170"/>
      <c r="H61" s="170"/>
      <c r="I61" s="170"/>
      <c r="J61" s="170"/>
      <c r="K61" s="170"/>
      <c r="L61" s="170"/>
      <c r="M61" s="170"/>
      <c r="N61" s="170"/>
      <c r="O61" s="170"/>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A65" s="6"/>
      <c r="F65" s="171"/>
      <c r="G65" s="171"/>
      <c r="H65" s="170"/>
      <c r="I65" s="171"/>
      <c r="J65" s="170"/>
      <c r="K65" s="171"/>
      <c r="L65" s="171"/>
      <c r="M65" s="171"/>
      <c r="N65" s="171"/>
      <c r="O65" s="171"/>
      <c r="P65" s="170"/>
      <c r="Q65" s="170"/>
    </row>
    <row r="66" spans="1:17">
      <c r="F66" s="170"/>
      <c r="G66" s="177"/>
      <c r="H66" s="170"/>
      <c r="I66" s="170"/>
      <c r="J66" s="171"/>
      <c r="K66" s="171"/>
      <c r="L66" s="171"/>
      <c r="M66" s="171"/>
      <c r="N66" s="172"/>
      <c r="O66" s="172"/>
      <c r="P66" s="172"/>
      <c r="Q66" s="172"/>
    </row>
    <row r="67" spans="1:17">
      <c r="F67" s="133"/>
      <c r="G67" s="133"/>
      <c r="H67" s="133"/>
      <c r="I67" s="133"/>
      <c r="J67" s="134"/>
      <c r="K67" s="134"/>
      <c r="L67" s="134"/>
      <c r="M67" s="134"/>
    </row>
    <row r="68" spans="1:17">
      <c r="F68" s="118"/>
      <c r="G68" s="118"/>
      <c r="H68" s="118"/>
      <c r="I68" s="118"/>
      <c r="J68" s="119"/>
      <c r="K68" s="119"/>
      <c r="L68" s="119"/>
      <c r="M68" s="119"/>
    </row>
    <row r="69" spans="1:17">
      <c r="F69" s="114"/>
      <c r="G69" s="127"/>
      <c r="H69" s="114"/>
      <c r="I69" s="114"/>
      <c r="J69" s="116"/>
      <c r="K69" s="116"/>
      <c r="L69" s="116"/>
      <c r="M69" s="116"/>
    </row>
    <row r="70" spans="1:17">
      <c r="F70" s="114"/>
      <c r="G70" s="114"/>
      <c r="H70" s="114"/>
      <c r="I70" s="114"/>
      <c r="J70" s="116"/>
      <c r="K70" s="116"/>
      <c r="L70" s="116"/>
      <c r="M70" s="116"/>
    </row>
    <row r="71" spans="1:17">
      <c r="F71" s="114"/>
      <c r="G71" s="114"/>
      <c r="H71" s="114"/>
      <c r="I71" s="114"/>
      <c r="J71" s="116"/>
      <c r="K71" s="116"/>
      <c r="L71" s="116"/>
      <c r="M71" s="116"/>
    </row>
    <row r="72" spans="1:17">
      <c r="F72" s="114"/>
      <c r="G72" s="114"/>
      <c r="H72" s="114"/>
      <c r="I72" s="127"/>
      <c r="J72" s="116"/>
      <c r="K72" s="116"/>
      <c r="L72" s="116"/>
      <c r="M72" s="116"/>
    </row>
    <row r="73" spans="1:17">
      <c r="F73" s="114"/>
      <c r="G73" s="114"/>
      <c r="H73" s="114"/>
      <c r="I73" s="114"/>
      <c r="J73" s="116"/>
      <c r="K73" s="116"/>
      <c r="L73" s="116"/>
      <c r="M73" s="116"/>
    </row>
    <row r="74" spans="1:17">
      <c r="F74" s="114"/>
      <c r="G74" s="127"/>
      <c r="H74" s="114"/>
      <c r="I74" s="114"/>
      <c r="J74" s="116"/>
      <c r="K74" s="116"/>
      <c r="L74" s="116"/>
      <c r="M74" s="116"/>
    </row>
    <row r="75" spans="1:17">
      <c r="F75" s="127"/>
      <c r="G75" s="114"/>
      <c r="H75" s="114"/>
      <c r="I75" s="114"/>
      <c r="J75" s="116"/>
      <c r="K75" s="116"/>
      <c r="L75" s="116"/>
      <c r="M75" s="116"/>
    </row>
    <row r="76" spans="1:17">
      <c r="F76" s="133"/>
      <c r="G76" s="133"/>
      <c r="H76" s="133"/>
      <c r="I76" s="133"/>
      <c r="J76" s="134"/>
      <c r="K76" s="134"/>
      <c r="L76" s="134"/>
      <c r="M76" s="134"/>
    </row>
    <row r="77" spans="1:17">
      <c r="F77" s="118"/>
      <c r="G77" s="118"/>
      <c r="H77" s="118"/>
      <c r="I77" s="118"/>
      <c r="J77" s="119"/>
      <c r="K77" s="119"/>
      <c r="L77" s="119"/>
      <c r="M77" s="119"/>
    </row>
    <row r="78" spans="1:17">
      <c r="A78" s="10"/>
      <c r="B78" s="114"/>
      <c r="C78" s="114"/>
      <c r="D78" s="114"/>
      <c r="E78" s="114"/>
      <c r="F78" s="127"/>
      <c r="G78" s="127"/>
      <c r="H78" s="114"/>
      <c r="I78" s="127"/>
      <c r="J78" s="116"/>
      <c r="K78" s="116"/>
      <c r="L78" s="116"/>
      <c r="M78" s="116"/>
      <c r="N78" s="152"/>
      <c r="O78" s="152"/>
    </row>
    <row r="79" spans="1:17">
      <c r="A79" s="10"/>
      <c r="B79" s="114"/>
      <c r="C79" s="114"/>
      <c r="D79" s="114"/>
      <c r="E79" s="114"/>
      <c r="F79" s="127"/>
      <c r="G79" s="127"/>
      <c r="H79" s="114"/>
      <c r="I79" s="127"/>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14"/>
      <c r="H81" s="114"/>
      <c r="I81" s="114"/>
      <c r="J81" s="116"/>
      <c r="K81" s="116"/>
      <c r="L81" s="116"/>
      <c r="M81" s="116"/>
    </row>
    <row r="82" spans="1:13">
      <c r="A82" s="10"/>
      <c r="B82" s="114"/>
      <c r="C82" s="114"/>
      <c r="D82" s="114"/>
      <c r="E82" s="114"/>
      <c r="F82" s="114"/>
      <c r="G82" s="127"/>
      <c r="H82" s="118"/>
      <c r="I82" s="114"/>
      <c r="J82" s="116"/>
      <c r="K82" s="116"/>
      <c r="L82" s="116"/>
      <c r="M82" s="116"/>
    </row>
    <row r="83" spans="1:13">
      <c r="A83" s="10"/>
      <c r="B83" s="114"/>
      <c r="C83" s="114"/>
      <c r="D83" s="114"/>
      <c r="E83" s="114"/>
      <c r="F83" s="114"/>
      <c r="G83" s="114"/>
      <c r="H83" s="114"/>
      <c r="I83" s="114"/>
      <c r="J83" s="116"/>
      <c r="K83" s="116"/>
      <c r="L83" s="116"/>
      <c r="M83" s="116"/>
    </row>
    <row r="84" spans="1:13">
      <c r="A84" s="10"/>
      <c r="B84" s="114"/>
      <c r="C84" s="114"/>
      <c r="D84" s="114"/>
      <c r="E84" s="114"/>
      <c r="F84" s="127"/>
      <c r="G84" s="127"/>
      <c r="H84" s="114"/>
      <c r="I84" s="114"/>
      <c r="J84" s="116"/>
      <c r="K84" s="116"/>
      <c r="L84" s="116"/>
      <c r="M84" s="116"/>
    </row>
    <row r="85" spans="1:13">
      <c r="A85" s="135"/>
      <c r="B85" s="133"/>
      <c r="C85" s="133"/>
      <c r="D85" s="133"/>
      <c r="E85" s="133"/>
      <c r="F85" s="133"/>
      <c r="G85" s="133"/>
      <c r="H85" s="133"/>
      <c r="I85" s="133"/>
      <c r="J85" s="134"/>
      <c r="K85" s="134"/>
      <c r="L85" s="134"/>
      <c r="M85" s="134"/>
    </row>
    <row r="86" spans="1:13">
      <c r="A86" s="132"/>
      <c r="B86" s="118"/>
      <c r="C86" s="118"/>
      <c r="D86" s="118"/>
      <c r="E86" s="118"/>
      <c r="F86" s="118"/>
      <c r="G86" s="118"/>
      <c r="H86" s="118"/>
      <c r="I86" s="118"/>
      <c r="J86" s="119"/>
      <c r="K86" s="119"/>
      <c r="L86" s="119"/>
      <c r="M86" s="119"/>
    </row>
    <row r="87" spans="1:13">
      <c r="A87" s="10"/>
      <c r="B87" s="114"/>
      <c r="C87" s="114"/>
      <c r="D87" s="114"/>
      <c r="E87" s="114"/>
      <c r="F87" s="127"/>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14"/>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0"/>
      <c r="B92" s="114"/>
      <c r="C92" s="114"/>
      <c r="D92" s="114"/>
      <c r="E92" s="114"/>
      <c r="F92" s="127"/>
      <c r="G92" s="114"/>
      <c r="H92" s="114"/>
      <c r="I92" s="114"/>
      <c r="J92" s="116"/>
      <c r="K92" s="116"/>
      <c r="L92" s="116"/>
      <c r="M92" s="116"/>
    </row>
    <row r="93" spans="1:13">
      <c r="A93" s="10"/>
      <c r="B93" s="114"/>
      <c r="C93" s="114"/>
      <c r="D93" s="114"/>
      <c r="E93" s="114"/>
      <c r="F93" s="114"/>
      <c r="G93" s="127"/>
      <c r="H93" s="114"/>
      <c r="I93" s="127"/>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27"/>
      <c r="G95" s="127"/>
      <c r="H95" s="114"/>
      <c r="I95" s="114"/>
      <c r="J95" s="116"/>
      <c r="K95" s="116"/>
      <c r="L95" s="116"/>
      <c r="M95" s="116"/>
    </row>
    <row r="96" spans="1:13">
      <c r="A96" s="10"/>
      <c r="B96" s="114"/>
      <c r="C96" s="114"/>
      <c r="D96" s="114"/>
      <c r="E96" s="114"/>
      <c r="F96" s="114"/>
      <c r="G96" s="127"/>
      <c r="H96" s="114"/>
      <c r="I96" s="114"/>
      <c r="J96" s="116"/>
      <c r="K96" s="116"/>
      <c r="L96" s="116"/>
      <c r="M96" s="116"/>
    </row>
    <row r="97" spans="1:13">
      <c r="A97" s="136"/>
      <c r="B97" s="114"/>
      <c r="C97" s="114"/>
      <c r="D97" s="114"/>
      <c r="E97" s="114"/>
      <c r="F97" s="114"/>
      <c r="G97" s="114"/>
      <c r="H97" s="114"/>
      <c r="I97" s="114"/>
      <c r="J97" s="116"/>
      <c r="K97" s="116"/>
      <c r="L97" s="116"/>
      <c r="M97" s="116"/>
    </row>
    <row r="98" spans="1:13">
      <c r="A98" s="132"/>
      <c r="B98" s="118"/>
      <c r="C98" s="118"/>
      <c r="D98" s="118"/>
      <c r="E98" s="118"/>
      <c r="F98" s="118"/>
      <c r="G98" s="118"/>
      <c r="H98" s="118"/>
      <c r="I98" s="118"/>
      <c r="J98" s="119"/>
      <c r="K98" s="119"/>
      <c r="L98" s="119"/>
      <c r="M98" s="119"/>
    </row>
    <row r="99" spans="1:13">
      <c r="A99" s="10"/>
      <c r="B99" s="114"/>
      <c r="C99" s="114"/>
      <c r="D99" s="114"/>
      <c r="E99" s="114"/>
      <c r="F99" s="127"/>
      <c r="G99" s="114"/>
      <c r="H99" s="114"/>
      <c r="I99" s="114"/>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27"/>
      <c r="J101" s="116"/>
      <c r="K101" s="116"/>
      <c r="L101" s="116"/>
      <c r="M101" s="116"/>
    </row>
    <row r="102" spans="1:13">
      <c r="A102" s="10"/>
      <c r="B102" s="114"/>
      <c r="C102" s="114"/>
      <c r="D102" s="114"/>
      <c r="E102" s="114"/>
      <c r="F102" s="114"/>
      <c r="G102" s="127"/>
      <c r="H102" s="114"/>
      <c r="I102" s="114"/>
      <c r="J102" s="116"/>
      <c r="K102" s="116"/>
      <c r="L102" s="116"/>
      <c r="M102" s="116"/>
    </row>
    <row r="103" spans="1:13">
      <c r="A103" s="10"/>
      <c r="B103" s="114"/>
      <c r="C103" s="114"/>
      <c r="D103" s="114"/>
      <c r="E103" s="114"/>
      <c r="F103" s="114"/>
      <c r="G103" s="127"/>
      <c r="H103" s="114"/>
      <c r="I103" s="114"/>
      <c r="J103" s="116"/>
      <c r="K103" s="116"/>
      <c r="L103" s="116"/>
      <c r="M103" s="116"/>
    </row>
    <row r="104" spans="1:13">
      <c r="A104" s="136"/>
      <c r="B104" s="114"/>
      <c r="C104" s="114"/>
      <c r="D104" s="114"/>
      <c r="E104" s="114"/>
      <c r="F104" s="114"/>
      <c r="G104" s="114"/>
      <c r="H104" s="114"/>
      <c r="I104" s="114"/>
      <c r="J104" s="116"/>
      <c r="K104" s="116"/>
      <c r="L104" s="116"/>
      <c r="M104" s="116"/>
    </row>
    <row r="105" spans="1:13">
      <c r="A105" s="132"/>
      <c r="B105" s="118"/>
      <c r="C105" s="118"/>
      <c r="D105" s="118"/>
      <c r="E105" s="118"/>
      <c r="F105" s="118"/>
      <c r="G105" s="118"/>
      <c r="H105" s="118"/>
      <c r="I105" s="118"/>
      <c r="J105" s="119"/>
      <c r="K105" s="119"/>
      <c r="L105" s="119"/>
      <c r="M105" s="119"/>
    </row>
    <row r="106" spans="1:13">
      <c r="A106" s="10"/>
      <c r="B106" s="114"/>
      <c r="C106" s="114"/>
      <c r="D106" s="114"/>
      <c r="E106" s="114"/>
      <c r="F106" s="114"/>
      <c r="G106" s="114"/>
      <c r="H106" s="114"/>
      <c r="I106" s="114"/>
      <c r="J106" s="116"/>
      <c r="K106" s="116"/>
      <c r="L106" s="116"/>
      <c r="M106" s="116"/>
    </row>
    <row r="107" spans="1:13">
      <c r="A107" s="10"/>
      <c r="B107" s="114"/>
      <c r="C107" s="114"/>
      <c r="D107" s="114"/>
      <c r="E107" s="114"/>
      <c r="F107" s="114"/>
      <c r="G107" s="127"/>
      <c r="H107" s="114"/>
      <c r="I107" s="114"/>
      <c r="J107" s="116"/>
      <c r="K107" s="116"/>
      <c r="L107" s="116"/>
      <c r="M107" s="116"/>
    </row>
    <row r="108" spans="1:13">
      <c r="A108" s="10"/>
      <c r="B108" s="114"/>
      <c r="C108" s="114"/>
      <c r="D108" s="114"/>
      <c r="E108" s="114"/>
      <c r="F108" s="114"/>
      <c r="G108" s="114"/>
      <c r="H108" s="114"/>
      <c r="I108" s="127"/>
      <c r="J108" s="116"/>
      <c r="K108" s="116"/>
      <c r="L108" s="116"/>
      <c r="M108" s="116"/>
    </row>
    <row r="109" spans="1:13">
      <c r="A109" s="10"/>
      <c r="B109" s="114"/>
      <c r="C109" s="114"/>
      <c r="D109" s="114"/>
      <c r="E109" s="114"/>
      <c r="F109" s="114"/>
      <c r="G109" s="114"/>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0"/>
      <c r="B112" s="114"/>
      <c r="C112" s="114"/>
      <c r="D112" s="114"/>
      <c r="E112" s="114"/>
      <c r="F112" s="114"/>
      <c r="G112" s="127"/>
      <c r="H112" s="114"/>
      <c r="I112" s="114"/>
      <c r="J112" s="116"/>
      <c r="K112" s="116"/>
      <c r="L112" s="116"/>
      <c r="M112" s="116"/>
    </row>
    <row r="113" spans="1:13">
      <c r="A113" s="10"/>
      <c r="B113" s="114"/>
      <c r="C113" s="114"/>
      <c r="D113" s="114"/>
      <c r="E113" s="114"/>
      <c r="F113" s="114"/>
      <c r="G113" s="114"/>
      <c r="H113" s="114"/>
      <c r="I113" s="127"/>
      <c r="J113" s="116"/>
      <c r="K113" s="116"/>
      <c r="L113" s="116"/>
      <c r="M113" s="116"/>
    </row>
    <row r="114" spans="1:13">
      <c r="A114" s="10"/>
      <c r="B114" s="114"/>
      <c r="C114" s="114"/>
      <c r="D114" s="114"/>
      <c r="E114" s="114"/>
      <c r="F114" s="127"/>
      <c r="G114" s="114"/>
      <c r="H114" s="114"/>
      <c r="I114" s="114"/>
      <c r="J114" s="116"/>
      <c r="K114" s="116"/>
      <c r="L114" s="116"/>
      <c r="M114" s="116"/>
    </row>
    <row r="115" spans="1:13">
      <c r="A115" s="10"/>
      <c r="B115" s="114"/>
      <c r="C115" s="114"/>
      <c r="D115" s="114"/>
      <c r="E115" s="114"/>
      <c r="F115" s="127"/>
      <c r="G115" s="127"/>
      <c r="H115" s="114"/>
      <c r="I115" s="114"/>
      <c r="J115" s="116"/>
      <c r="K115" s="116"/>
      <c r="L115" s="116"/>
      <c r="M115" s="116"/>
    </row>
    <row r="116" spans="1:13">
      <c r="A116" s="10"/>
      <c r="B116" s="114"/>
      <c r="C116" s="114"/>
      <c r="D116" s="114"/>
      <c r="E116" s="114"/>
      <c r="F116" s="114"/>
      <c r="G116" s="114"/>
      <c r="H116" s="114"/>
      <c r="I116" s="114"/>
      <c r="J116" s="116"/>
      <c r="K116" s="116"/>
      <c r="L116" s="116"/>
      <c r="M116" s="116"/>
    </row>
    <row r="117" spans="1:13">
      <c r="A117" s="132"/>
      <c r="B117" s="118"/>
      <c r="C117" s="118"/>
      <c r="D117" s="118"/>
      <c r="E117" s="118"/>
      <c r="F117" s="118"/>
      <c r="G117" s="118"/>
      <c r="H117" s="118"/>
      <c r="I117" s="118"/>
      <c r="J117" s="119"/>
      <c r="K117" s="119"/>
      <c r="L117" s="119"/>
      <c r="M117" s="119"/>
    </row>
    <row r="118" spans="1:13">
      <c r="A118" s="10"/>
      <c r="B118" s="114"/>
      <c r="C118" s="114"/>
      <c r="D118" s="114"/>
      <c r="E118" s="114"/>
      <c r="F118" s="127"/>
      <c r="G118" s="114"/>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14"/>
      <c r="G120" s="114"/>
      <c r="H120" s="114"/>
      <c r="I120" s="127"/>
      <c r="J120" s="116"/>
      <c r="K120" s="116"/>
      <c r="L120" s="116"/>
      <c r="M120" s="116"/>
    </row>
    <row r="121" spans="1:13">
      <c r="A121" s="10"/>
      <c r="B121" s="114"/>
      <c r="C121" s="114"/>
      <c r="D121" s="114"/>
      <c r="E121" s="114"/>
      <c r="F121" s="127"/>
      <c r="G121" s="114"/>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14"/>
      <c r="G123" s="127"/>
      <c r="H123" s="114"/>
      <c r="I123" s="114"/>
      <c r="J123" s="116"/>
      <c r="K123" s="116"/>
      <c r="L123" s="116"/>
      <c r="M123" s="116"/>
    </row>
    <row r="124" spans="1:13">
      <c r="A124" s="10"/>
      <c r="B124" s="114"/>
      <c r="C124" s="114"/>
      <c r="D124" s="114"/>
      <c r="E124" s="114"/>
      <c r="F124" s="127"/>
      <c r="G124" s="114"/>
      <c r="H124" s="114"/>
      <c r="I124" s="114"/>
      <c r="J124" s="116"/>
      <c r="K124" s="116"/>
      <c r="L124" s="116"/>
      <c r="M124" s="116"/>
    </row>
    <row r="125" spans="1:13">
      <c r="A125" s="10"/>
      <c r="B125" s="114"/>
      <c r="C125" s="114"/>
      <c r="D125" s="114"/>
      <c r="E125" s="114"/>
      <c r="F125" s="114"/>
      <c r="G125" s="114"/>
      <c r="H125" s="114"/>
      <c r="I125" s="114"/>
      <c r="J125" s="116"/>
      <c r="K125" s="116"/>
      <c r="L125" s="116"/>
      <c r="M125" s="116"/>
    </row>
    <row r="126" spans="1:13">
      <c r="A126" s="10"/>
      <c r="B126" s="114"/>
      <c r="C126" s="114"/>
      <c r="D126" s="114"/>
      <c r="E126" s="114"/>
      <c r="F126" s="114"/>
      <c r="G126" s="127"/>
      <c r="H126" s="114"/>
      <c r="I126" s="114"/>
      <c r="J126" s="116"/>
      <c r="K126" s="116"/>
      <c r="L126" s="116"/>
      <c r="M126" s="116"/>
    </row>
  </sheetData>
  <phoneticPr fontId="2" type="noConversion"/>
  <conditionalFormatting sqref="U2:U5 U7:U37">
    <cfRule type="cellIs" dxfId="47" priority="3" stopIfTrue="1" operator="lessThan">
      <formula>0</formula>
    </cfRule>
    <cfRule type="cellIs" dxfId="46" priority="4" stopIfTrue="1" operator="greaterThan">
      <formula>0</formula>
    </cfRule>
  </conditionalFormatting>
  <conditionalFormatting sqref="U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W4" sqref="W4:W32"/>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3"/>
      <c r="U1" s="701" t="s">
        <v>265</v>
      </c>
      <c r="V1" s="742">
        <v>0</v>
      </c>
      <c r="W1" s="742"/>
      <c r="X1" s="699" t="s">
        <v>659</v>
      </c>
    </row>
    <row r="2" spans="1:25">
      <c r="A2" s="694" t="s">
        <v>2809</v>
      </c>
      <c r="B2" s="695">
        <v>30938</v>
      </c>
      <c r="C2" s="695">
        <v>1</v>
      </c>
      <c r="D2" s="695"/>
      <c r="E2" s="695"/>
      <c r="F2" s="695">
        <v>44</v>
      </c>
      <c r="G2" s="696">
        <v>21</v>
      </c>
      <c r="H2" s="696">
        <v>10</v>
      </c>
      <c r="I2" s="695"/>
      <c r="J2" s="695"/>
      <c r="K2" s="695"/>
      <c r="L2" s="695">
        <v>11</v>
      </c>
      <c r="M2" s="696"/>
      <c r="N2" s="696"/>
      <c r="O2" s="695"/>
      <c r="P2" s="695"/>
      <c r="Q2" s="695" t="s">
        <v>1032</v>
      </c>
      <c r="R2" s="695"/>
      <c r="S2" s="695" t="s">
        <v>674</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Azurestrike Shoulders</v>
      </c>
    </row>
    <row r="3" spans="1:25">
      <c r="A3" s="735" t="s">
        <v>1568</v>
      </c>
      <c r="B3" s="695">
        <v>29148</v>
      </c>
      <c r="C3" s="695">
        <v>1</v>
      </c>
      <c r="D3" s="695"/>
      <c r="E3" s="695">
        <v>20</v>
      </c>
      <c r="F3" s="695">
        <v>70</v>
      </c>
      <c r="G3" s="696"/>
      <c r="H3" s="696">
        <v>15</v>
      </c>
      <c r="I3" s="695"/>
      <c r="J3" s="695"/>
      <c r="K3" s="695"/>
      <c r="L3" s="695"/>
      <c r="M3" s="696"/>
      <c r="N3" s="696"/>
      <c r="O3" s="695"/>
      <c r="P3" s="695"/>
      <c r="Q3" s="695" t="s">
        <v>1032</v>
      </c>
      <c r="R3" s="695"/>
      <c r="S3" s="695" t="s">
        <v>675</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1" t="str">
        <f t="shared" ref="Y3:Y29" si="0">HYPERLINK("https://tbc.wowhead.com/item="&amp;B3,A3)</f>
        <v>Blackened Leather Spaulders</v>
      </c>
    </row>
    <row r="4" spans="1:25">
      <c r="A4" s="676" t="s">
        <v>1444</v>
      </c>
      <c r="B4" s="677">
        <v>28755</v>
      </c>
      <c r="C4" s="677">
        <v>1</v>
      </c>
      <c r="D4" s="677"/>
      <c r="E4" s="677"/>
      <c r="F4" s="677">
        <v>58</v>
      </c>
      <c r="G4" s="678">
        <v>21</v>
      </c>
      <c r="H4" s="678">
        <v>13</v>
      </c>
      <c r="I4" s="677"/>
      <c r="J4" s="677"/>
      <c r="K4" s="677"/>
      <c r="L4" s="677">
        <v>30</v>
      </c>
      <c r="M4" s="678"/>
      <c r="N4" s="678"/>
      <c r="O4" s="677"/>
      <c r="P4" s="677"/>
      <c r="Q4" s="677" t="s">
        <v>1445</v>
      </c>
      <c r="R4" s="677" t="s">
        <v>1446</v>
      </c>
      <c r="S4" s="677" t="s">
        <v>671</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1" t="str">
        <f t="shared" si="0"/>
        <v>Bladed Shoulderpads of the Merciless</v>
      </c>
    </row>
    <row r="5" spans="1:25">
      <c r="A5" s="676" t="s">
        <v>2337</v>
      </c>
      <c r="B5" s="677">
        <v>22479</v>
      </c>
      <c r="C5" s="677">
        <v>1</v>
      </c>
      <c r="D5" s="677">
        <v>22</v>
      </c>
      <c r="E5" s="677">
        <v>22</v>
      </c>
      <c r="F5" s="677"/>
      <c r="G5" s="678">
        <v>14</v>
      </c>
      <c r="H5" s="678">
        <v>10</v>
      </c>
      <c r="I5" s="677"/>
      <c r="J5" s="677"/>
      <c r="K5" s="677"/>
      <c r="L5" s="677">
        <v>15</v>
      </c>
      <c r="M5" s="678"/>
      <c r="N5" s="678"/>
      <c r="O5" s="677"/>
      <c r="P5" s="677" t="s">
        <v>2334</v>
      </c>
      <c r="Q5" s="677" t="s">
        <v>1032</v>
      </c>
      <c r="R5" s="677"/>
      <c r="S5" s="677" t="s">
        <v>667</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1" t="str">
        <f t="shared" si="0"/>
        <v>Bonescythe Pauldrons</v>
      </c>
    </row>
    <row r="6" spans="1:25">
      <c r="A6" s="676" t="s">
        <v>1486</v>
      </c>
      <c r="B6" s="677">
        <v>35035</v>
      </c>
      <c r="C6" s="677">
        <v>5</v>
      </c>
      <c r="D6" s="677"/>
      <c r="E6" s="677">
        <v>39</v>
      </c>
      <c r="F6" s="677">
        <v>38</v>
      </c>
      <c r="G6" s="678">
        <v>31</v>
      </c>
      <c r="H6" s="678"/>
      <c r="I6" s="677"/>
      <c r="J6" s="677"/>
      <c r="K6" s="677"/>
      <c r="L6" s="677">
        <v>55</v>
      </c>
      <c r="M6" s="678"/>
      <c r="N6" s="678">
        <v>25</v>
      </c>
      <c r="O6" s="677"/>
      <c r="P6" s="677" t="s">
        <v>1067</v>
      </c>
      <c r="Q6" s="677" t="s">
        <v>1044</v>
      </c>
      <c r="R6" s="677" t="s">
        <v>1451</v>
      </c>
      <c r="S6" s="677" t="s">
        <v>676</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1" t="str">
        <f t="shared" si="0"/>
        <v>Brutal Gladiator's Leather Spaulders</v>
      </c>
    </row>
    <row r="7" spans="1:25">
      <c r="A7" s="676" t="s">
        <v>1447</v>
      </c>
      <c r="B7" s="677">
        <v>30149</v>
      </c>
      <c r="C7" s="677">
        <v>2</v>
      </c>
      <c r="D7" s="677"/>
      <c r="E7" s="677">
        <v>34</v>
      </c>
      <c r="F7" s="677">
        <v>54</v>
      </c>
      <c r="G7" s="678">
        <v>13</v>
      </c>
      <c r="H7" s="678"/>
      <c r="I7" s="677"/>
      <c r="J7" s="677"/>
      <c r="K7" s="677"/>
      <c r="L7" s="677">
        <v>37</v>
      </c>
      <c r="M7" s="678"/>
      <c r="N7" s="678"/>
      <c r="O7" s="677"/>
      <c r="P7" s="677" t="s">
        <v>1062</v>
      </c>
      <c r="Q7" s="677" t="s">
        <v>1036</v>
      </c>
      <c r="R7" s="677" t="s">
        <v>1448</v>
      </c>
      <c r="S7" s="677" t="s">
        <v>679</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1" t="str">
        <f t="shared" si="0"/>
        <v>Deathmantle Shoulderpads</v>
      </c>
    </row>
    <row r="8" spans="1:25">
      <c r="A8" s="676" t="s">
        <v>965</v>
      </c>
      <c r="B8" s="677">
        <v>34392</v>
      </c>
      <c r="C8" s="677">
        <v>5</v>
      </c>
      <c r="D8" s="677">
        <v>38</v>
      </c>
      <c r="E8" s="677">
        <v>38</v>
      </c>
      <c r="F8" s="677"/>
      <c r="G8" s="678">
        <v>20</v>
      </c>
      <c r="H8" s="678"/>
      <c r="I8" s="677"/>
      <c r="J8" s="677">
        <v>105</v>
      </c>
      <c r="K8" s="677"/>
      <c r="L8" s="677">
        <v>38</v>
      </c>
      <c r="M8" s="678"/>
      <c r="N8" s="678"/>
      <c r="O8" s="677"/>
      <c r="P8" s="677"/>
      <c r="Q8" s="677" t="s">
        <v>1036</v>
      </c>
      <c r="R8" s="677" t="s">
        <v>22</v>
      </c>
      <c r="S8" s="677" t="s">
        <v>870</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1" t="str">
        <f t="shared" si="0"/>
        <v>Demontooth Shoulderpads</v>
      </c>
    </row>
    <row r="9" spans="1:25">
      <c r="A9" s="676" t="s">
        <v>1449</v>
      </c>
      <c r="B9" s="677">
        <v>25790</v>
      </c>
      <c r="C9" s="677">
        <v>1</v>
      </c>
      <c r="D9" s="677"/>
      <c r="E9" s="677">
        <v>25</v>
      </c>
      <c r="F9" s="677">
        <v>50</v>
      </c>
      <c r="G9" s="678"/>
      <c r="H9" s="678">
        <v>24</v>
      </c>
      <c r="I9" s="677"/>
      <c r="J9" s="677"/>
      <c r="K9" s="677"/>
      <c r="L9" s="677"/>
      <c r="M9" s="678"/>
      <c r="N9" s="678"/>
      <c r="O9" s="677"/>
      <c r="P9" s="677"/>
      <c r="Q9" s="677" t="s">
        <v>1032</v>
      </c>
      <c r="R9" s="677"/>
      <c r="S9" s="677" t="s">
        <v>674</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1" t="str">
        <f t="shared" si="0"/>
        <v>Expedition Scout's Epaulets</v>
      </c>
    </row>
    <row r="10" spans="1:25">
      <c r="A10" s="676" t="s">
        <v>1450</v>
      </c>
      <c r="B10" s="677">
        <v>25832</v>
      </c>
      <c r="C10" s="677">
        <v>1</v>
      </c>
      <c r="D10" s="677"/>
      <c r="E10" s="677">
        <v>29</v>
      </c>
      <c r="F10" s="677">
        <v>18</v>
      </c>
      <c r="G10" s="678">
        <v>21</v>
      </c>
      <c r="H10" s="678"/>
      <c r="I10" s="677"/>
      <c r="J10" s="677"/>
      <c r="K10" s="677"/>
      <c r="L10" s="677">
        <v>39</v>
      </c>
      <c r="M10" s="678"/>
      <c r="N10" s="678">
        <v>23</v>
      </c>
      <c r="O10" s="677"/>
      <c r="P10" s="677" t="s">
        <v>1067</v>
      </c>
      <c r="Q10" s="677" t="s">
        <v>1044</v>
      </c>
      <c r="R10" s="677" t="s">
        <v>1451</v>
      </c>
      <c r="S10" s="677" t="s">
        <v>676</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1" t="str">
        <f t="shared" si="0"/>
        <v>Gladiator's Leather Spaulders</v>
      </c>
    </row>
    <row r="11" spans="1:25">
      <c r="A11" s="676" t="s">
        <v>1455</v>
      </c>
      <c r="B11" s="677">
        <v>32377</v>
      </c>
      <c r="C11" s="677">
        <v>3</v>
      </c>
      <c r="D11" s="677"/>
      <c r="E11" s="677"/>
      <c r="F11" s="677">
        <v>94</v>
      </c>
      <c r="G11" s="678">
        <v>33</v>
      </c>
      <c r="H11" s="678">
        <v>22</v>
      </c>
      <c r="I11" s="677"/>
      <c r="J11" s="677"/>
      <c r="K11" s="677"/>
      <c r="L11" s="677">
        <v>34</v>
      </c>
      <c r="M11" s="678"/>
      <c r="N11" s="678"/>
      <c r="O11" s="677"/>
      <c r="P11" s="677"/>
      <c r="Q11" s="677" t="s">
        <v>1032</v>
      </c>
      <c r="R11" s="677"/>
      <c r="S11" s="677" t="s">
        <v>682</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1" t="str">
        <f t="shared" si="0"/>
        <v>Mantle of Darkness</v>
      </c>
    </row>
    <row r="12" spans="1:25">
      <c r="A12" s="676" t="s">
        <v>1452</v>
      </c>
      <c r="B12" s="677">
        <v>27434</v>
      </c>
      <c r="C12" s="677">
        <v>1</v>
      </c>
      <c r="D12" s="677"/>
      <c r="E12" s="677"/>
      <c r="F12" s="677">
        <v>20</v>
      </c>
      <c r="G12" s="678">
        <v>23</v>
      </c>
      <c r="H12" s="678">
        <v>23</v>
      </c>
      <c r="I12" s="677"/>
      <c r="J12" s="677"/>
      <c r="K12" s="677"/>
      <c r="L12" s="677">
        <v>24</v>
      </c>
      <c r="M12" s="678"/>
      <c r="N12" s="678"/>
      <c r="O12" s="677"/>
      <c r="P12" s="677"/>
      <c r="Q12" s="677" t="s">
        <v>1453</v>
      </c>
      <c r="R12" s="677" t="s">
        <v>1454</v>
      </c>
      <c r="S12" s="677" t="s">
        <v>672</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1" t="str">
        <f t="shared" si="0"/>
        <v>Mantle of Perenolde</v>
      </c>
    </row>
    <row r="13" spans="1:25">
      <c r="A13" s="682" t="s">
        <v>2338</v>
      </c>
      <c r="B13" s="677">
        <v>32080</v>
      </c>
      <c r="C13" s="677">
        <v>1</v>
      </c>
      <c r="D13" s="677"/>
      <c r="E13" s="677">
        <v>39</v>
      </c>
      <c r="F13" s="677">
        <v>34</v>
      </c>
      <c r="G13" s="678"/>
      <c r="H13" s="678"/>
      <c r="I13" s="677"/>
      <c r="J13" s="677"/>
      <c r="K13" s="677"/>
      <c r="L13" s="677">
        <v>33</v>
      </c>
      <c r="M13" s="678"/>
      <c r="N13" s="678"/>
      <c r="O13" s="677"/>
      <c r="P13" s="677"/>
      <c r="Q13" s="677" t="s">
        <v>1032</v>
      </c>
      <c r="R13" s="677"/>
      <c r="S13" s="677" t="s">
        <v>690</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1" t="str">
        <f t="shared" si="0"/>
        <v>Mantle of Shadowy Embrace</v>
      </c>
    </row>
    <row r="14" spans="1:25">
      <c r="A14" s="676" t="s">
        <v>2339</v>
      </c>
      <c r="B14" s="677">
        <v>27831</v>
      </c>
      <c r="C14" s="677">
        <v>1</v>
      </c>
      <c r="D14" s="677"/>
      <c r="E14" s="677"/>
      <c r="F14" s="677">
        <v>52</v>
      </c>
      <c r="G14" s="678">
        <v>21</v>
      </c>
      <c r="H14" s="678">
        <v>12</v>
      </c>
      <c r="I14" s="677"/>
      <c r="J14" s="677"/>
      <c r="K14" s="677"/>
      <c r="L14" s="677">
        <v>25</v>
      </c>
      <c r="M14" s="678"/>
      <c r="N14" s="678"/>
      <c r="O14" s="677"/>
      <c r="P14" s="677"/>
      <c r="Q14" s="677" t="s">
        <v>1032</v>
      </c>
      <c r="R14" s="677"/>
      <c r="S14" s="677" t="s">
        <v>690</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1" t="str">
        <f t="shared" si="0"/>
        <v>Mantle of the Unforgiven</v>
      </c>
    </row>
    <row r="15" spans="1:25">
      <c r="A15" s="676" t="s">
        <v>1456</v>
      </c>
      <c r="B15" s="677">
        <v>32001</v>
      </c>
      <c r="C15" s="677">
        <v>2</v>
      </c>
      <c r="D15" s="677"/>
      <c r="E15" s="677">
        <v>32</v>
      </c>
      <c r="F15" s="677">
        <v>24</v>
      </c>
      <c r="G15" s="678">
        <v>24</v>
      </c>
      <c r="H15" s="678"/>
      <c r="I15" s="677"/>
      <c r="J15" s="677"/>
      <c r="K15" s="677"/>
      <c r="L15" s="677">
        <v>45</v>
      </c>
      <c r="M15" s="678"/>
      <c r="N15" s="678">
        <v>25</v>
      </c>
      <c r="O15" s="677"/>
      <c r="P15" s="677" t="s">
        <v>1067</v>
      </c>
      <c r="Q15" s="677" t="s">
        <v>1044</v>
      </c>
      <c r="R15" s="677" t="s">
        <v>1451</v>
      </c>
      <c r="S15" s="677" t="s">
        <v>676</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1" t="str">
        <f t="shared" si="0"/>
        <v>Merciless Gladiator's Leather Spaulders</v>
      </c>
    </row>
    <row r="16" spans="1:25">
      <c r="A16" s="676" t="s">
        <v>1457</v>
      </c>
      <c r="B16" s="677">
        <v>29047</v>
      </c>
      <c r="C16" s="677">
        <v>1</v>
      </c>
      <c r="D16" s="677"/>
      <c r="E16" s="677">
        <v>20</v>
      </c>
      <c r="F16" s="677">
        <v>52</v>
      </c>
      <c r="G16" s="678"/>
      <c r="H16" s="678">
        <v>13</v>
      </c>
      <c r="I16" s="677"/>
      <c r="J16" s="677"/>
      <c r="K16" s="677"/>
      <c r="L16" s="677">
        <v>38</v>
      </c>
      <c r="M16" s="678"/>
      <c r="N16" s="678"/>
      <c r="O16" s="677"/>
      <c r="P16" s="677" t="s">
        <v>1077</v>
      </c>
      <c r="Q16" s="677" t="s">
        <v>1453</v>
      </c>
      <c r="R16" s="677" t="s">
        <v>1458</v>
      </c>
      <c r="S16" s="677" t="s">
        <v>677</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1" t="str">
        <f t="shared" si="0"/>
        <v>Netherblade Shoulderpads</v>
      </c>
    </row>
    <row r="17" spans="1:31" s="47" customFormat="1">
      <c r="A17" s="676" t="s">
        <v>701</v>
      </c>
      <c r="B17" s="677">
        <v>35369</v>
      </c>
      <c r="C17" s="677">
        <v>1</v>
      </c>
      <c r="D17" s="677"/>
      <c r="E17" s="677">
        <v>13</v>
      </c>
      <c r="F17" s="677">
        <v>22</v>
      </c>
      <c r="G17" s="678">
        <v>11</v>
      </c>
      <c r="H17" s="678"/>
      <c r="I17" s="677"/>
      <c r="J17" s="677"/>
      <c r="K17" s="677"/>
      <c r="L17" s="677">
        <v>31</v>
      </c>
      <c r="M17" s="678"/>
      <c r="N17" s="678">
        <v>13</v>
      </c>
      <c r="O17" s="677"/>
      <c r="P17" s="677" t="s">
        <v>2858</v>
      </c>
      <c r="Q17" s="677" t="s">
        <v>1044</v>
      </c>
      <c r="R17" s="677" t="s">
        <v>1451</v>
      </c>
      <c r="S17" s="677" t="s">
        <v>675</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1" t="str">
        <f t="shared" si="0"/>
        <v>Opportunist's Leather Spaulders</v>
      </c>
    </row>
    <row r="18" spans="1:31" s="47" customFormat="1">
      <c r="A18" s="676" t="s">
        <v>1459</v>
      </c>
      <c r="B18" s="677">
        <v>30917</v>
      </c>
      <c r="C18" s="677">
        <v>3</v>
      </c>
      <c r="D18" s="677"/>
      <c r="E18" s="677">
        <v>28</v>
      </c>
      <c r="F18" s="677">
        <v>76</v>
      </c>
      <c r="G18" s="678">
        <v>23</v>
      </c>
      <c r="H18" s="678"/>
      <c r="I18" s="677"/>
      <c r="J18" s="677"/>
      <c r="K18" s="677"/>
      <c r="L18" s="677">
        <v>55</v>
      </c>
      <c r="M18" s="678"/>
      <c r="N18" s="678"/>
      <c r="O18" s="677"/>
      <c r="P18" s="677"/>
      <c r="Q18" s="677" t="s">
        <v>1032</v>
      </c>
      <c r="R18" s="677"/>
      <c r="S18" s="677" t="s">
        <v>683</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1" t="str">
        <f t="shared" si="0"/>
        <v>Razorfury Mantle</v>
      </c>
    </row>
    <row r="19" spans="1:31" s="47" customFormat="1">
      <c r="A19" s="676" t="s">
        <v>1460</v>
      </c>
      <c r="B19" s="677">
        <v>27776</v>
      </c>
      <c r="C19" s="677">
        <v>1</v>
      </c>
      <c r="D19" s="677"/>
      <c r="E19" s="677">
        <v>25</v>
      </c>
      <c r="F19" s="677">
        <v>42</v>
      </c>
      <c r="G19" s="678"/>
      <c r="H19" s="678"/>
      <c r="I19" s="677"/>
      <c r="J19" s="677"/>
      <c r="K19" s="677"/>
      <c r="L19" s="677">
        <v>25</v>
      </c>
      <c r="M19" s="678"/>
      <c r="N19" s="678"/>
      <c r="O19" s="677"/>
      <c r="P19" s="677" t="s">
        <v>2145</v>
      </c>
      <c r="Q19" s="677" t="s">
        <v>1445</v>
      </c>
      <c r="R19" s="677" t="s">
        <v>1458</v>
      </c>
      <c r="S19" s="677" t="s">
        <v>672</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1" t="str">
        <f t="shared" si="0"/>
        <v>Shoulderpads of Assassination</v>
      </c>
    </row>
    <row r="20" spans="1:31" s="47" customFormat="1">
      <c r="A20" s="676" t="s">
        <v>1301</v>
      </c>
      <c r="B20" s="677">
        <v>33300</v>
      </c>
      <c r="C20" s="677">
        <v>4</v>
      </c>
      <c r="D20" s="677"/>
      <c r="E20" s="677">
        <v>33</v>
      </c>
      <c r="F20" s="677">
        <v>68</v>
      </c>
      <c r="G20" s="678"/>
      <c r="H20" s="678">
        <v>16</v>
      </c>
      <c r="I20" s="677"/>
      <c r="J20" s="677"/>
      <c r="K20" s="677"/>
      <c r="L20" s="677">
        <v>39</v>
      </c>
      <c r="M20" s="678"/>
      <c r="N20" s="678"/>
      <c r="O20" s="677"/>
      <c r="P20" s="677"/>
      <c r="Q20" s="677" t="s">
        <v>1032</v>
      </c>
      <c r="R20" s="677"/>
      <c r="S20" s="677" t="s">
        <v>663</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1" t="str">
        <f t="shared" si="0"/>
        <v>Shoulderpads of Dancing Blades</v>
      </c>
    </row>
    <row r="21" spans="1:31">
      <c r="A21" s="676" t="s">
        <v>1142</v>
      </c>
      <c r="B21" s="677">
        <v>34613</v>
      </c>
      <c r="C21" s="677">
        <v>5</v>
      </c>
      <c r="D21" s="677"/>
      <c r="E21" s="677">
        <v>35</v>
      </c>
      <c r="F21" s="677">
        <v>62</v>
      </c>
      <c r="G21" s="678"/>
      <c r="H21" s="678">
        <v>23</v>
      </c>
      <c r="I21" s="677"/>
      <c r="J21" s="677"/>
      <c r="K21" s="677"/>
      <c r="L21" s="677">
        <v>32</v>
      </c>
      <c r="M21" s="678"/>
      <c r="N21" s="678"/>
      <c r="O21" s="677"/>
      <c r="P21" s="677"/>
      <c r="Q21" s="677" t="s">
        <v>1032</v>
      </c>
      <c r="R21" s="677"/>
      <c r="S21" s="677" t="s">
        <v>690</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1" t="str">
        <f t="shared" si="0"/>
        <v>Shoulderpads of the Silvermoon Retainer</v>
      </c>
    </row>
    <row r="22" spans="1:31" s="129" customFormat="1">
      <c r="A22" s="676" t="s">
        <v>1461</v>
      </c>
      <c r="B22" s="677">
        <v>30055</v>
      </c>
      <c r="C22" s="677">
        <v>2</v>
      </c>
      <c r="D22" s="677"/>
      <c r="E22" s="677">
        <v>33</v>
      </c>
      <c r="F22" s="677">
        <v>60</v>
      </c>
      <c r="G22" s="678">
        <v>16</v>
      </c>
      <c r="H22" s="678"/>
      <c r="I22" s="677"/>
      <c r="J22" s="677"/>
      <c r="K22" s="677">
        <v>10</v>
      </c>
      <c r="L22" s="677">
        <v>28</v>
      </c>
      <c r="M22" s="678"/>
      <c r="N22" s="678"/>
      <c r="O22" s="677"/>
      <c r="P22" s="677"/>
      <c r="Q22" s="677" t="s">
        <v>1034</v>
      </c>
      <c r="R22" s="677" t="s">
        <v>1462</v>
      </c>
      <c r="S22" s="677" t="s">
        <v>666</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1" t="str">
        <f t="shared" si="0"/>
        <v>Shoulderpads of the Stranger</v>
      </c>
    </row>
    <row r="23" spans="1:31">
      <c r="A23" s="676" t="s">
        <v>872</v>
      </c>
      <c r="B23" s="677">
        <v>34195</v>
      </c>
      <c r="C23" s="677">
        <v>5</v>
      </c>
      <c r="D23" s="677"/>
      <c r="E23" s="677">
        <v>33</v>
      </c>
      <c r="F23" s="677">
        <v>90</v>
      </c>
      <c r="G23" s="678"/>
      <c r="H23" s="678">
        <v>26</v>
      </c>
      <c r="I23" s="677">
        <v>30</v>
      </c>
      <c r="J23" s="677"/>
      <c r="K23" s="677"/>
      <c r="L23" s="677">
        <v>45</v>
      </c>
      <c r="M23" s="678"/>
      <c r="N23" s="678"/>
      <c r="O23" s="677"/>
      <c r="P23" s="677"/>
      <c r="Q23" s="677" t="s">
        <v>1032</v>
      </c>
      <c r="R23" s="677"/>
      <c r="S23" s="677" t="s">
        <v>870</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1" t="str">
        <f t="shared" si="0"/>
        <v>Shoulderpads of Vehemence</v>
      </c>
    </row>
    <row r="24" spans="1:31">
      <c r="A24" s="676" t="s">
        <v>1463</v>
      </c>
      <c r="B24" s="677">
        <v>31030</v>
      </c>
      <c r="C24" s="677">
        <v>3</v>
      </c>
      <c r="D24" s="677"/>
      <c r="E24" s="677">
        <v>34</v>
      </c>
      <c r="F24" s="677">
        <v>68</v>
      </c>
      <c r="G24" s="678"/>
      <c r="H24" s="678"/>
      <c r="I24" s="677"/>
      <c r="J24" s="677">
        <v>175</v>
      </c>
      <c r="K24" s="677"/>
      <c r="L24" s="677">
        <v>37</v>
      </c>
      <c r="M24" s="678"/>
      <c r="N24" s="678"/>
      <c r="O24" s="677"/>
      <c r="P24" s="677" t="s">
        <v>998</v>
      </c>
      <c r="Q24" s="677" t="s">
        <v>1040</v>
      </c>
      <c r="R24" s="677" t="s">
        <v>1464</v>
      </c>
      <c r="S24" s="677" t="s">
        <v>682</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Shoulderpads</v>
      </c>
    </row>
    <row r="25" spans="1:31">
      <c r="A25" s="676" t="s">
        <v>1465</v>
      </c>
      <c r="B25" s="677">
        <v>27995</v>
      </c>
      <c r="C25" s="677">
        <v>1</v>
      </c>
      <c r="D25" s="677"/>
      <c r="E25" s="677">
        <v>25</v>
      </c>
      <c r="F25" s="677">
        <v>48</v>
      </c>
      <c r="G25" s="678"/>
      <c r="H25" s="678">
        <v>15</v>
      </c>
      <c r="I25" s="677"/>
      <c r="J25" s="677"/>
      <c r="K25" s="677"/>
      <c r="L25" s="677">
        <v>26</v>
      </c>
      <c r="M25" s="678"/>
      <c r="N25" s="678"/>
      <c r="O25" s="677"/>
      <c r="P25" s="677"/>
      <c r="Q25" s="677" t="s">
        <v>1032</v>
      </c>
      <c r="R25" s="677"/>
      <c r="S25" s="677" t="s">
        <v>672</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1" t="str">
        <f t="shared" si="0"/>
        <v>Sun-Gilded Shouldercaps</v>
      </c>
    </row>
    <row r="26" spans="1:31">
      <c r="A26" s="676" t="s">
        <v>660</v>
      </c>
      <c r="B26" s="677">
        <v>32581</v>
      </c>
      <c r="C26" s="677">
        <v>3</v>
      </c>
      <c r="D26" s="677"/>
      <c r="E26" s="677">
        <v>29</v>
      </c>
      <c r="F26" s="677">
        <v>74</v>
      </c>
      <c r="G26" s="678"/>
      <c r="H26" s="678"/>
      <c r="I26" s="677">
        <v>38</v>
      </c>
      <c r="J26" s="677"/>
      <c r="K26" s="677"/>
      <c r="L26" s="677">
        <v>34</v>
      </c>
      <c r="M26" s="678"/>
      <c r="N26" s="678"/>
      <c r="O26" s="677"/>
      <c r="P26" s="677"/>
      <c r="Q26" s="677" t="s">
        <v>1032</v>
      </c>
      <c r="R26" s="677"/>
      <c r="S26" s="677" t="s">
        <v>686</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Swiftstrike Shoulders</v>
      </c>
    </row>
    <row r="27" spans="1:31">
      <c r="A27" s="676" t="s">
        <v>1466</v>
      </c>
      <c r="B27" s="677">
        <v>29147</v>
      </c>
      <c r="C27" s="677">
        <v>1</v>
      </c>
      <c r="D27" s="677"/>
      <c r="E27" s="677">
        <v>20</v>
      </c>
      <c r="F27" s="677">
        <v>70</v>
      </c>
      <c r="G27" s="678"/>
      <c r="H27" s="678">
        <v>15</v>
      </c>
      <c r="I27" s="677"/>
      <c r="J27" s="677"/>
      <c r="K27" s="677"/>
      <c r="L27" s="677"/>
      <c r="M27" s="678"/>
      <c r="N27" s="678"/>
      <c r="O27" s="677"/>
      <c r="P27" s="677"/>
      <c r="Q27" s="677" t="s">
        <v>1032</v>
      </c>
      <c r="R27" s="677"/>
      <c r="S27" s="677" t="s">
        <v>675</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1" t="str">
        <f t="shared" si="0"/>
        <v>Talbuk Hide Spaulders</v>
      </c>
    </row>
    <row r="28" spans="1:31">
      <c r="A28" s="723" t="s">
        <v>1525</v>
      </c>
      <c r="B28" s="726">
        <v>33703</v>
      </c>
      <c r="C28" s="726">
        <v>3</v>
      </c>
      <c r="D28" s="726"/>
      <c r="E28" s="726">
        <v>34</v>
      </c>
      <c r="F28" s="726">
        <v>30</v>
      </c>
      <c r="G28" s="727">
        <v>27</v>
      </c>
      <c r="H28" s="727"/>
      <c r="I28" s="726"/>
      <c r="J28" s="726"/>
      <c r="K28" s="726"/>
      <c r="L28" s="726">
        <v>49</v>
      </c>
      <c r="M28" s="727"/>
      <c r="N28" s="727">
        <v>25</v>
      </c>
      <c r="O28" s="726"/>
      <c r="P28" s="726" t="s">
        <v>1067</v>
      </c>
      <c r="Q28" s="726" t="s">
        <v>1044</v>
      </c>
      <c r="R28" s="726" t="s">
        <v>1451</v>
      </c>
      <c r="S28" s="677" t="s">
        <v>676</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Vengeful Gladiator's Leather Spaulders</v>
      </c>
      <c r="AA28" s="129"/>
      <c r="AB28" s="129"/>
      <c r="AC28" s="129"/>
      <c r="AE28" s="129"/>
    </row>
    <row r="29" spans="1:31">
      <c r="A29" s="10" t="s">
        <v>1014</v>
      </c>
      <c r="B29" s="114">
        <v>27797</v>
      </c>
      <c r="C29" s="114">
        <v>1</v>
      </c>
      <c r="D29" s="114"/>
      <c r="E29" s="114">
        <v>25</v>
      </c>
      <c r="F29" s="114">
        <v>34</v>
      </c>
      <c r="G29" s="116"/>
      <c r="H29" s="116">
        <v>16</v>
      </c>
      <c r="I29" s="114"/>
      <c r="J29" s="114"/>
      <c r="K29" s="114"/>
      <c r="L29" s="114">
        <v>13</v>
      </c>
      <c r="M29" s="116"/>
      <c r="N29" s="116"/>
      <c r="O29" s="114"/>
      <c r="P29" s="114" t="s">
        <v>1003</v>
      </c>
      <c r="Q29" s="114" t="s">
        <v>1036</v>
      </c>
      <c r="R29" s="114" t="s">
        <v>1448</v>
      </c>
      <c r="S29" s="680" t="s">
        <v>690</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1"/>
      <c r="AA30" s="129"/>
      <c r="AB30" s="129"/>
      <c r="AC30" s="129"/>
    </row>
    <row r="31" spans="1:31">
      <c r="A31" s="10" t="s">
        <v>2206</v>
      </c>
      <c r="B31" s="116"/>
      <c r="C31" s="116"/>
      <c r="D31" s="114"/>
      <c r="E31" s="114"/>
      <c r="F31" s="114"/>
      <c r="G31" s="116"/>
      <c r="H31" s="116"/>
      <c r="I31" s="116"/>
      <c r="J31" s="114"/>
      <c r="K31" s="116"/>
      <c r="L31" s="114"/>
      <c r="M31" s="116"/>
      <c r="N31" s="116"/>
      <c r="O31" s="116"/>
      <c r="P31" s="116"/>
      <c r="Q31" s="114" t="s">
        <v>1032</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1015</v>
      </c>
      <c r="B34" s="729" t="s">
        <v>1933</v>
      </c>
      <c r="C34" s="729" t="s">
        <v>2795</v>
      </c>
      <c r="D34" s="730" t="s">
        <v>1213</v>
      </c>
      <c r="E34" s="730" t="s">
        <v>1214</v>
      </c>
      <c r="F34" s="730" t="s">
        <v>767</v>
      </c>
      <c r="G34" s="729" t="s">
        <v>2139</v>
      </c>
      <c r="H34" s="729" t="s">
        <v>2138</v>
      </c>
      <c r="I34" s="729" t="s">
        <v>770</v>
      </c>
      <c r="J34" s="731" t="s">
        <v>769</v>
      </c>
      <c r="K34" s="729" t="s">
        <v>759</v>
      </c>
      <c r="L34" s="730" t="s">
        <v>1215</v>
      </c>
      <c r="M34" s="729" t="s">
        <v>264</v>
      </c>
      <c r="N34" s="729" t="s">
        <v>1216</v>
      </c>
      <c r="O34" s="729" t="s">
        <v>1286</v>
      </c>
      <c r="P34" s="729" t="s">
        <v>1045</v>
      </c>
      <c r="Q34" s="730" t="s">
        <v>1046</v>
      </c>
      <c r="R34" s="730" t="s">
        <v>1940</v>
      </c>
      <c r="S34" s="730" t="s">
        <v>665</v>
      </c>
      <c r="T34" s="730" t="s">
        <v>920</v>
      </c>
      <c r="U34" s="732" t="s">
        <v>265</v>
      </c>
      <c r="V34" s="828">
        <v>0</v>
      </c>
      <c r="W34" s="740"/>
      <c r="X34" s="741" t="s">
        <v>1688</v>
      </c>
      <c r="Z34" s="114"/>
      <c r="AA34" s="114"/>
      <c r="AB34" s="114"/>
      <c r="AC34" s="114"/>
    </row>
    <row r="35" spans="1:29">
      <c r="A35" s="694" t="s">
        <v>1476</v>
      </c>
      <c r="B35" s="696">
        <v>2997</v>
      </c>
      <c r="C35" s="696">
        <v>1</v>
      </c>
      <c r="D35" s="695"/>
      <c r="E35" s="695"/>
      <c r="F35" s="695">
        <v>20</v>
      </c>
      <c r="G35" s="696">
        <v>15</v>
      </c>
      <c r="H35" s="696"/>
      <c r="I35" s="696"/>
      <c r="J35" s="696"/>
      <c r="K35" s="696"/>
      <c r="L35" s="695"/>
      <c r="M35" s="696"/>
      <c r="N35" s="696"/>
      <c r="O35" s="696"/>
      <c r="P35" s="696"/>
      <c r="Q35" s="696"/>
      <c r="R35" s="696"/>
      <c r="S35" s="696" t="s">
        <v>1688</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t="str">
        <f>" "</f>
        <v xml:space="preserve"> </v>
      </c>
      <c r="Z35" s="114"/>
      <c r="AA35" s="129"/>
      <c r="AB35" s="129"/>
      <c r="AC35" s="129"/>
    </row>
    <row r="36" spans="1:29">
      <c r="A36" s="676" t="s">
        <v>662</v>
      </c>
      <c r="B36" s="678">
        <v>2986</v>
      </c>
      <c r="C36" s="678">
        <v>1</v>
      </c>
      <c r="D36" s="677"/>
      <c r="E36" s="677"/>
      <c r="F36" s="677">
        <v>30</v>
      </c>
      <c r="G36" s="678">
        <v>10</v>
      </c>
      <c r="H36" s="678"/>
      <c r="I36" s="678"/>
      <c r="J36" s="678"/>
      <c r="K36" s="678"/>
      <c r="L36" s="677"/>
      <c r="M36" s="678"/>
      <c r="N36" s="678"/>
      <c r="O36" s="678"/>
      <c r="P36" s="678"/>
      <c r="Q36" s="678"/>
      <c r="R36" s="678"/>
      <c r="S36" s="678" t="s">
        <v>1688</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2158</v>
      </c>
      <c r="B37" s="677">
        <v>2978</v>
      </c>
      <c r="C37" s="677">
        <v>1</v>
      </c>
      <c r="D37" s="677"/>
      <c r="E37" s="677"/>
      <c r="F37" s="677"/>
      <c r="G37" s="678"/>
      <c r="H37" s="678"/>
      <c r="I37" s="678"/>
      <c r="J37" s="678"/>
      <c r="K37" s="678"/>
      <c r="L37" s="677"/>
      <c r="M37" s="678">
        <v>15</v>
      </c>
      <c r="N37" s="678"/>
      <c r="O37" s="678">
        <v>10</v>
      </c>
      <c r="P37" s="678"/>
      <c r="Q37" s="678"/>
      <c r="R37" s="677"/>
      <c r="S37" s="678" t="s">
        <v>1688</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1408</v>
      </c>
      <c r="B38" s="678">
        <v>2996</v>
      </c>
      <c r="C38" s="678">
        <v>1</v>
      </c>
      <c r="D38" s="677"/>
      <c r="E38" s="677"/>
      <c r="F38" s="677"/>
      <c r="G38" s="678">
        <v>13</v>
      </c>
      <c r="H38" s="678"/>
      <c r="I38" s="678"/>
      <c r="J38" s="678"/>
      <c r="K38" s="678"/>
      <c r="L38" s="677"/>
      <c r="M38" s="678"/>
      <c r="N38" s="678"/>
      <c r="O38" s="678"/>
      <c r="P38" s="678"/>
      <c r="Q38" s="678"/>
      <c r="R38" s="678"/>
      <c r="S38" s="678" t="s">
        <v>1688</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1475</v>
      </c>
      <c r="B39" s="678">
        <v>2983</v>
      </c>
      <c r="C39" s="678">
        <v>1</v>
      </c>
      <c r="D39" s="677"/>
      <c r="E39" s="677"/>
      <c r="F39" s="677">
        <v>26</v>
      </c>
      <c r="G39" s="678"/>
      <c r="H39" s="678"/>
      <c r="I39" s="678"/>
      <c r="J39" s="678"/>
      <c r="K39" s="678"/>
      <c r="L39" s="677"/>
      <c r="M39" s="678"/>
      <c r="N39" s="678"/>
      <c r="O39" s="678"/>
      <c r="P39" s="678"/>
      <c r="Q39" s="678"/>
      <c r="R39" s="678"/>
      <c r="S39" s="678" t="s">
        <v>1688</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1017</v>
      </c>
      <c r="B40" s="678">
        <v>2717</v>
      </c>
      <c r="C40" s="678">
        <v>1</v>
      </c>
      <c r="D40" s="677"/>
      <c r="E40" s="677"/>
      <c r="F40" s="677">
        <v>26</v>
      </c>
      <c r="G40" s="678">
        <v>14</v>
      </c>
      <c r="H40" s="678"/>
      <c r="I40" s="678"/>
      <c r="J40" s="678"/>
      <c r="K40" s="678"/>
      <c r="L40" s="677"/>
      <c r="M40" s="678"/>
      <c r="N40" s="678"/>
      <c r="O40" s="678"/>
      <c r="P40" s="678"/>
      <c r="Q40" s="678"/>
      <c r="R40" s="678"/>
      <c r="S40" s="678" t="s">
        <v>1688</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743</v>
      </c>
      <c r="B41" s="678">
        <v>2606</v>
      </c>
      <c r="C41" s="678">
        <v>1</v>
      </c>
      <c r="D41" s="677"/>
      <c r="E41" s="677"/>
      <c r="F41" s="677">
        <v>30</v>
      </c>
      <c r="G41" s="678"/>
      <c r="H41" s="678"/>
      <c r="I41" s="678"/>
      <c r="J41" s="678"/>
      <c r="K41" s="678"/>
      <c r="L41" s="677"/>
      <c r="M41" s="678"/>
      <c r="N41" s="678"/>
      <c r="O41" s="678"/>
      <c r="P41" s="678"/>
      <c r="Q41" s="678"/>
      <c r="R41" s="678"/>
      <c r="S41" s="678" t="s">
        <v>1688</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2206</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election activeCell="W4" sqref="W4:W38"/>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668</v>
      </c>
    </row>
    <row r="2" spans="1:25">
      <c r="A2" s="694" t="s">
        <v>1409</v>
      </c>
      <c r="B2" s="695">
        <v>27878</v>
      </c>
      <c r="C2" s="695">
        <v>1</v>
      </c>
      <c r="D2" s="695"/>
      <c r="E2" s="695">
        <v>15</v>
      </c>
      <c r="F2" s="695">
        <v>36</v>
      </c>
      <c r="G2" s="695"/>
      <c r="H2" s="695">
        <v>17</v>
      </c>
      <c r="I2" s="695"/>
      <c r="J2" s="695"/>
      <c r="K2" s="695"/>
      <c r="L2" s="695">
        <v>15</v>
      </c>
      <c r="M2" s="695"/>
      <c r="N2" s="695"/>
      <c r="O2" s="695"/>
      <c r="P2" s="695"/>
      <c r="Q2" s="695" t="s">
        <v>1032</v>
      </c>
      <c r="R2" s="695"/>
      <c r="S2" s="695" t="s">
        <v>690</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Death Shroud</v>
      </c>
    </row>
    <row r="3" spans="1:25">
      <c r="A3" s="676" t="s">
        <v>1410</v>
      </c>
      <c r="B3" s="677">
        <v>30729</v>
      </c>
      <c r="C3" s="677">
        <v>1</v>
      </c>
      <c r="D3" s="677"/>
      <c r="E3" s="677"/>
      <c r="F3" s="677">
        <v>60</v>
      </c>
      <c r="G3" s="677">
        <v>30</v>
      </c>
      <c r="H3" s="677"/>
      <c r="I3" s="677"/>
      <c r="J3" s="677"/>
      <c r="K3" s="677"/>
      <c r="L3" s="677"/>
      <c r="M3" s="677"/>
      <c r="N3" s="677"/>
      <c r="O3" s="677"/>
      <c r="P3" s="677"/>
      <c r="Q3" s="677" t="s">
        <v>1032</v>
      </c>
      <c r="R3" s="677"/>
      <c r="S3" s="677" t="s">
        <v>680</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35" si="0">HYPERLINK("https://tbc.wowhead.com/item="&amp;B3,A3)</f>
        <v>Black-Iron Battlecloak</v>
      </c>
    </row>
    <row r="4" spans="1:25">
      <c r="A4" s="676" t="s">
        <v>1411</v>
      </c>
      <c r="B4" s="677">
        <v>29382</v>
      </c>
      <c r="C4" s="677">
        <v>1</v>
      </c>
      <c r="D4" s="677"/>
      <c r="E4" s="677">
        <v>23</v>
      </c>
      <c r="F4" s="677">
        <v>48</v>
      </c>
      <c r="G4" s="677"/>
      <c r="H4" s="677"/>
      <c r="I4" s="677"/>
      <c r="J4" s="677"/>
      <c r="K4" s="677"/>
      <c r="L4" s="677">
        <v>22</v>
      </c>
      <c r="M4" s="677"/>
      <c r="N4" s="677"/>
      <c r="O4" s="677"/>
      <c r="P4" s="677"/>
      <c r="Q4" s="677" t="s">
        <v>1032</v>
      </c>
      <c r="R4" s="677"/>
      <c r="S4" s="677" t="s">
        <v>690</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1" t="str">
        <f t="shared" si="0"/>
        <v>Blood Knight War Cloak</v>
      </c>
    </row>
    <row r="5" spans="1:25">
      <c r="A5" s="676" t="s">
        <v>2401</v>
      </c>
      <c r="B5" s="677">
        <v>21701</v>
      </c>
      <c r="C5" s="677">
        <v>1</v>
      </c>
      <c r="D5" s="677">
        <v>11</v>
      </c>
      <c r="E5" s="677">
        <v>16</v>
      </c>
      <c r="F5" s="677"/>
      <c r="G5" s="677"/>
      <c r="H5" s="677">
        <v>10</v>
      </c>
      <c r="I5" s="677"/>
      <c r="J5" s="677"/>
      <c r="K5" s="677"/>
      <c r="L5" s="677">
        <v>15</v>
      </c>
      <c r="M5" s="677"/>
      <c r="N5" s="677"/>
      <c r="O5" s="677"/>
      <c r="P5" s="677"/>
      <c r="Q5" s="677" t="s">
        <v>1032</v>
      </c>
      <c r="R5" s="677"/>
      <c r="S5" s="677" t="s">
        <v>667</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1" t="str">
        <f t="shared" si="0"/>
        <v>Cloak of Concentrated Hatred</v>
      </c>
    </row>
    <row r="6" spans="1:25">
      <c r="A6" s="682" t="s">
        <v>1471</v>
      </c>
      <c r="B6" s="677">
        <v>33122</v>
      </c>
      <c r="C6" s="677">
        <v>1</v>
      </c>
      <c r="D6" s="677">
        <v>23</v>
      </c>
      <c r="E6" s="677"/>
      <c r="F6" s="677"/>
      <c r="G6" s="677">
        <v>24</v>
      </c>
      <c r="H6" s="677"/>
      <c r="I6" s="677"/>
      <c r="J6" s="677"/>
      <c r="K6" s="677"/>
      <c r="L6" s="677">
        <v>25</v>
      </c>
      <c r="M6" s="677"/>
      <c r="N6" s="677"/>
      <c r="O6" s="677"/>
      <c r="P6" s="677"/>
      <c r="Q6" s="677" t="s">
        <v>1038</v>
      </c>
      <c r="R6" s="677" t="s">
        <v>1472</v>
      </c>
      <c r="S6" s="677" t="s">
        <v>675</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1" t="str">
        <f t="shared" si="0"/>
        <v>Cloak of Darkness</v>
      </c>
    </row>
    <row r="7" spans="1:25">
      <c r="A7" s="676" t="s">
        <v>544</v>
      </c>
      <c r="B7" s="677">
        <v>33590</v>
      </c>
      <c r="C7" s="677">
        <v>4</v>
      </c>
      <c r="D7" s="677"/>
      <c r="E7" s="677">
        <v>20</v>
      </c>
      <c r="F7" s="677">
        <v>46</v>
      </c>
      <c r="G7" s="677"/>
      <c r="H7" s="677"/>
      <c r="I7" s="677">
        <v>25</v>
      </c>
      <c r="J7" s="677"/>
      <c r="K7" s="677"/>
      <c r="L7" s="677">
        <v>22</v>
      </c>
      <c r="M7" s="677"/>
      <c r="N7" s="677"/>
      <c r="O7" s="677"/>
      <c r="P7" s="677"/>
      <c r="Q7" s="677" t="s">
        <v>1032</v>
      </c>
      <c r="R7" s="677"/>
      <c r="S7" s="677" t="s">
        <v>663</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1" t="str">
        <f t="shared" si="0"/>
        <v>Cloak of Fiends</v>
      </c>
    </row>
    <row r="8" spans="1:25">
      <c r="A8" s="676" t="s">
        <v>2385</v>
      </c>
      <c r="B8" s="677">
        <v>25965</v>
      </c>
      <c r="C8" s="677">
        <v>1</v>
      </c>
      <c r="D8" s="677"/>
      <c r="E8" s="677">
        <v>11</v>
      </c>
      <c r="F8" s="677">
        <v>22</v>
      </c>
      <c r="G8" s="677"/>
      <c r="H8" s="677">
        <v>11</v>
      </c>
      <c r="I8" s="677"/>
      <c r="J8" s="677"/>
      <c r="K8" s="677"/>
      <c r="L8" s="677">
        <v>16</v>
      </c>
      <c r="M8" s="677"/>
      <c r="N8" s="677"/>
      <c r="O8" s="677"/>
      <c r="P8" s="677"/>
      <c r="Q8" s="677" t="s">
        <v>1032</v>
      </c>
      <c r="R8" s="677"/>
      <c r="S8" s="677" t="s">
        <v>674</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1" t="str">
        <f t="shared" si="0"/>
        <v>Cloak of Grasping Talons</v>
      </c>
    </row>
    <row r="9" spans="1:25">
      <c r="A9" s="676" t="s">
        <v>2386</v>
      </c>
      <c r="B9" s="677">
        <v>27423</v>
      </c>
      <c r="C9" s="677">
        <v>1</v>
      </c>
      <c r="D9" s="677"/>
      <c r="E9" s="677">
        <v>18</v>
      </c>
      <c r="F9" s="677">
        <v>40</v>
      </c>
      <c r="G9" s="677"/>
      <c r="H9" s="677"/>
      <c r="I9" s="677"/>
      <c r="J9" s="677"/>
      <c r="K9" s="677"/>
      <c r="L9" s="677">
        <v>19</v>
      </c>
      <c r="M9" s="677"/>
      <c r="N9" s="677"/>
      <c r="O9" s="677"/>
      <c r="P9" s="677"/>
      <c r="Q9" s="677" t="s">
        <v>1032</v>
      </c>
      <c r="R9" s="677"/>
      <c r="S9" s="677" t="s">
        <v>672</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1" t="str">
        <f t="shared" si="0"/>
        <v>Cloak of Impulsiveness</v>
      </c>
    </row>
    <row r="10" spans="1:25">
      <c r="A10" s="676" t="s">
        <v>1412</v>
      </c>
      <c r="B10" s="677">
        <v>27519</v>
      </c>
      <c r="C10" s="677">
        <v>1</v>
      </c>
      <c r="D10" s="677"/>
      <c r="E10" s="677">
        <v>21</v>
      </c>
      <c r="F10" s="677">
        <v>38</v>
      </c>
      <c r="G10" s="677"/>
      <c r="H10" s="677"/>
      <c r="I10" s="677"/>
      <c r="J10" s="677"/>
      <c r="K10" s="677"/>
      <c r="L10" s="677">
        <v>18</v>
      </c>
      <c r="M10" s="677"/>
      <c r="N10" s="677"/>
      <c r="O10" s="677"/>
      <c r="P10" s="677"/>
      <c r="Q10" s="677" t="s">
        <v>1032</v>
      </c>
      <c r="R10" s="677"/>
      <c r="S10" s="677" t="s">
        <v>672</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1"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1032</v>
      </c>
      <c r="R11" s="677"/>
      <c r="S11" s="677" t="s">
        <v>672</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1" t="str">
        <f t="shared" si="0"/>
        <v>Cloak of the Coming Night</v>
      </c>
    </row>
    <row r="12" spans="1:25">
      <c r="A12" s="676" t="s">
        <v>883</v>
      </c>
      <c r="B12" s="677">
        <v>31255</v>
      </c>
      <c r="C12" s="677">
        <v>1</v>
      </c>
      <c r="D12" s="677"/>
      <c r="E12" s="677">
        <v>23</v>
      </c>
      <c r="F12" s="677">
        <v>20</v>
      </c>
      <c r="G12" s="677"/>
      <c r="H12" s="677">
        <v>13</v>
      </c>
      <c r="I12" s="677"/>
      <c r="J12" s="677"/>
      <c r="K12" s="677"/>
      <c r="L12" s="677"/>
      <c r="M12" s="677"/>
      <c r="N12" s="677"/>
      <c r="O12" s="677"/>
      <c r="P12" s="677"/>
      <c r="Q12" s="677" t="s">
        <v>1032</v>
      </c>
      <c r="R12" s="677"/>
      <c r="S12" s="677" t="s">
        <v>673</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1" t="str">
        <f t="shared" si="0"/>
        <v>Cloak of the Craft</v>
      </c>
    </row>
    <row r="13" spans="1:25">
      <c r="A13" s="676" t="s">
        <v>884</v>
      </c>
      <c r="B13" s="677">
        <v>27892</v>
      </c>
      <c r="C13" s="677">
        <v>1</v>
      </c>
      <c r="D13" s="677"/>
      <c r="E13" s="677"/>
      <c r="F13" s="677">
        <v>30</v>
      </c>
      <c r="G13" s="677">
        <v>18</v>
      </c>
      <c r="H13" s="677">
        <v>16</v>
      </c>
      <c r="I13" s="677"/>
      <c r="J13" s="677"/>
      <c r="K13" s="677"/>
      <c r="L13" s="677">
        <v>15</v>
      </c>
      <c r="M13" s="677"/>
      <c r="N13" s="677"/>
      <c r="O13" s="677"/>
      <c r="P13" s="677"/>
      <c r="Q13" s="677" t="s">
        <v>1032</v>
      </c>
      <c r="R13" s="677"/>
      <c r="S13" s="677" t="s">
        <v>672</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1" t="str">
        <f t="shared" si="0"/>
        <v>Cloak of the Inciter</v>
      </c>
    </row>
    <row r="14" spans="1:25" s="47" customFormat="1">
      <c r="A14" s="676" t="s">
        <v>885</v>
      </c>
      <c r="B14" s="677">
        <v>28777</v>
      </c>
      <c r="C14" s="677">
        <v>1</v>
      </c>
      <c r="D14" s="677"/>
      <c r="E14" s="677"/>
      <c r="F14" s="677">
        <v>56</v>
      </c>
      <c r="G14" s="677">
        <v>24</v>
      </c>
      <c r="H14" s="677"/>
      <c r="I14" s="677"/>
      <c r="J14" s="677"/>
      <c r="K14" s="677"/>
      <c r="L14" s="677">
        <v>28</v>
      </c>
      <c r="M14" s="677"/>
      <c r="N14" s="677"/>
      <c r="O14" s="677"/>
      <c r="P14" s="677"/>
      <c r="Q14" s="677" t="s">
        <v>1032</v>
      </c>
      <c r="R14" s="677"/>
      <c r="S14" s="677" t="s">
        <v>678</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1" t="str">
        <f t="shared" si="0"/>
        <v>Cloak of the Pit Stalker</v>
      </c>
    </row>
    <row r="15" spans="1:25">
      <c r="A15" s="676" t="s">
        <v>1729</v>
      </c>
      <c r="B15" s="677">
        <v>34241</v>
      </c>
      <c r="C15" s="677">
        <v>5</v>
      </c>
      <c r="D15" s="677"/>
      <c r="E15" s="677">
        <v>26</v>
      </c>
      <c r="F15" s="677">
        <v>72</v>
      </c>
      <c r="G15" s="677"/>
      <c r="H15" s="677"/>
      <c r="I15" s="677">
        <v>32</v>
      </c>
      <c r="J15" s="677"/>
      <c r="K15" s="677"/>
      <c r="L15" s="677">
        <v>25</v>
      </c>
      <c r="M15" s="677"/>
      <c r="N15" s="677"/>
      <c r="O15" s="677"/>
      <c r="P15" s="677"/>
      <c r="Q15" s="677" t="s">
        <v>1042</v>
      </c>
      <c r="R15" s="677" t="s">
        <v>1065</v>
      </c>
      <c r="S15" s="677" t="s">
        <v>870</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1" t="str">
        <f t="shared" si="0"/>
        <v>Cloak of Unforgivable Sin</v>
      </c>
    </row>
    <row r="16" spans="1:25">
      <c r="A16" s="676" t="s">
        <v>886</v>
      </c>
      <c r="B16" s="677">
        <v>25927</v>
      </c>
      <c r="C16" s="677">
        <v>1</v>
      </c>
      <c r="D16" s="677"/>
      <c r="E16" s="677">
        <v>14</v>
      </c>
      <c r="F16" s="677">
        <v>26</v>
      </c>
      <c r="G16" s="677"/>
      <c r="H16" s="677">
        <v>14</v>
      </c>
      <c r="I16" s="677"/>
      <c r="J16" s="677"/>
      <c r="K16" s="677"/>
      <c r="L16" s="677"/>
      <c r="M16" s="677"/>
      <c r="N16" s="677"/>
      <c r="O16" s="677"/>
      <c r="P16" s="677"/>
      <c r="Q16" s="677" t="s">
        <v>1032</v>
      </c>
      <c r="R16" s="677"/>
      <c r="S16" s="677" t="s">
        <v>674</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1" t="str">
        <f t="shared" si="0"/>
        <v>Consortium Cloak of the Quick</v>
      </c>
    </row>
    <row r="17" spans="1:25">
      <c r="A17" s="676" t="s">
        <v>2387</v>
      </c>
      <c r="B17" s="677">
        <v>34190</v>
      </c>
      <c r="C17" s="677">
        <v>5</v>
      </c>
      <c r="D17" s="677"/>
      <c r="E17" s="677"/>
      <c r="F17" s="677"/>
      <c r="G17" s="677"/>
      <c r="H17" s="677"/>
      <c r="I17" s="677"/>
      <c r="J17" s="677"/>
      <c r="K17" s="677">
        <v>28</v>
      </c>
      <c r="L17" s="677">
        <v>61</v>
      </c>
      <c r="M17" s="677">
        <v>28</v>
      </c>
      <c r="N17" s="677"/>
      <c r="O17" s="677"/>
      <c r="P17" s="677"/>
      <c r="Q17" s="677" t="s">
        <v>1032</v>
      </c>
      <c r="R17" s="677"/>
      <c r="S17" s="677" t="s">
        <v>870</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1" t="str">
        <f t="shared" si="0"/>
        <v>Crimson Paragon's Cover</v>
      </c>
    </row>
    <row r="18" spans="1:25">
      <c r="A18" s="682" t="s">
        <v>1145</v>
      </c>
      <c r="B18" s="677">
        <v>32665</v>
      </c>
      <c r="C18" s="677">
        <v>1</v>
      </c>
      <c r="D18" s="677"/>
      <c r="E18" s="677">
        <v>15</v>
      </c>
      <c r="F18" s="677"/>
      <c r="G18" s="677"/>
      <c r="H18" s="677"/>
      <c r="I18" s="677">
        <v>26</v>
      </c>
      <c r="J18" s="677"/>
      <c r="K18" s="677"/>
      <c r="L18" s="677">
        <v>15</v>
      </c>
      <c r="M18" s="677"/>
      <c r="N18" s="677"/>
      <c r="O18" s="677"/>
      <c r="P18" s="677"/>
      <c r="Q18" s="677" t="s">
        <v>1032</v>
      </c>
      <c r="R18" s="677"/>
      <c r="S18" s="677" t="s">
        <v>673</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1" t="str">
        <f t="shared" si="0"/>
        <v>Crystalweave Cape</v>
      </c>
    </row>
    <row r="19" spans="1:25">
      <c r="A19" s="676" t="s">
        <v>1613</v>
      </c>
      <c r="B19" s="677">
        <v>29792</v>
      </c>
      <c r="C19" s="677">
        <v>1</v>
      </c>
      <c r="D19" s="677"/>
      <c r="E19" s="677">
        <v>12</v>
      </c>
      <c r="F19" s="677">
        <v>42</v>
      </c>
      <c r="G19" s="677"/>
      <c r="H19" s="677">
        <v>9</v>
      </c>
      <c r="I19" s="677"/>
      <c r="J19" s="677"/>
      <c r="K19" s="677"/>
      <c r="L19" s="677"/>
      <c r="M19" s="677"/>
      <c r="N19" s="677"/>
      <c r="O19" s="677"/>
      <c r="P19" s="677"/>
      <c r="Q19" s="677" t="s">
        <v>1032</v>
      </c>
      <c r="R19" s="677"/>
      <c r="S19" s="677" t="s">
        <v>674</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1" t="str">
        <f t="shared" si="0"/>
        <v>Dawnstrike's Cloak</v>
      </c>
    </row>
    <row r="20" spans="1:25">
      <c r="A20" s="682" t="s">
        <v>2388</v>
      </c>
      <c r="B20" s="677">
        <v>31942</v>
      </c>
      <c r="C20" s="677">
        <v>1</v>
      </c>
      <c r="D20" s="677"/>
      <c r="E20" s="677">
        <v>18</v>
      </c>
      <c r="F20" s="677">
        <v>42</v>
      </c>
      <c r="G20" s="677"/>
      <c r="H20" s="677"/>
      <c r="I20" s="677"/>
      <c r="J20" s="677"/>
      <c r="K20" s="677"/>
      <c r="L20" s="677">
        <v>27</v>
      </c>
      <c r="M20" s="677"/>
      <c r="N20" s="677"/>
      <c r="O20" s="677"/>
      <c r="P20" s="677"/>
      <c r="Q20" s="677" t="s">
        <v>1032</v>
      </c>
      <c r="R20" s="677"/>
      <c r="S20" s="677" t="s">
        <v>674</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1" t="str">
        <f t="shared" si="0"/>
        <v>Deathwing Brood Cloak</v>
      </c>
    </row>
    <row r="21" spans="1:25">
      <c r="A21" s="676" t="s">
        <v>1614</v>
      </c>
      <c r="B21" s="677">
        <v>28032</v>
      </c>
      <c r="C21" s="677">
        <v>1</v>
      </c>
      <c r="D21" s="677"/>
      <c r="E21" s="677">
        <v>14</v>
      </c>
      <c r="F21" s="677">
        <v>28</v>
      </c>
      <c r="G21" s="677"/>
      <c r="H21" s="677">
        <v>14</v>
      </c>
      <c r="I21" s="677"/>
      <c r="J21" s="677"/>
      <c r="K21" s="677"/>
      <c r="L21" s="677">
        <v>19</v>
      </c>
      <c r="M21" s="677"/>
      <c r="N21" s="677"/>
      <c r="O21" s="677"/>
      <c r="P21" s="677"/>
      <c r="Q21" s="677" t="s">
        <v>1032</v>
      </c>
      <c r="R21" s="677"/>
      <c r="S21" s="677" t="s">
        <v>674</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1" t="str">
        <f t="shared" si="0"/>
        <v>Delicate Green Poncho</v>
      </c>
    </row>
    <row r="22" spans="1:25">
      <c r="A22" s="682" t="s">
        <v>1427</v>
      </c>
      <c r="B22" s="677">
        <v>33484</v>
      </c>
      <c r="C22" s="677">
        <v>4</v>
      </c>
      <c r="D22" s="677"/>
      <c r="E22" s="677"/>
      <c r="F22" s="677">
        <v>46</v>
      </c>
      <c r="G22" s="677">
        <v>20</v>
      </c>
      <c r="H22" s="677"/>
      <c r="I22" s="677"/>
      <c r="J22" s="677">
        <v>112</v>
      </c>
      <c r="K22" s="677"/>
      <c r="L22" s="677">
        <v>34</v>
      </c>
      <c r="M22" s="677"/>
      <c r="N22" s="677">
        <v>20</v>
      </c>
      <c r="O22" s="677"/>
      <c r="P22" s="677"/>
      <c r="Q22" s="677" t="s">
        <v>1032</v>
      </c>
      <c r="R22" s="677"/>
      <c r="S22" s="677" t="s">
        <v>676</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1" t="str">
        <f t="shared" si="0"/>
        <v>Dory's Embrace</v>
      </c>
    </row>
    <row r="23" spans="1:25">
      <c r="A23" s="676" t="s">
        <v>1117</v>
      </c>
      <c r="B23" s="677">
        <v>28672</v>
      </c>
      <c r="C23" s="677">
        <v>1</v>
      </c>
      <c r="D23" s="677"/>
      <c r="E23" s="677">
        <v>24</v>
      </c>
      <c r="F23" s="677">
        <v>34</v>
      </c>
      <c r="G23" s="677"/>
      <c r="H23" s="677">
        <v>17</v>
      </c>
      <c r="I23" s="677"/>
      <c r="J23" s="677"/>
      <c r="K23" s="677"/>
      <c r="L23" s="677">
        <v>21</v>
      </c>
      <c r="M23" s="677"/>
      <c r="N23" s="677"/>
      <c r="O23" s="677"/>
      <c r="P23" s="677"/>
      <c r="Q23" s="677" t="s">
        <v>1032</v>
      </c>
      <c r="R23" s="677"/>
      <c r="S23" s="677" t="s">
        <v>671</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1" t="str">
        <f t="shared" si="0"/>
        <v>Drape of the Dark Reavers</v>
      </c>
    </row>
    <row r="24" spans="1:25">
      <c r="A24" s="676" t="s">
        <v>2487</v>
      </c>
      <c r="B24" s="677">
        <v>28764</v>
      </c>
      <c r="C24" s="677">
        <v>1</v>
      </c>
      <c r="D24" s="677"/>
      <c r="E24" s="677"/>
      <c r="F24" s="677">
        <v>70</v>
      </c>
      <c r="G24" s="677"/>
      <c r="H24" s="677"/>
      <c r="I24" s="677"/>
      <c r="J24" s="677"/>
      <c r="K24" s="677"/>
      <c r="L24" s="677">
        <v>36</v>
      </c>
      <c r="M24" s="677"/>
      <c r="N24" s="677"/>
      <c r="O24" s="677"/>
      <c r="P24" s="677"/>
      <c r="Q24" s="677" t="s">
        <v>1032</v>
      </c>
      <c r="R24" s="677"/>
      <c r="S24" s="677" t="s">
        <v>671</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1" t="str">
        <f t="shared" si="0"/>
        <v>Farstrider Wildercloak</v>
      </c>
    </row>
    <row r="25" spans="1:25">
      <c r="A25" s="676" t="s">
        <v>1615</v>
      </c>
      <c r="B25" s="677">
        <v>28371</v>
      </c>
      <c r="C25" s="677">
        <v>1</v>
      </c>
      <c r="D25" s="677">
        <v>19</v>
      </c>
      <c r="E25" s="677"/>
      <c r="F25" s="677"/>
      <c r="G25" s="677">
        <v>21</v>
      </c>
      <c r="H25" s="677"/>
      <c r="I25" s="677"/>
      <c r="J25" s="677"/>
      <c r="K25" s="677"/>
      <c r="L25" s="677">
        <v>19</v>
      </c>
      <c r="M25" s="677"/>
      <c r="N25" s="677"/>
      <c r="O25" s="677"/>
      <c r="P25" s="677"/>
      <c r="Q25" s="677" t="s">
        <v>1032</v>
      </c>
      <c r="R25" s="677"/>
      <c r="S25" s="677" t="s">
        <v>672</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-104.48294472819362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1" t="str">
        <f t="shared" si="0"/>
        <v>Netherfury Cape</v>
      </c>
    </row>
    <row r="26" spans="1:25">
      <c r="A26" s="676" t="s">
        <v>1616</v>
      </c>
      <c r="B26" s="677">
        <v>30098</v>
      </c>
      <c r="C26" s="677">
        <v>2</v>
      </c>
      <c r="D26" s="677">
        <v>33</v>
      </c>
      <c r="E26" s="677">
        <v>23</v>
      </c>
      <c r="F26" s="677"/>
      <c r="G26" s="677"/>
      <c r="H26" s="677"/>
      <c r="I26" s="677"/>
      <c r="J26" s="677"/>
      <c r="K26" s="677"/>
      <c r="L26" s="677">
        <v>22</v>
      </c>
      <c r="M26" s="677"/>
      <c r="N26" s="677"/>
      <c r="O26" s="677"/>
      <c r="P26" s="677"/>
      <c r="Q26" s="677" t="s">
        <v>1032</v>
      </c>
      <c r="R26" s="677"/>
      <c r="S26" s="677" t="s">
        <v>666</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1" t="str">
        <f t="shared" si="0"/>
        <v>Razor-Scale Battlecloak</v>
      </c>
    </row>
    <row r="27" spans="1:25">
      <c r="A27" s="676" t="s">
        <v>2488</v>
      </c>
      <c r="B27" s="677">
        <v>28529</v>
      </c>
      <c r="C27" s="677">
        <v>1</v>
      </c>
      <c r="D27" s="677">
        <v>26</v>
      </c>
      <c r="E27" s="677"/>
      <c r="F27" s="677"/>
      <c r="G27" s="677"/>
      <c r="H27" s="677">
        <v>16</v>
      </c>
      <c r="I27" s="677"/>
      <c r="J27" s="677"/>
      <c r="K27" s="677"/>
      <c r="L27" s="677">
        <v>31</v>
      </c>
      <c r="M27" s="677"/>
      <c r="N27" s="677"/>
      <c r="O27" s="677"/>
      <c r="P27" s="677"/>
      <c r="Q27" s="677" t="s">
        <v>1032</v>
      </c>
      <c r="R27" s="677"/>
      <c r="S27" s="677" t="s">
        <v>671</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1"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1032</v>
      </c>
      <c r="R28" s="677"/>
      <c r="S28" s="677" t="s">
        <v>676</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1"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1032</v>
      </c>
      <c r="R29" s="677"/>
      <c r="S29" s="677" t="s">
        <v>676</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1" t="str">
        <f t="shared" si="0"/>
        <v>Sergeant's Heavy Cloak (A)</v>
      </c>
    </row>
    <row r="30" spans="1:25">
      <c r="A30" s="676" t="s">
        <v>1617</v>
      </c>
      <c r="B30" s="677">
        <v>32323</v>
      </c>
      <c r="C30" s="677">
        <v>3</v>
      </c>
      <c r="D30" s="677"/>
      <c r="E30" s="677"/>
      <c r="F30" s="677">
        <v>72</v>
      </c>
      <c r="G30" s="677">
        <v>24</v>
      </c>
      <c r="H30" s="677">
        <v>17</v>
      </c>
      <c r="I30" s="677"/>
      <c r="J30" s="677"/>
      <c r="K30" s="677"/>
      <c r="L30" s="677">
        <v>24</v>
      </c>
      <c r="M30" s="677"/>
      <c r="N30" s="677"/>
      <c r="O30" s="677"/>
      <c r="P30" s="677"/>
      <c r="Q30" s="677" t="s">
        <v>1032</v>
      </c>
      <c r="R30" s="677"/>
      <c r="S30" s="677" t="s">
        <v>682</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Shadowmoon Destroyer's Drape</v>
      </c>
    </row>
    <row r="31" spans="1:25">
      <c r="A31" s="676" t="s">
        <v>2389</v>
      </c>
      <c r="B31" s="677">
        <v>23045</v>
      </c>
      <c r="C31" s="677">
        <v>1</v>
      </c>
      <c r="D31" s="677"/>
      <c r="E31" s="677"/>
      <c r="F31" s="677">
        <v>50</v>
      </c>
      <c r="G31" s="677">
        <v>14</v>
      </c>
      <c r="H31" s="677"/>
      <c r="I31" s="677"/>
      <c r="J31" s="677"/>
      <c r="K31" s="677"/>
      <c r="L31" s="677">
        <v>11</v>
      </c>
      <c r="M31" s="677"/>
      <c r="N31" s="677"/>
      <c r="O31" s="677"/>
      <c r="P31" s="677"/>
      <c r="Q31" s="677" t="s">
        <v>1032</v>
      </c>
      <c r="R31" s="677"/>
      <c r="S31" s="677" t="s">
        <v>667</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1" t="str">
        <f t="shared" si="0"/>
        <v>Shroud of Dominion</v>
      </c>
    </row>
    <row r="32" spans="1:25">
      <c r="A32" s="682" t="s">
        <v>2082</v>
      </c>
      <c r="B32" s="677">
        <v>32540</v>
      </c>
      <c r="C32" s="677">
        <v>3</v>
      </c>
      <c r="D32" s="677"/>
      <c r="E32" s="677">
        <v>16</v>
      </c>
      <c r="F32" s="677">
        <v>56</v>
      </c>
      <c r="G32" s="677"/>
      <c r="H32" s="677"/>
      <c r="I32" s="677"/>
      <c r="J32" s="677"/>
      <c r="K32" s="677"/>
      <c r="L32" s="677">
        <v>18</v>
      </c>
      <c r="M32" s="677"/>
      <c r="N32" s="677"/>
      <c r="O32" s="677"/>
      <c r="P32" s="677"/>
      <c r="Q32" s="677" t="s">
        <v>1032</v>
      </c>
      <c r="R32" s="677"/>
      <c r="S32" s="677" t="s">
        <v>673</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Terokk's Might</v>
      </c>
    </row>
    <row r="33" spans="1:25">
      <c r="A33" s="676" t="s">
        <v>2083</v>
      </c>
      <c r="B33" s="677">
        <v>29994</v>
      </c>
      <c r="C33" s="677">
        <v>2</v>
      </c>
      <c r="D33" s="677"/>
      <c r="E33" s="677">
        <v>28</v>
      </c>
      <c r="F33" s="677">
        <v>68</v>
      </c>
      <c r="G33" s="677"/>
      <c r="H33" s="677"/>
      <c r="I33" s="677"/>
      <c r="J33" s="677"/>
      <c r="K33" s="677"/>
      <c r="L33" s="677">
        <v>28</v>
      </c>
      <c r="M33" s="677"/>
      <c r="N33" s="677"/>
      <c r="O33" s="677"/>
      <c r="P33" s="677"/>
      <c r="Q33" s="677" t="s">
        <v>1032</v>
      </c>
      <c r="R33" s="677"/>
      <c r="S33" s="677" t="s">
        <v>679</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Thalassian Wildercloak</v>
      </c>
    </row>
    <row r="34" spans="1:25">
      <c r="A34" s="744" t="s">
        <v>1354</v>
      </c>
      <c r="B34" s="726">
        <v>35495</v>
      </c>
      <c r="C34" s="726">
        <v>5</v>
      </c>
      <c r="D34" s="726"/>
      <c r="E34" s="726">
        <v>23</v>
      </c>
      <c r="F34" s="726">
        <v>48</v>
      </c>
      <c r="G34" s="726"/>
      <c r="H34" s="726"/>
      <c r="I34" s="726"/>
      <c r="J34" s="726"/>
      <c r="K34" s="726"/>
      <c r="L34" s="726">
        <v>22</v>
      </c>
      <c r="M34" s="726"/>
      <c r="N34" s="726"/>
      <c r="O34" s="726"/>
      <c r="P34" s="726"/>
      <c r="Q34" s="726" t="s">
        <v>1032</v>
      </c>
      <c r="R34" s="726"/>
      <c r="S34" s="726" t="s">
        <v>690</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1" t="str">
        <f t="shared" si="0"/>
        <v>The Frost Lord's War Cloak</v>
      </c>
    </row>
    <row r="35" spans="1:25">
      <c r="A35" s="10" t="s">
        <v>2084</v>
      </c>
      <c r="B35" s="114">
        <v>24259</v>
      </c>
      <c r="C35" s="114">
        <v>1</v>
      </c>
      <c r="D35" s="114"/>
      <c r="E35" s="114"/>
      <c r="F35" s="114">
        <v>52</v>
      </c>
      <c r="G35" s="114">
        <v>23</v>
      </c>
      <c r="H35" s="114"/>
      <c r="I35" s="114"/>
      <c r="J35" s="114"/>
      <c r="K35" s="114"/>
      <c r="L35" s="114"/>
      <c r="M35" s="114"/>
      <c r="N35" s="114"/>
      <c r="O35" s="114"/>
      <c r="P35" s="114"/>
      <c r="Q35" s="114" t="s">
        <v>1034</v>
      </c>
      <c r="R35" s="114" t="s">
        <v>1021</v>
      </c>
      <c r="S35" s="114" t="s">
        <v>684</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1"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2206</v>
      </c>
      <c r="B37" s="114"/>
      <c r="C37" s="114"/>
      <c r="D37" s="10"/>
      <c r="E37" s="10"/>
      <c r="F37" s="10"/>
      <c r="G37" s="10"/>
      <c r="H37" s="10"/>
      <c r="I37" s="10"/>
      <c r="J37" s="10"/>
      <c r="K37" s="10"/>
      <c r="L37" s="10"/>
      <c r="M37" s="10"/>
      <c r="N37" s="10"/>
      <c r="O37" s="10"/>
      <c r="P37" s="10"/>
      <c r="Q37" s="114" t="s">
        <v>1032</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2085</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47" t="s">
        <v>1688</v>
      </c>
    </row>
    <row r="41" spans="1:25">
      <c r="A41" s="694" t="s">
        <v>2086</v>
      </c>
      <c r="B41" s="695">
        <v>2622</v>
      </c>
      <c r="C41" s="695">
        <v>1</v>
      </c>
      <c r="D41" s="695"/>
      <c r="E41" s="695"/>
      <c r="F41" s="695"/>
      <c r="G41" s="696"/>
      <c r="H41" s="696"/>
      <c r="I41" s="698"/>
      <c r="J41" s="695"/>
      <c r="K41" s="745"/>
      <c r="L41" s="695"/>
      <c r="M41" s="696">
        <v>12</v>
      </c>
      <c r="N41" s="745"/>
      <c r="O41" s="696"/>
      <c r="P41" s="698"/>
      <c r="Q41" s="698"/>
      <c r="R41" s="698"/>
      <c r="S41" s="695" t="s">
        <v>1688</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t="str">
        <f>" "</f>
        <v xml:space="preserve"> </v>
      </c>
    </row>
    <row r="42" spans="1:25">
      <c r="A42" s="676" t="s">
        <v>1120</v>
      </c>
      <c r="B42" s="677">
        <v>368</v>
      </c>
      <c r="C42" s="677">
        <v>1</v>
      </c>
      <c r="D42" s="677"/>
      <c r="E42" s="677">
        <v>12</v>
      </c>
      <c r="F42" s="677"/>
      <c r="G42" s="678"/>
      <c r="H42" s="678"/>
      <c r="I42" s="681"/>
      <c r="J42" s="677"/>
      <c r="K42" s="689"/>
      <c r="L42" s="677"/>
      <c r="M42" s="678"/>
      <c r="N42" s="746"/>
      <c r="O42" s="677"/>
      <c r="P42" s="681"/>
      <c r="Q42" s="681"/>
      <c r="R42" s="681"/>
      <c r="S42" s="677" t="s">
        <v>1688</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2810</v>
      </c>
      <c r="B43" s="677">
        <v>849</v>
      </c>
      <c r="C43" s="677">
        <v>1</v>
      </c>
      <c r="D43" s="677"/>
      <c r="E43" s="677">
        <v>3</v>
      </c>
      <c r="F43" s="677"/>
      <c r="G43" s="678"/>
      <c r="H43" s="678"/>
      <c r="I43" s="681"/>
      <c r="J43" s="677"/>
      <c r="K43" s="689"/>
      <c r="L43" s="677"/>
      <c r="M43" s="678"/>
      <c r="N43" s="746"/>
      <c r="O43" s="677"/>
      <c r="P43" s="681"/>
      <c r="Q43" s="681"/>
      <c r="R43" s="681"/>
      <c r="S43" s="677" t="s">
        <v>1688</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2087</v>
      </c>
      <c r="B44" s="677">
        <v>910</v>
      </c>
      <c r="C44" s="677">
        <v>1</v>
      </c>
      <c r="D44" s="677"/>
      <c r="E44" s="677"/>
      <c r="F44" s="677"/>
      <c r="G44" s="678"/>
      <c r="H44" s="678"/>
      <c r="I44" s="681"/>
      <c r="J44" s="677"/>
      <c r="K44" s="746"/>
      <c r="L44" s="677"/>
      <c r="M44" s="678"/>
      <c r="N44" s="746"/>
      <c r="O44" s="678"/>
      <c r="P44" s="681"/>
      <c r="Q44" s="681"/>
      <c r="R44" s="681"/>
      <c r="S44" s="677" t="s">
        <v>1688</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2088</v>
      </c>
      <c r="B45" s="677">
        <v>2621</v>
      </c>
      <c r="C45" s="677">
        <v>1</v>
      </c>
      <c r="D45" s="677"/>
      <c r="E45" s="677"/>
      <c r="F45" s="677"/>
      <c r="G45" s="678"/>
      <c r="H45" s="678"/>
      <c r="I45" s="681"/>
      <c r="J45" s="677"/>
      <c r="K45" s="746"/>
      <c r="L45" s="677"/>
      <c r="M45" s="678"/>
      <c r="N45" s="746"/>
      <c r="O45" s="678"/>
      <c r="P45" s="681"/>
      <c r="Q45" s="681"/>
      <c r="R45" s="681"/>
      <c r="S45" s="677" t="s">
        <v>1688</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2206</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W4" sqref="W4:W37"/>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1123</v>
      </c>
    </row>
    <row r="2" spans="1:25">
      <c r="A2" s="694" t="s">
        <v>1178</v>
      </c>
      <c r="B2" s="696">
        <v>29340</v>
      </c>
      <c r="C2" s="696">
        <v>1</v>
      </c>
      <c r="D2" s="695"/>
      <c r="E2" s="695">
        <v>24</v>
      </c>
      <c r="F2" s="695">
        <v>18</v>
      </c>
      <c r="G2" s="696"/>
      <c r="H2" s="696">
        <v>19</v>
      </c>
      <c r="I2" s="696"/>
      <c r="J2" s="695"/>
      <c r="K2" s="696"/>
      <c r="L2" s="695"/>
      <c r="M2" s="696">
        <v>24</v>
      </c>
      <c r="N2" s="696"/>
      <c r="O2" s="696"/>
      <c r="P2" s="696"/>
      <c r="Q2" s="695" t="s">
        <v>2089</v>
      </c>
      <c r="R2" s="695" t="s">
        <v>1464</v>
      </c>
      <c r="S2" s="695" t="s">
        <v>674</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Auchenai Monk's Tunic</v>
      </c>
    </row>
    <row r="3" spans="1:25">
      <c r="A3" s="676" t="s">
        <v>966</v>
      </c>
      <c r="B3" s="678">
        <v>34397</v>
      </c>
      <c r="C3" s="678">
        <v>5</v>
      </c>
      <c r="D3" s="677"/>
      <c r="E3" s="677">
        <v>42</v>
      </c>
      <c r="F3" s="677">
        <v>120</v>
      </c>
      <c r="G3" s="678">
        <v>38</v>
      </c>
      <c r="H3" s="678"/>
      <c r="I3" s="678"/>
      <c r="J3" s="677">
        <v>210</v>
      </c>
      <c r="K3" s="678"/>
      <c r="L3" s="677">
        <v>45</v>
      </c>
      <c r="M3" s="678"/>
      <c r="N3" s="678"/>
      <c r="O3" s="678"/>
      <c r="P3" s="678"/>
      <c r="Q3" s="677" t="s">
        <v>2092</v>
      </c>
      <c r="R3" s="677" t="s">
        <v>1064</v>
      </c>
      <c r="S3" s="677" t="s">
        <v>870</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4" si="0">HYPERLINK("https://tbc.wowhead.com/item="&amp;B3,A3)</f>
        <v>Bladed Chaos Tunic</v>
      </c>
    </row>
    <row r="4" spans="1:25">
      <c r="A4" s="676" t="s">
        <v>2090</v>
      </c>
      <c r="B4" s="678">
        <v>30101</v>
      </c>
      <c r="C4" s="678">
        <v>2</v>
      </c>
      <c r="D4" s="677"/>
      <c r="E4" s="677"/>
      <c r="F4" s="677">
        <v>92</v>
      </c>
      <c r="G4" s="678">
        <v>36</v>
      </c>
      <c r="H4" s="678">
        <v>27</v>
      </c>
      <c r="I4" s="678"/>
      <c r="J4" s="677"/>
      <c r="K4" s="678"/>
      <c r="L4" s="677">
        <v>24</v>
      </c>
      <c r="M4" s="678"/>
      <c r="N4" s="678"/>
      <c r="O4" s="678"/>
      <c r="P4" s="678"/>
      <c r="Q4" s="677" t="s">
        <v>2091</v>
      </c>
      <c r="R4" s="677" t="s">
        <v>1064</v>
      </c>
      <c r="S4" s="677" t="s">
        <v>666</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1" t="str">
        <f t="shared" si="0"/>
        <v>Bloodsea Brigand's Vest</v>
      </c>
    </row>
    <row r="5" spans="1:25">
      <c r="A5" s="676" t="s">
        <v>2340</v>
      </c>
      <c r="B5" s="677">
        <v>22476</v>
      </c>
      <c r="C5" s="677">
        <v>1</v>
      </c>
      <c r="D5" s="677"/>
      <c r="E5" s="677"/>
      <c r="F5" s="677">
        <v>80</v>
      </c>
      <c r="G5" s="678">
        <v>28</v>
      </c>
      <c r="H5" s="678">
        <v>10</v>
      </c>
      <c r="I5" s="677"/>
      <c r="J5" s="677"/>
      <c r="K5" s="677"/>
      <c r="L5" s="677">
        <v>29</v>
      </c>
      <c r="M5" s="678"/>
      <c r="N5" s="678"/>
      <c r="O5" s="677"/>
      <c r="P5" s="677" t="s">
        <v>2334</v>
      </c>
      <c r="Q5" s="677" t="s">
        <v>1032</v>
      </c>
      <c r="R5" s="677"/>
      <c r="S5" s="677" t="s">
        <v>667</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1" t="str">
        <f t="shared" si="0"/>
        <v>Bonescythe Breastplate</v>
      </c>
    </row>
    <row r="6" spans="1:25">
      <c r="A6" s="676" t="s">
        <v>1985</v>
      </c>
      <c r="B6" s="677">
        <v>35036</v>
      </c>
      <c r="C6" s="677">
        <v>5</v>
      </c>
      <c r="D6" s="677"/>
      <c r="E6" s="677">
        <v>36</v>
      </c>
      <c r="F6" s="677">
        <v>58</v>
      </c>
      <c r="G6" s="678">
        <v>22</v>
      </c>
      <c r="H6" s="678">
        <v>17</v>
      </c>
      <c r="I6" s="677"/>
      <c r="J6" s="677">
        <v>84</v>
      </c>
      <c r="K6" s="677"/>
      <c r="L6" s="677">
        <v>71</v>
      </c>
      <c r="M6" s="678"/>
      <c r="N6" s="678">
        <v>25</v>
      </c>
      <c r="O6" s="677"/>
      <c r="P6" s="677" t="s">
        <v>1067</v>
      </c>
      <c r="Q6" s="677" t="s">
        <v>2089</v>
      </c>
      <c r="R6" s="677" t="s">
        <v>816</v>
      </c>
      <c r="S6" s="677" t="s">
        <v>676</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1" t="str">
        <f t="shared" si="0"/>
        <v>Brutal Gladiator's Leather Tunic</v>
      </c>
    </row>
    <row r="7" spans="1:25">
      <c r="A7" s="676" t="s">
        <v>707</v>
      </c>
      <c r="B7" s="677">
        <v>34369</v>
      </c>
      <c r="C7" s="677">
        <v>5</v>
      </c>
      <c r="D7" s="677"/>
      <c r="E7" s="677">
        <v>42</v>
      </c>
      <c r="F7" s="677">
        <v>120</v>
      </c>
      <c r="G7" s="678"/>
      <c r="H7" s="678">
        <v>30</v>
      </c>
      <c r="I7" s="677">
        <v>38</v>
      </c>
      <c r="J7" s="677"/>
      <c r="K7" s="677"/>
      <c r="L7" s="677">
        <v>45</v>
      </c>
      <c r="M7" s="678"/>
      <c r="N7" s="678"/>
      <c r="O7" s="677"/>
      <c r="P7" s="687"/>
      <c r="Q7" s="677" t="s">
        <v>2089</v>
      </c>
      <c r="R7" s="677" t="s">
        <v>1064</v>
      </c>
      <c r="S7" s="677" t="s">
        <v>686</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1" t="str">
        <f t="shared" si="0"/>
        <v>Carapace of Sun and Shadow</v>
      </c>
    </row>
    <row r="8" spans="1:25" s="47" customFormat="1">
      <c r="A8" s="676" t="s">
        <v>1124</v>
      </c>
      <c r="B8" s="677">
        <v>28601</v>
      </c>
      <c r="C8" s="677">
        <v>1</v>
      </c>
      <c r="D8" s="677"/>
      <c r="E8" s="677">
        <v>37</v>
      </c>
      <c r="F8" s="677">
        <v>90</v>
      </c>
      <c r="G8" s="678"/>
      <c r="H8" s="678">
        <v>22</v>
      </c>
      <c r="I8" s="677"/>
      <c r="J8" s="677"/>
      <c r="K8" s="677"/>
      <c r="L8" s="677">
        <v>36</v>
      </c>
      <c r="M8" s="678"/>
      <c r="N8" s="678"/>
      <c r="O8" s="677"/>
      <c r="P8" s="687"/>
      <c r="Q8" s="677" t="s">
        <v>1032</v>
      </c>
      <c r="R8" s="677"/>
      <c r="S8" s="678" t="s">
        <v>671</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1" t="str">
        <f t="shared" si="0"/>
        <v>Chestguard of the Conniver</v>
      </c>
    </row>
    <row r="9" spans="1:25">
      <c r="A9" s="676" t="s">
        <v>954</v>
      </c>
      <c r="B9" s="677">
        <v>27461</v>
      </c>
      <c r="C9" s="677">
        <v>1</v>
      </c>
      <c r="D9" s="677"/>
      <c r="E9" s="677">
        <v>31</v>
      </c>
      <c r="F9" s="677">
        <v>70</v>
      </c>
      <c r="G9" s="678"/>
      <c r="H9" s="678">
        <v>17</v>
      </c>
      <c r="I9" s="677"/>
      <c r="J9" s="677"/>
      <c r="K9" s="677"/>
      <c r="L9" s="677">
        <v>26</v>
      </c>
      <c r="M9" s="678"/>
      <c r="N9" s="678"/>
      <c r="O9" s="677"/>
      <c r="P9" s="687"/>
      <c r="Q9" s="677" t="s">
        <v>1032</v>
      </c>
      <c r="R9" s="677"/>
      <c r="S9" s="677" t="s">
        <v>690</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1" t="str">
        <f t="shared" si="0"/>
        <v>Chestguard of the Prowler</v>
      </c>
    </row>
    <row r="10" spans="1:25">
      <c r="A10" s="676" t="s">
        <v>814</v>
      </c>
      <c r="B10" s="677">
        <v>30144</v>
      </c>
      <c r="C10" s="677">
        <v>2</v>
      </c>
      <c r="D10" s="677"/>
      <c r="E10" s="677">
        <v>33</v>
      </c>
      <c r="F10" s="677">
        <v>94</v>
      </c>
      <c r="G10" s="678">
        <v>17</v>
      </c>
      <c r="H10" s="678"/>
      <c r="I10" s="677"/>
      <c r="J10" s="677"/>
      <c r="K10" s="677"/>
      <c r="L10" s="677">
        <v>57</v>
      </c>
      <c r="M10" s="678"/>
      <c r="N10" s="678"/>
      <c r="O10" s="677"/>
      <c r="P10" s="677" t="s">
        <v>1062</v>
      </c>
      <c r="Q10" s="677" t="s">
        <v>2091</v>
      </c>
      <c r="R10" s="677" t="s">
        <v>1055</v>
      </c>
      <c r="S10" s="677" t="s">
        <v>679</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1" t="str">
        <f t="shared" si="0"/>
        <v>Deathmantle Chestguard</v>
      </c>
    </row>
    <row r="11" spans="1:25">
      <c r="A11" s="676" t="s">
        <v>1884</v>
      </c>
      <c r="B11" s="677">
        <v>34906</v>
      </c>
      <c r="C11" s="677">
        <v>5</v>
      </c>
      <c r="D11" s="677">
        <v>40</v>
      </c>
      <c r="E11" s="677">
        <v>49</v>
      </c>
      <c r="F11" s="677"/>
      <c r="G11" s="678"/>
      <c r="H11" s="678"/>
      <c r="I11" s="677">
        <v>20</v>
      </c>
      <c r="J11" s="677"/>
      <c r="K11" s="677"/>
      <c r="L11" s="677">
        <v>52</v>
      </c>
      <c r="M11" s="678"/>
      <c r="N11" s="678"/>
      <c r="O11" s="677"/>
      <c r="P11" s="677"/>
      <c r="Q11" s="677" t="s">
        <v>1034</v>
      </c>
      <c r="R11" s="677" t="s">
        <v>1337</v>
      </c>
      <c r="S11" s="677" t="s">
        <v>690</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1" t="str">
        <f t="shared" si="0"/>
        <v>Embrace of Everlasting Prowess</v>
      </c>
    </row>
    <row r="12" spans="1:25">
      <c r="A12" s="676" t="s">
        <v>815</v>
      </c>
      <c r="B12" s="677">
        <v>25831</v>
      </c>
      <c r="C12" s="677">
        <v>1</v>
      </c>
      <c r="D12" s="677"/>
      <c r="E12" s="677">
        <v>33</v>
      </c>
      <c r="F12" s="677">
        <v>30</v>
      </c>
      <c r="G12" s="678">
        <v>12</v>
      </c>
      <c r="H12" s="678"/>
      <c r="I12" s="677"/>
      <c r="J12" s="677"/>
      <c r="K12" s="677"/>
      <c r="L12" s="677">
        <v>50</v>
      </c>
      <c r="M12" s="678"/>
      <c r="N12" s="678">
        <v>23</v>
      </c>
      <c r="O12" s="677"/>
      <c r="P12" s="677" t="s">
        <v>1067</v>
      </c>
      <c r="Q12" s="677" t="s">
        <v>2089</v>
      </c>
      <c r="R12" s="677" t="s">
        <v>816</v>
      </c>
      <c r="S12" s="677" t="s">
        <v>676</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1" t="str">
        <f t="shared" si="0"/>
        <v>Gladiator's Leather Tunic</v>
      </c>
    </row>
    <row r="13" spans="1:25" s="129" customFormat="1">
      <c r="A13" s="676" t="s">
        <v>869</v>
      </c>
      <c r="B13" s="677">
        <v>34211</v>
      </c>
      <c r="C13" s="677">
        <v>5</v>
      </c>
      <c r="D13" s="677">
        <v>52</v>
      </c>
      <c r="E13" s="677">
        <v>44</v>
      </c>
      <c r="F13" s="677"/>
      <c r="G13" s="677"/>
      <c r="H13" s="677"/>
      <c r="I13" s="677"/>
      <c r="J13" s="677">
        <v>196</v>
      </c>
      <c r="K13" s="677"/>
      <c r="L13" s="677">
        <v>64</v>
      </c>
      <c r="M13" s="677"/>
      <c r="N13" s="677"/>
      <c r="O13" s="677"/>
      <c r="P13" s="677"/>
      <c r="Q13" s="677" t="s">
        <v>2092</v>
      </c>
      <c r="R13" s="677" t="s">
        <v>1055</v>
      </c>
      <c r="S13" s="677" t="s">
        <v>870</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1" t="str">
        <f t="shared" si="0"/>
        <v>Harness of Carnal Instinct</v>
      </c>
    </row>
    <row r="14" spans="1:25" s="129" customFormat="1">
      <c r="A14" s="676" t="s">
        <v>817</v>
      </c>
      <c r="B14" s="677">
        <v>30933</v>
      </c>
      <c r="C14" s="677">
        <v>1</v>
      </c>
      <c r="D14" s="677"/>
      <c r="E14" s="677">
        <v>25</v>
      </c>
      <c r="F14" s="677">
        <v>90</v>
      </c>
      <c r="G14" s="677"/>
      <c r="H14" s="677">
        <v>12</v>
      </c>
      <c r="I14" s="677"/>
      <c r="J14" s="677"/>
      <c r="K14" s="677"/>
      <c r="L14" s="677">
        <v>18</v>
      </c>
      <c r="M14" s="677"/>
      <c r="N14" s="677"/>
      <c r="O14" s="677"/>
      <c r="P14" s="677"/>
      <c r="Q14" s="677" t="s">
        <v>1032</v>
      </c>
      <c r="R14" s="677"/>
      <c r="S14" s="677" t="s">
        <v>674</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Primalstorm Breastplate</v>
      </c>
      <c r="Y14" s="1391" t="str">
        <f t="shared" si="0"/>
        <v>Hauberk of Karabor</v>
      </c>
    </row>
    <row r="15" spans="1:25" s="129" customFormat="1">
      <c r="A15" s="682" t="s">
        <v>2341</v>
      </c>
      <c r="B15" s="677">
        <v>32869</v>
      </c>
      <c r="C15" s="677">
        <v>1</v>
      </c>
      <c r="D15" s="677"/>
      <c r="E15" s="677">
        <v>29</v>
      </c>
      <c r="F15" s="677">
        <v>44</v>
      </c>
      <c r="G15" s="677"/>
      <c r="H15" s="677"/>
      <c r="I15" s="677"/>
      <c r="J15" s="677"/>
      <c r="K15" s="677"/>
      <c r="L15" s="677">
        <v>24</v>
      </c>
      <c r="M15" s="677"/>
      <c r="N15" s="677"/>
      <c r="O15" s="677"/>
      <c r="P15" s="677"/>
      <c r="Q15" s="677" t="s">
        <v>2342</v>
      </c>
      <c r="R15" s="677"/>
      <c r="S15" s="677" t="s">
        <v>674</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Primalstrike Vest</v>
      </c>
      <c r="Y15" s="1391" t="str">
        <f t="shared" si="0"/>
        <v>Illidari Lord's Tunic</v>
      </c>
    </row>
    <row r="16" spans="1:25">
      <c r="A16" s="676" t="s">
        <v>818</v>
      </c>
      <c r="B16" s="677">
        <v>28172</v>
      </c>
      <c r="C16" s="677">
        <v>1</v>
      </c>
      <c r="D16" s="677"/>
      <c r="E16" s="677">
        <v>23</v>
      </c>
      <c r="F16" s="677">
        <v>86</v>
      </c>
      <c r="G16" s="677"/>
      <c r="H16" s="677">
        <v>12</v>
      </c>
      <c r="I16" s="677"/>
      <c r="J16" s="677"/>
      <c r="K16" s="677"/>
      <c r="L16" s="677">
        <v>18</v>
      </c>
      <c r="M16" s="677"/>
      <c r="N16" s="677"/>
      <c r="O16" s="677"/>
      <c r="P16" s="677"/>
      <c r="Q16" s="677" t="s">
        <v>1032</v>
      </c>
      <c r="R16" s="677"/>
      <c r="S16" s="677" t="s">
        <v>674</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Protectorate Assassin's Tunic</v>
      </c>
      <c r="Y16" s="1391" t="str">
        <f t="shared" si="0"/>
        <v>Mag'hari Scout's Tunic</v>
      </c>
    </row>
    <row r="17" spans="1:25">
      <c r="A17" s="676" t="s">
        <v>820</v>
      </c>
      <c r="B17" s="677">
        <v>32002</v>
      </c>
      <c r="C17" s="677">
        <v>2</v>
      </c>
      <c r="D17" s="677"/>
      <c r="E17" s="677">
        <v>37</v>
      </c>
      <c r="F17" s="677">
        <v>40</v>
      </c>
      <c r="G17" s="678">
        <v>13</v>
      </c>
      <c r="H17" s="678"/>
      <c r="I17" s="677"/>
      <c r="J17" s="677"/>
      <c r="K17" s="677"/>
      <c r="L17" s="677">
        <v>57</v>
      </c>
      <c r="M17" s="678"/>
      <c r="N17" s="678">
        <v>25</v>
      </c>
      <c r="O17" s="677"/>
      <c r="P17" s="677" t="s">
        <v>1067</v>
      </c>
      <c r="Q17" s="677" t="s">
        <v>2089</v>
      </c>
      <c r="R17" s="677" t="s">
        <v>816</v>
      </c>
      <c r="S17" s="677" t="s">
        <v>676</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Terrorweave Tunic</v>
      </c>
      <c r="Y17" s="1391" t="str">
        <f t="shared" si="0"/>
        <v>Merciless Gladiator's Leather Tunic</v>
      </c>
    </row>
    <row r="18" spans="1:25">
      <c r="A18" s="676" t="s">
        <v>499</v>
      </c>
      <c r="B18" s="677">
        <v>30905</v>
      </c>
      <c r="C18" s="677">
        <v>3</v>
      </c>
      <c r="D18" s="677"/>
      <c r="E18" s="677"/>
      <c r="F18" s="677">
        <v>106</v>
      </c>
      <c r="G18" s="677">
        <v>46</v>
      </c>
      <c r="H18" s="677">
        <v>29</v>
      </c>
      <c r="I18" s="677"/>
      <c r="J18" s="677"/>
      <c r="K18" s="677"/>
      <c r="L18" s="677">
        <v>64</v>
      </c>
      <c r="M18" s="677"/>
      <c r="N18" s="677"/>
      <c r="O18" s="677"/>
      <c r="P18" s="677"/>
      <c r="Q18" s="677" t="s">
        <v>2092</v>
      </c>
      <c r="R18" s="677" t="s">
        <v>1064</v>
      </c>
      <c r="S18" s="677" t="s">
        <v>683</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Tunic of Assassination</v>
      </c>
      <c r="Y18" s="1391" t="str">
        <f t="shared" si="0"/>
        <v>Midnight Chestguard</v>
      </c>
    </row>
    <row r="19" spans="1:25">
      <c r="A19" s="676" t="s">
        <v>822</v>
      </c>
      <c r="B19" s="677">
        <v>32252</v>
      </c>
      <c r="C19" s="677">
        <v>3</v>
      </c>
      <c r="D19" s="677"/>
      <c r="E19" s="677">
        <v>36</v>
      </c>
      <c r="F19" s="677">
        <v>86</v>
      </c>
      <c r="G19" s="678"/>
      <c r="H19" s="678">
        <v>35</v>
      </c>
      <c r="I19" s="677"/>
      <c r="J19" s="677"/>
      <c r="K19" s="677"/>
      <c r="L19" s="677">
        <v>52</v>
      </c>
      <c r="M19" s="678"/>
      <c r="N19" s="678"/>
      <c r="O19" s="677"/>
      <c r="P19" s="677"/>
      <c r="Q19" s="677" t="s">
        <v>2092</v>
      </c>
      <c r="R19" s="677" t="s">
        <v>1064</v>
      </c>
      <c r="S19" s="677" t="s">
        <v>682</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Vest of Vengeance</v>
      </c>
      <c r="Y19" s="1391" t="str">
        <f t="shared" si="0"/>
        <v>Nether Shadow Tunic</v>
      </c>
    </row>
    <row r="20" spans="1:25">
      <c r="A20" s="676" t="s">
        <v>821</v>
      </c>
      <c r="B20" s="677">
        <v>29045</v>
      </c>
      <c r="C20" s="677">
        <v>1</v>
      </c>
      <c r="D20" s="677"/>
      <c r="E20" s="677">
        <v>35</v>
      </c>
      <c r="F20" s="677">
        <v>74</v>
      </c>
      <c r="G20" s="678"/>
      <c r="H20" s="678">
        <v>11</v>
      </c>
      <c r="I20" s="677"/>
      <c r="J20" s="677"/>
      <c r="K20" s="677"/>
      <c r="L20" s="677">
        <v>39</v>
      </c>
      <c r="M20" s="678"/>
      <c r="N20" s="678"/>
      <c r="O20" s="677"/>
      <c r="P20" s="677" t="s">
        <v>1077</v>
      </c>
      <c r="Q20" s="677" t="s">
        <v>2092</v>
      </c>
      <c r="R20" s="677" t="s">
        <v>1055</v>
      </c>
      <c r="S20" s="677" t="s">
        <v>678</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Wastewalker Tunic</v>
      </c>
      <c r="Y20" s="1391" t="str">
        <f t="shared" si="0"/>
        <v>Netherblade Chestpiece</v>
      </c>
    </row>
    <row r="21" spans="1:25">
      <c r="A21" s="676" t="s">
        <v>705</v>
      </c>
      <c r="B21" s="677">
        <v>35370</v>
      </c>
      <c r="C21" s="677">
        <v>1</v>
      </c>
      <c r="D21" s="677"/>
      <c r="E21" s="677">
        <v>20</v>
      </c>
      <c r="F21" s="677">
        <v>12</v>
      </c>
      <c r="G21" s="678">
        <v>10</v>
      </c>
      <c r="H21" s="678"/>
      <c r="I21" s="677"/>
      <c r="J21" s="677"/>
      <c r="K21" s="677"/>
      <c r="L21" s="677">
        <v>42</v>
      </c>
      <c r="M21" s="678"/>
      <c r="N21" s="678">
        <v>24</v>
      </c>
      <c r="O21" s="677"/>
      <c r="P21" s="677" t="s">
        <v>2858</v>
      </c>
      <c r="Q21" s="677" t="s">
        <v>2089</v>
      </c>
      <c r="R21" s="677" t="s">
        <v>816</v>
      </c>
      <c r="S21" s="677" t="s">
        <v>675</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(Unmodeled)</v>
      </c>
      <c r="Y21" s="1391" t="str">
        <f t="shared" si="0"/>
        <v>Opportunist's Leather Tunic</v>
      </c>
    </row>
    <row r="22" spans="1:25">
      <c r="A22" s="676" t="s">
        <v>826</v>
      </c>
      <c r="B22" s="677">
        <v>29973</v>
      </c>
      <c r="C22" s="677">
        <v>1</v>
      </c>
      <c r="D22" s="677"/>
      <c r="E22" s="677">
        <v>30</v>
      </c>
      <c r="F22" s="677">
        <v>60</v>
      </c>
      <c r="G22" s="678"/>
      <c r="H22" s="678">
        <v>17</v>
      </c>
      <c r="I22" s="677"/>
      <c r="J22" s="677"/>
      <c r="K22" s="677"/>
      <c r="L22" s="677">
        <v>27</v>
      </c>
      <c r="M22" s="678"/>
      <c r="N22" s="678"/>
      <c r="O22" s="677"/>
      <c r="P22" s="677"/>
      <c r="Q22" s="677" t="s">
        <v>1032</v>
      </c>
      <c r="R22" s="677"/>
      <c r="S22" s="677" t="s">
        <v>686</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11</v>
      </c>
      <c r="W22" s="737">
        <v>19</v>
      </c>
      <c r="X22" s="713" t="str">
        <f t="shared" si="1"/>
        <v/>
      </c>
      <c r="Y22" s="1391" t="str">
        <f t="shared" si="0"/>
        <v>Primalstorm Breastplate</v>
      </c>
    </row>
    <row r="23" spans="1:25">
      <c r="A23" s="676" t="s">
        <v>824</v>
      </c>
      <c r="B23" s="677">
        <v>29525</v>
      </c>
      <c r="C23" s="677">
        <v>1</v>
      </c>
      <c r="D23" s="677"/>
      <c r="E23" s="677">
        <v>38</v>
      </c>
      <c r="F23" s="677">
        <v>108</v>
      </c>
      <c r="G23" s="678"/>
      <c r="H23" s="678">
        <v>12</v>
      </c>
      <c r="I23" s="677"/>
      <c r="J23" s="677"/>
      <c r="K23" s="677"/>
      <c r="L23" s="677">
        <v>39</v>
      </c>
      <c r="M23" s="678"/>
      <c r="N23" s="678"/>
      <c r="O23" s="677"/>
      <c r="P23" s="677" t="s">
        <v>825</v>
      </c>
      <c r="Q23" s="677" t="s">
        <v>1032</v>
      </c>
      <c r="R23" s="677"/>
      <c r="S23" s="677" t="s">
        <v>686</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
      </c>
      <c r="Y23" s="1391" t="str">
        <f t="shared" si="0"/>
        <v>Primalstrike Vest</v>
      </c>
    </row>
    <row r="24" spans="1:25">
      <c r="A24" s="676" t="s">
        <v>827</v>
      </c>
      <c r="B24" s="677">
        <v>30328</v>
      </c>
      <c r="C24" s="677">
        <v>1</v>
      </c>
      <c r="D24" s="677"/>
      <c r="E24" s="677">
        <v>26</v>
      </c>
      <c r="F24" s="677">
        <v>52</v>
      </c>
      <c r="G24" s="678"/>
      <c r="H24" s="678">
        <v>21</v>
      </c>
      <c r="I24" s="677"/>
      <c r="J24" s="677"/>
      <c r="K24" s="677"/>
      <c r="L24" s="677">
        <v>24</v>
      </c>
      <c r="M24" s="678"/>
      <c r="N24" s="678"/>
      <c r="O24" s="677"/>
      <c r="P24" s="677"/>
      <c r="Q24" s="677" t="s">
        <v>1032</v>
      </c>
      <c r="R24" s="677"/>
      <c r="S24" s="677" t="s">
        <v>674</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
      </c>
      <c r="Y24" s="1391" t="str">
        <f t="shared" si="0"/>
        <v>Protectorate Assassin's Tunic</v>
      </c>
    </row>
    <row r="25" spans="1:25">
      <c r="A25" s="682" t="s">
        <v>1470</v>
      </c>
      <c r="B25" s="677">
        <v>33204</v>
      </c>
      <c r="C25" s="677">
        <v>3</v>
      </c>
      <c r="D25" s="677">
        <v>32</v>
      </c>
      <c r="E25" s="677">
        <v>40</v>
      </c>
      <c r="F25" s="677"/>
      <c r="G25" s="678"/>
      <c r="H25" s="678">
        <v>8</v>
      </c>
      <c r="I25" s="677"/>
      <c r="J25" s="677"/>
      <c r="K25" s="677"/>
      <c r="L25" s="677">
        <v>12</v>
      </c>
      <c r="M25" s="678"/>
      <c r="N25" s="678"/>
      <c r="O25" s="677"/>
      <c r="P25" s="677"/>
      <c r="Q25" s="677" t="s">
        <v>2092</v>
      </c>
      <c r="R25" s="677" t="s">
        <v>1055</v>
      </c>
      <c r="S25" s="677" t="s">
        <v>684</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1" t="str">
        <f t="shared" si="0"/>
        <v>Shadowprowler's Chestguard</v>
      </c>
    </row>
    <row r="26" spans="1:25">
      <c r="A26" s="676" t="s">
        <v>545</v>
      </c>
      <c r="B26" s="677">
        <v>33329</v>
      </c>
      <c r="C26" s="677">
        <v>4</v>
      </c>
      <c r="D26" s="677"/>
      <c r="E26" s="677">
        <v>45</v>
      </c>
      <c r="F26" s="677">
        <v>92</v>
      </c>
      <c r="G26" s="678"/>
      <c r="H26" s="678"/>
      <c r="I26" s="677"/>
      <c r="J26" s="677">
        <v>210</v>
      </c>
      <c r="K26" s="677"/>
      <c r="L26" s="677">
        <v>46</v>
      </c>
      <c r="M26" s="678"/>
      <c r="N26" s="678"/>
      <c r="O26" s="677"/>
      <c r="P26" s="677"/>
      <c r="Q26" s="677" t="s">
        <v>1032</v>
      </c>
      <c r="R26" s="677"/>
      <c r="S26" s="677" t="s">
        <v>663</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Shadowtooth Trollskin Cuirass</v>
      </c>
    </row>
    <row r="27" spans="1:25">
      <c r="A27" s="676" t="s">
        <v>828</v>
      </c>
      <c r="B27" s="677">
        <v>31028</v>
      </c>
      <c r="C27" s="677">
        <v>3</v>
      </c>
      <c r="D27" s="677"/>
      <c r="E27" s="677">
        <v>45</v>
      </c>
      <c r="F27" s="677">
        <v>92</v>
      </c>
      <c r="G27" s="678">
        <v>28</v>
      </c>
      <c r="H27" s="678">
        <v>15</v>
      </c>
      <c r="I27" s="677"/>
      <c r="J27" s="677"/>
      <c r="K27" s="677"/>
      <c r="L27" s="677">
        <v>55</v>
      </c>
      <c r="M27" s="678"/>
      <c r="N27" s="678"/>
      <c r="O27" s="677"/>
      <c r="P27" s="677" t="s">
        <v>998</v>
      </c>
      <c r="Q27" s="677" t="s">
        <v>2091</v>
      </c>
      <c r="R27" s="677" t="s">
        <v>1064</v>
      </c>
      <c r="S27" s="677" t="s">
        <v>682</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1" t="str">
        <f t="shared" si="0"/>
        <v>Slayer's Chestguard</v>
      </c>
    </row>
    <row r="28" spans="1:25">
      <c r="A28" s="676" t="s">
        <v>829</v>
      </c>
      <c r="B28" s="677">
        <v>30730</v>
      </c>
      <c r="C28" s="677">
        <v>1</v>
      </c>
      <c r="D28" s="677"/>
      <c r="E28" s="677"/>
      <c r="F28" s="677">
        <v>96</v>
      </c>
      <c r="G28" s="678">
        <v>25</v>
      </c>
      <c r="H28" s="678">
        <v>21</v>
      </c>
      <c r="I28" s="677"/>
      <c r="J28" s="677"/>
      <c r="K28" s="677"/>
      <c r="L28" s="677"/>
      <c r="M28" s="678"/>
      <c r="N28" s="678"/>
      <c r="O28" s="677"/>
      <c r="P28" s="677"/>
      <c r="Q28" s="677" t="s">
        <v>830</v>
      </c>
      <c r="R28" s="677" t="s">
        <v>816</v>
      </c>
      <c r="S28" s="677" t="s">
        <v>680</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14</v>
      </c>
      <c r="W28" s="737">
        <v>25</v>
      </c>
      <c r="X28" s="713" t="str">
        <f t="shared" si="1"/>
        <v/>
      </c>
      <c r="Y28" s="1391" t="str">
        <f t="shared" si="0"/>
        <v>Terrorweave Tunic</v>
      </c>
    </row>
    <row r="29" spans="1:25">
      <c r="A29" s="676" t="s">
        <v>2052</v>
      </c>
      <c r="B29" s="677">
        <v>28204</v>
      </c>
      <c r="C29" s="677">
        <v>1</v>
      </c>
      <c r="D29" s="677"/>
      <c r="E29" s="677">
        <v>28</v>
      </c>
      <c r="F29" s="677">
        <v>54</v>
      </c>
      <c r="G29" s="678"/>
      <c r="H29" s="678"/>
      <c r="I29" s="677"/>
      <c r="J29" s="677"/>
      <c r="K29" s="677"/>
      <c r="L29" s="677">
        <v>21</v>
      </c>
      <c r="M29" s="678"/>
      <c r="N29" s="678"/>
      <c r="O29" s="677"/>
      <c r="P29" s="677" t="s">
        <v>2145</v>
      </c>
      <c r="Q29" s="677" t="s">
        <v>2053</v>
      </c>
      <c r="R29" s="677" t="s">
        <v>1071</v>
      </c>
      <c r="S29" s="677" t="s">
        <v>672</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1" t="str">
        <f t="shared" si="0"/>
        <v>Tunic of Assassination</v>
      </c>
    </row>
    <row r="30" spans="1:25">
      <c r="A30" s="676" t="s">
        <v>1890</v>
      </c>
      <c r="B30" s="677">
        <v>34927</v>
      </c>
      <c r="C30" s="677">
        <v>5</v>
      </c>
      <c r="D30" s="677"/>
      <c r="E30" s="677">
        <v>44</v>
      </c>
      <c r="F30" s="677">
        <v>102</v>
      </c>
      <c r="G30" s="678"/>
      <c r="H30" s="678">
        <v>34</v>
      </c>
      <c r="I30" s="677"/>
      <c r="J30" s="677"/>
      <c r="K30" s="677"/>
      <c r="L30" s="677">
        <v>51</v>
      </c>
      <c r="M30" s="678"/>
      <c r="N30" s="678"/>
      <c r="O30" s="677"/>
      <c r="P30" s="677"/>
      <c r="Q30" s="677" t="s">
        <v>1034</v>
      </c>
      <c r="R30" s="677" t="s">
        <v>1337</v>
      </c>
      <c r="S30" s="677" t="s">
        <v>690</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Tunic of the Dark Hour</v>
      </c>
    </row>
    <row r="31" spans="1:25">
      <c r="A31" s="676" t="s">
        <v>1526</v>
      </c>
      <c r="B31" s="677">
        <v>33704</v>
      </c>
      <c r="C31" s="677">
        <v>3</v>
      </c>
      <c r="D31" s="677"/>
      <c r="E31" s="677">
        <v>31</v>
      </c>
      <c r="F31" s="677">
        <v>48</v>
      </c>
      <c r="G31" s="678">
        <v>17</v>
      </c>
      <c r="H31" s="678">
        <v>12</v>
      </c>
      <c r="I31" s="677"/>
      <c r="J31" s="677">
        <v>84</v>
      </c>
      <c r="K31" s="677"/>
      <c r="L31" s="677">
        <v>64</v>
      </c>
      <c r="M31" s="678"/>
      <c r="N31" s="678">
        <v>25</v>
      </c>
      <c r="O31" s="677"/>
      <c r="P31" s="677" t="s">
        <v>1067</v>
      </c>
      <c r="Q31" s="677" t="s">
        <v>2089</v>
      </c>
      <c r="R31" s="677" t="s">
        <v>816</v>
      </c>
      <c r="S31" s="677" t="s">
        <v>676</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Vengeful Gladiator's Leather Tunic</v>
      </c>
    </row>
    <row r="32" spans="1:25">
      <c r="A32" s="723" t="s">
        <v>2054</v>
      </c>
      <c r="B32" s="726">
        <v>24396</v>
      </c>
      <c r="C32" s="726">
        <v>1</v>
      </c>
      <c r="D32" s="726"/>
      <c r="E32" s="726">
        <v>27</v>
      </c>
      <c r="F32" s="726">
        <v>42</v>
      </c>
      <c r="G32" s="727"/>
      <c r="H32" s="727">
        <v>11</v>
      </c>
      <c r="I32" s="726"/>
      <c r="J32" s="726"/>
      <c r="K32" s="726"/>
      <c r="L32" s="726">
        <v>18</v>
      </c>
      <c r="M32" s="727"/>
      <c r="N32" s="727"/>
      <c r="O32" s="726"/>
      <c r="P32" s="726"/>
      <c r="Q32" s="726" t="s">
        <v>2092</v>
      </c>
      <c r="R32" s="726" t="s">
        <v>1071</v>
      </c>
      <c r="S32" s="677" t="s">
        <v>672</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1" t="str">
        <f t="shared" si="0"/>
        <v>Vest of Vengeance</v>
      </c>
    </row>
    <row r="33" spans="1:25">
      <c r="A33" s="130" t="s">
        <v>2343</v>
      </c>
      <c r="B33" s="114">
        <v>33579</v>
      </c>
      <c r="C33" s="114">
        <v>3</v>
      </c>
      <c r="D33" s="114">
        <v>46</v>
      </c>
      <c r="E33" s="114">
        <v>45</v>
      </c>
      <c r="F33" s="114"/>
      <c r="G33" s="116"/>
      <c r="H33" s="116"/>
      <c r="I33" s="114"/>
      <c r="J33" s="114">
        <v>150</v>
      </c>
      <c r="K33" s="114"/>
      <c r="L33" s="114">
        <v>36</v>
      </c>
      <c r="M33" s="116"/>
      <c r="N33" s="116"/>
      <c r="O33" s="114"/>
      <c r="P33" s="114"/>
      <c r="Q33" s="114" t="s">
        <v>1032</v>
      </c>
      <c r="R33" s="114"/>
      <c r="S33" s="680" t="s">
        <v>690</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Vestments of Hibernation</v>
      </c>
    </row>
    <row r="34" spans="1:25">
      <c r="A34" s="10" t="s">
        <v>2020</v>
      </c>
      <c r="B34" s="114">
        <v>28264</v>
      </c>
      <c r="C34" s="114">
        <v>1</v>
      </c>
      <c r="D34" s="114"/>
      <c r="E34" s="114">
        <v>28</v>
      </c>
      <c r="F34" s="114">
        <v>56</v>
      </c>
      <c r="G34" s="116"/>
      <c r="H34" s="116"/>
      <c r="I34" s="114"/>
      <c r="J34" s="114"/>
      <c r="K34" s="114"/>
      <c r="L34" s="114">
        <v>36</v>
      </c>
      <c r="M34" s="116"/>
      <c r="N34" s="116"/>
      <c r="O34" s="114"/>
      <c r="P34" s="114" t="s">
        <v>1003</v>
      </c>
      <c r="Q34" s="114" t="s">
        <v>2021</v>
      </c>
      <c r="R34" s="114" t="s">
        <v>1055</v>
      </c>
      <c r="S34" s="680" t="s">
        <v>690</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17</v>
      </c>
      <c r="W34" s="737">
        <v>31</v>
      </c>
      <c r="X34" s="713" t="str">
        <f t="shared" si="1"/>
        <v/>
      </c>
      <c r="Y34" s="1391"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18</v>
      </c>
      <c r="W35" s="737">
        <v>32</v>
      </c>
      <c r="X35" s="713" t="str">
        <f t="shared" si="1"/>
        <v/>
      </c>
    </row>
    <row r="36" spans="1:25">
      <c r="A36" s="10" t="s">
        <v>2206</v>
      </c>
      <c r="B36" s="114"/>
      <c r="C36" s="114"/>
      <c r="D36" s="114"/>
      <c r="E36" s="114"/>
      <c r="F36" s="114"/>
      <c r="G36" s="116"/>
      <c r="H36" s="116"/>
      <c r="I36" s="47"/>
      <c r="J36" s="114"/>
      <c r="K36" s="114"/>
      <c r="L36" s="114"/>
      <c r="M36" s="116"/>
      <c r="N36" s="116"/>
      <c r="O36" s="754"/>
      <c r="P36" s="47"/>
      <c r="Q36" s="114" t="s">
        <v>1032</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2022</v>
      </c>
      <c r="B39" s="729" t="s">
        <v>1933</v>
      </c>
      <c r="C39" s="729" t="s">
        <v>2795</v>
      </c>
      <c r="D39" s="730" t="s">
        <v>1213</v>
      </c>
      <c r="E39" s="730" t="s">
        <v>1214</v>
      </c>
      <c r="F39" s="730" t="s">
        <v>767</v>
      </c>
      <c r="G39" s="729" t="s">
        <v>2139</v>
      </c>
      <c r="H39" s="729" t="s">
        <v>2138</v>
      </c>
      <c r="I39" s="729" t="s">
        <v>770</v>
      </c>
      <c r="J39" s="731" t="s">
        <v>769</v>
      </c>
      <c r="K39" s="729" t="s">
        <v>759</v>
      </c>
      <c r="L39" s="730" t="s">
        <v>1215</v>
      </c>
      <c r="M39" s="729" t="s">
        <v>264</v>
      </c>
      <c r="N39" s="729" t="s">
        <v>1216</v>
      </c>
      <c r="O39" s="729" t="s">
        <v>1286</v>
      </c>
      <c r="P39" s="729" t="s">
        <v>1045</v>
      </c>
      <c r="Q39" s="730" t="s">
        <v>1046</v>
      </c>
      <c r="R39" s="730" t="s">
        <v>1940</v>
      </c>
      <c r="S39" s="730" t="s">
        <v>665</v>
      </c>
      <c r="T39" s="729" t="s">
        <v>920</v>
      </c>
      <c r="U39" s="732" t="s">
        <v>265</v>
      </c>
      <c r="V39" s="743">
        <v>0</v>
      </c>
      <c r="W39" s="740"/>
      <c r="X39" s="758" t="s">
        <v>1688</v>
      </c>
    </row>
    <row r="40" spans="1:25">
      <c r="A40" s="694" t="s">
        <v>2160</v>
      </c>
      <c r="B40" s="695">
        <v>1950</v>
      </c>
      <c r="C40" s="695">
        <v>5</v>
      </c>
      <c r="D40" s="695"/>
      <c r="E40" s="695"/>
      <c r="F40" s="695"/>
      <c r="G40" s="696"/>
      <c r="H40" s="696"/>
      <c r="I40" s="696"/>
      <c r="J40" s="696"/>
      <c r="K40" s="696"/>
      <c r="L40" s="695"/>
      <c r="M40" s="696"/>
      <c r="N40" s="696"/>
      <c r="O40" s="696">
        <v>15</v>
      </c>
      <c r="P40" s="696"/>
      <c r="Q40" s="696"/>
      <c r="R40" s="695"/>
      <c r="S40" s="696" t="s">
        <v>1688</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t="str">
        <f>" "</f>
        <v xml:space="preserve"> </v>
      </c>
    </row>
    <row r="41" spans="1:25">
      <c r="A41" s="676" t="s">
        <v>2024</v>
      </c>
      <c r="B41" s="677">
        <v>2659</v>
      </c>
      <c r="C41" s="677">
        <v>1</v>
      </c>
      <c r="D41" s="677"/>
      <c r="E41" s="677"/>
      <c r="F41" s="677"/>
      <c r="G41" s="678"/>
      <c r="H41" s="678"/>
      <c r="I41" s="681"/>
      <c r="J41" s="677"/>
      <c r="K41" s="678"/>
      <c r="L41" s="677">
        <v>15</v>
      </c>
      <c r="M41" s="678"/>
      <c r="N41" s="678"/>
      <c r="O41" s="716"/>
      <c r="P41" s="681"/>
      <c r="Q41" s="681"/>
      <c r="R41" s="681"/>
      <c r="S41" s="677" t="s">
        <v>1688</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1267</v>
      </c>
      <c r="B42" s="677">
        <v>2661</v>
      </c>
      <c r="C42" s="677">
        <v>1</v>
      </c>
      <c r="D42" s="677">
        <v>6</v>
      </c>
      <c r="E42" s="677">
        <v>6</v>
      </c>
      <c r="F42" s="677"/>
      <c r="G42" s="678"/>
      <c r="H42" s="678"/>
      <c r="I42" s="677"/>
      <c r="J42" s="677"/>
      <c r="K42" s="678"/>
      <c r="L42" s="677">
        <v>6</v>
      </c>
      <c r="M42" s="678"/>
      <c r="N42" s="678"/>
      <c r="O42" s="677"/>
      <c r="P42" s="677"/>
      <c r="Q42" s="677"/>
      <c r="R42" s="677"/>
      <c r="S42" s="677" t="s">
        <v>1688</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2023</v>
      </c>
      <c r="B43" s="677">
        <v>1891</v>
      </c>
      <c r="C43" s="677">
        <v>1</v>
      </c>
      <c r="D43" s="677">
        <v>4</v>
      </c>
      <c r="E43" s="677">
        <v>4</v>
      </c>
      <c r="F43" s="677"/>
      <c r="G43" s="678"/>
      <c r="H43" s="678"/>
      <c r="I43" s="681"/>
      <c r="J43" s="677"/>
      <c r="K43" s="678"/>
      <c r="L43" s="677">
        <v>4</v>
      </c>
      <c r="M43" s="678"/>
      <c r="N43" s="678"/>
      <c r="O43" s="716"/>
      <c r="P43" s="681"/>
      <c r="Q43" s="681"/>
      <c r="R43" s="681"/>
      <c r="S43" s="677" t="s">
        <v>1688</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2025</v>
      </c>
      <c r="B44" s="677">
        <v>2933</v>
      </c>
      <c r="C44" s="677">
        <v>1</v>
      </c>
      <c r="D44" s="677"/>
      <c r="E44" s="677"/>
      <c r="F44" s="677"/>
      <c r="G44" s="678"/>
      <c r="H44" s="678"/>
      <c r="I44" s="689"/>
      <c r="J44" s="689"/>
      <c r="K44" s="678"/>
      <c r="L44" s="677"/>
      <c r="M44" s="678"/>
      <c r="N44" s="678">
        <v>15</v>
      </c>
      <c r="O44" s="756"/>
      <c r="P44" s="689"/>
      <c r="Q44" s="689"/>
      <c r="R44" s="689"/>
      <c r="S44" s="677" t="s">
        <v>1688</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2811</v>
      </c>
      <c r="B45" s="677">
        <v>928</v>
      </c>
      <c r="C45" s="677">
        <v>1</v>
      </c>
      <c r="D45" s="677">
        <v>3</v>
      </c>
      <c r="E45" s="677">
        <v>3</v>
      </c>
      <c r="F45" s="677"/>
      <c r="G45" s="678"/>
      <c r="H45" s="678"/>
      <c r="I45" s="689"/>
      <c r="J45" s="689"/>
      <c r="K45" s="678"/>
      <c r="L45" s="677">
        <v>3</v>
      </c>
      <c r="M45" s="678"/>
      <c r="N45" s="678"/>
      <c r="O45" s="756"/>
      <c r="P45" s="689"/>
      <c r="Q45" s="689"/>
      <c r="R45" s="689"/>
      <c r="S45" s="677" t="s">
        <v>1688</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2206</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C4" sqref="AC4:AC30"/>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60"/>
      <c r="V1" s="706"/>
      <c r="W1" s="761" t="s">
        <v>567</v>
      </c>
      <c r="X1" s="707" t="s">
        <v>568</v>
      </c>
      <c r="Y1" s="761"/>
      <c r="Z1" s="759" t="s">
        <v>265</v>
      </c>
      <c r="AA1" s="759"/>
      <c r="AB1" s="725">
        <v>0</v>
      </c>
      <c r="AC1" s="725"/>
      <c r="AD1" s="762" t="s">
        <v>59</v>
      </c>
    </row>
    <row r="2" spans="1:31">
      <c r="A2" s="10" t="s">
        <v>2813</v>
      </c>
      <c r="B2" s="116">
        <v>27765</v>
      </c>
      <c r="C2" s="116">
        <v>1</v>
      </c>
      <c r="D2" s="114"/>
      <c r="E2" s="114"/>
      <c r="F2" s="114">
        <v>38</v>
      </c>
      <c r="G2" s="116">
        <v>20</v>
      </c>
      <c r="H2" s="116"/>
      <c r="I2" s="116"/>
      <c r="J2" s="114"/>
      <c r="K2" s="116"/>
      <c r="L2" s="114">
        <v>18</v>
      </c>
      <c r="M2" s="116"/>
      <c r="N2" s="116"/>
      <c r="O2" s="116"/>
      <c r="P2" s="114"/>
      <c r="Q2" s="114" t="s">
        <v>1032</v>
      </c>
      <c r="R2" s="114"/>
      <c r="S2" s="114" t="s">
        <v>690</v>
      </c>
      <c r="T2" s="116"/>
      <c r="U2" s="715"/>
      <c r="V2" s="696"/>
      <c r="W2" s="698" t="s">
        <v>631</v>
      </c>
      <c r="X2" s="698">
        <v>115</v>
      </c>
      <c r="Y2" s="698"/>
      <c r="Z2" s="1352">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0"/>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1688</v>
      </c>
      <c r="AE2" s="1391" t="str">
        <f>HYPERLINK("https://tbc.wowhead.com/item="&amp;B2,A2)</f>
        <v>Armwraps of Disdain</v>
      </c>
    </row>
    <row r="3" spans="1:31">
      <c r="A3" s="130" t="s">
        <v>2360</v>
      </c>
      <c r="B3" s="116">
        <v>33580</v>
      </c>
      <c r="C3" s="116">
        <v>3</v>
      </c>
      <c r="D3" s="114">
        <v>21</v>
      </c>
      <c r="E3" s="114">
        <v>22</v>
      </c>
      <c r="F3" s="114"/>
      <c r="G3" s="116"/>
      <c r="H3" s="116"/>
      <c r="I3" s="116"/>
      <c r="J3" s="114"/>
      <c r="K3" s="116"/>
      <c r="L3" s="114">
        <v>31</v>
      </c>
      <c r="M3" s="116"/>
      <c r="N3" s="116"/>
      <c r="O3" s="116"/>
      <c r="P3" s="114"/>
      <c r="Q3" s="114" t="s">
        <v>1042</v>
      </c>
      <c r="R3" s="114" t="s">
        <v>2362</v>
      </c>
      <c r="S3" s="114" t="s">
        <v>690</v>
      </c>
      <c r="T3" s="116"/>
      <c r="U3" s="715"/>
      <c r="V3" s="696"/>
      <c r="W3" s="698" t="s">
        <v>191</v>
      </c>
      <c r="X3" s="698">
        <v>128</v>
      </c>
      <c r="Y3" s="698"/>
      <c r="Z3" s="1353">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0"/>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1" t="str">
        <f t="shared" ref="AE3:AE27" si="0">HYPERLINK("https://tbc.wowhead.com/item="&amp;B3,A3)</f>
        <v>Band of the Swift Paw</v>
      </c>
    </row>
    <row r="4" spans="1:31" s="137" customFormat="1">
      <c r="A4" s="10" t="s">
        <v>2361</v>
      </c>
      <c r="B4" s="116">
        <v>22483</v>
      </c>
      <c r="C4" s="116">
        <v>1</v>
      </c>
      <c r="D4" s="114"/>
      <c r="E4" s="114">
        <v>26</v>
      </c>
      <c r="F4" s="114"/>
      <c r="G4" s="116">
        <v>14</v>
      </c>
      <c r="H4" s="116"/>
      <c r="I4" s="116"/>
      <c r="J4" s="114"/>
      <c r="K4" s="116"/>
      <c r="L4" s="114">
        <v>14</v>
      </c>
      <c r="M4" s="116"/>
      <c r="N4" s="116"/>
      <c r="O4" s="116"/>
      <c r="P4" s="114" t="s">
        <v>2334</v>
      </c>
      <c r="Q4" s="114" t="s">
        <v>1032</v>
      </c>
      <c r="R4" s="114"/>
      <c r="S4" s="114" t="s">
        <v>667</v>
      </c>
      <c r="T4" s="116"/>
      <c r="U4" s="686"/>
      <c r="V4" s="678"/>
      <c r="W4" s="681" t="s">
        <v>191</v>
      </c>
      <c r="X4" s="681">
        <v>88</v>
      </c>
      <c r="Y4" s="681"/>
      <c r="Z4" s="1353">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1"/>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1" t="str">
        <f t="shared" si="0"/>
        <v>Bonescythe Bracers</v>
      </c>
    </row>
    <row r="5" spans="1:31" s="137" customFormat="1">
      <c r="A5" s="10" t="s">
        <v>2814</v>
      </c>
      <c r="B5" s="116">
        <v>24023</v>
      </c>
      <c r="C5" s="116">
        <v>1</v>
      </c>
      <c r="D5" s="114"/>
      <c r="E5" s="114">
        <v>18</v>
      </c>
      <c r="F5" s="114">
        <v>28</v>
      </c>
      <c r="G5" s="116"/>
      <c r="H5" s="116"/>
      <c r="I5" s="116"/>
      <c r="J5" s="114"/>
      <c r="K5" s="116"/>
      <c r="L5" s="114">
        <v>16</v>
      </c>
      <c r="M5" s="116"/>
      <c r="N5" s="116"/>
      <c r="O5" s="116"/>
      <c r="P5" s="114"/>
      <c r="Q5" s="114" t="s">
        <v>1032</v>
      </c>
      <c r="R5" s="114"/>
      <c r="S5" s="114" t="s">
        <v>672</v>
      </c>
      <c r="T5" s="116"/>
      <c r="U5" s="686"/>
      <c r="V5" s="678"/>
      <c r="W5" s="681" t="s">
        <v>631</v>
      </c>
      <c r="X5" s="681">
        <v>85</v>
      </c>
      <c r="Y5" s="681"/>
      <c r="Z5" s="1353">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1"/>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1" t="str">
        <f t="shared" si="0"/>
        <v>Bracers of Finesse</v>
      </c>
    </row>
    <row r="6" spans="1:31" s="137" customFormat="1">
      <c r="A6" s="10" t="s">
        <v>1313</v>
      </c>
      <c r="B6" s="116">
        <v>28514</v>
      </c>
      <c r="C6" s="116">
        <v>1</v>
      </c>
      <c r="D6" s="114"/>
      <c r="E6" s="114"/>
      <c r="F6" s="114">
        <v>50</v>
      </c>
      <c r="G6" s="116">
        <v>22</v>
      </c>
      <c r="H6" s="116"/>
      <c r="I6" s="116"/>
      <c r="J6" s="114"/>
      <c r="K6" s="116"/>
      <c r="L6" s="114">
        <v>25</v>
      </c>
      <c r="M6" s="116"/>
      <c r="N6" s="116"/>
      <c r="O6" s="116"/>
      <c r="P6" s="114"/>
      <c r="Q6" s="114" t="s">
        <v>1032</v>
      </c>
      <c r="R6" s="114"/>
      <c r="S6" s="114" t="s">
        <v>671</v>
      </c>
      <c r="T6" s="116"/>
      <c r="U6" s="686"/>
      <c r="V6" s="678"/>
      <c r="W6" s="681" t="s">
        <v>191</v>
      </c>
      <c r="X6" s="681">
        <v>115</v>
      </c>
      <c r="Y6" s="681"/>
      <c r="Z6" s="1353">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1"/>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1" t="str">
        <f t="shared" si="0"/>
        <v>Bracers of Maliciousness</v>
      </c>
    </row>
    <row r="7" spans="1:31">
      <c r="A7" s="10" t="s">
        <v>1314</v>
      </c>
      <c r="B7" s="116">
        <v>30863</v>
      </c>
      <c r="C7" s="116">
        <v>3</v>
      </c>
      <c r="D7" s="114"/>
      <c r="E7" s="114"/>
      <c r="F7" s="114">
        <v>58</v>
      </c>
      <c r="G7" s="116">
        <v>28</v>
      </c>
      <c r="H7" s="116">
        <v>12</v>
      </c>
      <c r="I7" s="116"/>
      <c r="J7" s="114"/>
      <c r="K7" s="116"/>
      <c r="L7" s="114">
        <v>28</v>
      </c>
      <c r="M7" s="116"/>
      <c r="N7" s="116"/>
      <c r="O7" s="116"/>
      <c r="P7" s="114"/>
      <c r="Q7" s="114" t="s">
        <v>1042</v>
      </c>
      <c r="R7" s="114" t="s">
        <v>1337</v>
      </c>
      <c r="S7" s="114" t="s">
        <v>683</v>
      </c>
      <c r="T7" s="116"/>
      <c r="U7" s="686"/>
      <c r="V7" s="678"/>
      <c r="W7" s="681" t="s">
        <v>191</v>
      </c>
      <c r="X7" s="681">
        <v>141</v>
      </c>
      <c r="Y7" s="681"/>
      <c r="Z7" s="1353">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1"/>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1" t="str">
        <f t="shared" si="0"/>
        <v>Deadly Cuffs</v>
      </c>
    </row>
    <row r="8" spans="1:31">
      <c r="A8" s="10" t="s">
        <v>2363</v>
      </c>
      <c r="B8" s="116">
        <v>28424</v>
      </c>
      <c r="C8" s="116">
        <v>1</v>
      </c>
      <c r="D8" s="114"/>
      <c r="E8" s="114">
        <v>19</v>
      </c>
      <c r="F8" s="114">
        <v>16</v>
      </c>
      <c r="G8" s="116">
        <v>7</v>
      </c>
      <c r="H8" s="116"/>
      <c r="I8" s="116"/>
      <c r="J8" s="114"/>
      <c r="K8" s="116"/>
      <c r="L8" s="114">
        <v>25</v>
      </c>
      <c r="M8" s="116"/>
      <c r="N8" s="116">
        <v>13</v>
      </c>
      <c r="O8" s="116"/>
      <c r="P8" s="114"/>
      <c r="Q8" s="114" t="s">
        <v>1042</v>
      </c>
      <c r="R8" s="114" t="s">
        <v>1069</v>
      </c>
      <c r="S8" s="114" t="s">
        <v>676</v>
      </c>
      <c r="T8" s="116"/>
      <c r="U8" s="686"/>
      <c r="V8" s="678"/>
      <c r="W8" s="681" t="s">
        <v>191</v>
      </c>
      <c r="X8" s="681">
        <v>113</v>
      </c>
      <c r="Y8" s="681"/>
      <c r="Z8" s="1353">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1"/>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1" t="str">
        <f t="shared" si="0"/>
        <v>General's Leather Bracers</v>
      </c>
    </row>
    <row r="9" spans="1:31" s="208" customFormat="1">
      <c r="A9" s="10" t="s">
        <v>1485</v>
      </c>
      <c r="B9" s="116">
        <v>35167</v>
      </c>
      <c r="C9" s="116">
        <v>5</v>
      </c>
      <c r="D9" s="114">
        <v>25</v>
      </c>
      <c r="E9" s="114">
        <v>25</v>
      </c>
      <c r="F9" s="114"/>
      <c r="G9" s="116">
        <v>24</v>
      </c>
      <c r="H9" s="116"/>
      <c r="I9" s="116"/>
      <c r="J9" s="114"/>
      <c r="K9" s="116"/>
      <c r="L9" s="114">
        <v>33</v>
      </c>
      <c r="M9" s="116"/>
      <c r="N9" s="116">
        <v>17</v>
      </c>
      <c r="O9" s="116"/>
      <c r="P9" s="114"/>
      <c r="Q9" s="114" t="s">
        <v>1034</v>
      </c>
      <c r="R9" s="114" t="s">
        <v>1069</v>
      </c>
      <c r="S9" s="114" t="s">
        <v>676</v>
      </c>
      <c r="T9" s="116"/>
      <c r="U9" s="686"/>
      <c r="V9" s="678"/>
      <c r="W9" s="681" t="s">
        <v>191</v>
      </c>
      <c r="X9" s="681">
        <v>154</v>
      </c>
      <c r="Y9" s="681"/>
      <c r="Z9" s="1353">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1"/>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1" t="str">
        <f t="shared" si="0"/>
        <v>Guardian's Dragonhide Bracers</v>
      </c>
    </row>
    <row r="10" spans="1:31">
      <c r="A10" s="10" t="s">
        <v>1484</v>
      </c>
      <c r="B10" s="116">
        <v>35171</v>
      </c>
      <c r="C10" s="116">
        <v>5</v>
      </c>
      <c r="D10" s="114"/>
      <c r="E10" s="114">
        <v>28</v>
      </c>
      <c r="F10" s="114">
        <v>32</v>
      </c>
      <c r="G10" s="116">
        <v>15</v>
      </c>
      <c r="H10" s="116"/>
      <c r="I10" s="116"/>
      <c r="J10" s="114"/>
      <c r="K10" s="116"/>
      <c r="L10" s="114">
        <v>37</v>
      </c>
      <c r="M10" s="116"/>
      <c r="N10" s="116">
        <v>15</v>
      </c>
      <c r="O10" s="116"/>
      <c r="P10" s="114"/>
      <c r="Q10" s="114" t="s">
        <v>1042</v>
      </c>
      <c r="R10" s="114" t="s">
        <v>1069</v>
      </c>
      <c r="S10" s="114" t="s">
        <v>676</v>
      </c>
      <c r="T10" s="116"/>
      <c r="U10" s="686"/>
      <c r="V10" s="678"/>
      <c r="W10" s="681" t="s">
        <v>191</v>
      </c>
      <c r="X10" s="681">
        <v>154</v>
      </c>
      <c r="Y10" s="681"/>
      <c r="Z10" s="1353">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1"/>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1" t="str">
        <f t="shared" si="0"/>
        <v>Guardian's Leather Bracers</v>
      </c>
    </row>
    <row r="11" spans="1:31">
      <c r="A11" s="10" t="s">
        <v>608</v>
      </c>
      <c r="B11" s="116">
        <v>32324</v>
      </c>
      <c r="C11" s="116">
        <v>3</v>
      </c>
      <c r="D11" s="114"/>
      <c r="E11" s="114">
        <v>28</v>
      </c>
      <c r="F11" s="114">
        <v>58</v>
      </c>
      <c r="G11" s="116"/>
      <c r="H11" s="116">
        <v>12</v>
      </c>
      <c r="I11" s="116"/>
      <c r="J11" s="114"/>
      <c r="K11" s="116"/>
      <c r="L11" s="114">
        <v>28</v>
      </c>
      <c r="M11" s="116"/>
      <c r="N11" s="116"/>
      <c r="O11" s="116"/>
      <c r="P11" s="114"/>
      <c r="Q11" s="114" t="s">
        <v>1042</v>
      </c>
      <c r="R11" s="114" t="s">
        <v>1462</v>
      </c>
      <c r="S11" s="114" t="s">
        <v>682</v>
      </c>
      <c r="T11" s="116"/>
      <c r="U11" s="686"/>
      <c r="V11" s="678"/>
      <c r="W11" s="681" t="s">
        <v>191</v>
      </c>
      <c r="X11" s="681">
        <v>141</v>
      </c>
      <c r="Y11" s="681"/>
      <c r="Z11" s="1353">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1"/>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1" t="str">
        <f t="shared" si="0"/>
        <v>Insidious Bands</v>
      </c>
    </row>
    <row r="12" spans="1:31">
      <c r="A12" s="10" t="s">
        <v>2364</v>
      </c>
      <c r="B12" s="116">
        <v>28988</v>
      </c>
      <c r="C12" s="116">
        <v>1</v>
      </c>
      <c r="D12" s="114"/>
      <c r="E12" s="114">
        <v>19</v>
      </c>
      <c r="F12" s="114">
        <v>16</v>
      </c>
      <c r="G12" s="116">
        <v>7</v>
      </c>
      <c r="H12" s="116"/>
      <c r="I12" s="116"/>
      <c r="J12" s="114"/>
      <c r="K12" s="116"/>
      <c r="L12" s="114">
        <v>25</v>
      </c>
      <c r="M12" s="116"/>
      <c r="N12" s="116">
        <v>13</v>
      </c>
      <c r="O12" s="116"/>
      <c r="P12" s="114"/>
      <c r="Q12" s="114" t="s">
        <v>1042</v>
      </c>
      <c r="R12" s="114" t="s">
        <v>1069</v>
      </c>
      <c r="S12" s="114" t="s">
        <v>676</v>
      </c>
      <c r="T12" s="116"/>
      <c r="U12" s="686"/>
      <c r="V12" s="678"/>
      <c r="W12" s="681" t="s">
        <v>191</v>
      </c>
      <c r="X12" s="681">
        <v>113</v>
      </c>
      <c r="Y12" s="681"/>
      <c r="Z12" s="1353">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1"/>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Primalstrike Bracers</v>
      </c>
      <c r="AE12" s="1391" t="str">
        <f t="shared" si="0"/>
        <v>Marshal's Leather Bracers</v>
      </c>
    </row>
    <row r="13" spans="1:31" s="208" customFormat="1">
      <c r="A13" s="130" t="s">
        <v>1431</v>
      </c>
      <c r="B13" s="116">
        <v>33540</v>
      </c>
      <c r="C13" s="116">
        <v>3</v>
      </c>
      <c r="D13" s="114"/>
      <c r="E13" s="114">
        <v>17</v>
      </c>
      <c r="F13" s="114">
        <v>50</v>
      </c>
      <c r="G13" s="116">
        <v>18</v>
      </c>
      <c r="H13" s="116"/>
      <c r="I13" s="116"/>
      <c r="J13" s="114"/>
      <c r="K13" s="116"/>
      <c r="L13" s="114">
        <v>22</v>
      </c>
      <c r="M13" s="116"/>
      <c r="N13" s="116"/>
      <c r="O13" s="116"/>
      <c r="P13" s="114"/>
      <c r="Q13" s="114" t="s">
        <v>1042</v>
      </c>
      <c r="R13" s="114" t="s">
        <v>1472</v>
      </c>
      <c r="S13" s="114" t="s">
        <v>690</v>
      </c>
      <c r="T13" s="116"/>
      <c r="U13" s="686"/>
      <c r="V13" s="678"/>
      <c r="W13" s="681" t="s">
        <v>191</v>
      </c>
      <c r="X13" s="681">
        <v>128</v>
      </c>
      <c r="Y13" s="681"/>
      <c r="Z13" s="1353">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1"/>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Ravager's Wrist-Wraps of the Bandit</v>
      </c>
      <c r="AE13" s="1391" t="str">
        <f t="shared" si="0"/>
        <v>Master Assassin Wristwraps</v>
      </c>
    </row>
    <row r="14" spans="1:31">
      <c r="A14" s="130" t="s">
        <v>1297</v>
      </c>
      <c r="B14" s="116">
        <v>29246</v>
      </c>
      <c r="C14" s="116">
        <v>1</v>
      </c>
      <c r="D14" s="114"/>
      <c r="E14" s="114">
        <v>24</v>
      </c>
      <c r="F14" s="114">
        <v>46</v>
      </c>
      <c r="G14" s="116"/>
      <c r="H14" s="116"/>
      <c r="I14" s="116"/>
      <c r="J14" s="114"/>
      <c r="K14" s="116"/>
      <c r="L14" s="114">
        <v>22</v>
      </c>
      <c r="M14" s="116"/>
      <c r="N14" s="116"/>
      <c r="O14" s="116"/>
      <c r="P14" s="114"/>
      <c r="Q14" s="114" t="s">
        <v>1032</v>
      </c>
      <c r="R14" s="114"/>
      <c r="S14" s="114" t="s">
        <v>690</v>
      </c>
      <c r="T14" s="116"/>
      <c r="U14" s="686"/>
      <c r="V14" s="678"/>
      <c r="W14" s="681" t="s">
        <v>191</v>
      </c>
      <c r="X14" s="681">
        <v>110</v>
      </c>
      <c r="Y14" s="681"/>
      <c r="Z14" s="1353">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1"/>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Shackles of Quagmirran</v>
      </c>
      <c r="AE14" s="1391" t="str">
        <f t="shared" si="0"/>
        <v>Nightfall Wristguards</v>
      </c>
    </row>
    <row r="15" spans="1:31" s="208" customFormat="1">
      <c r="A15" s="10" t="s">
        <v>1298</v>
      </c>
      <c r="B15" s="116">
        <v>30399</v>
      </c>
      <c r="C15" s="116">
        <v>1</v>
      </c>
      <c r="D15" s="114"/>
      <c r="E15" s="114">
        <v>12</v>
      </c>
      <c r="F15" s="114">
        <v>42</v>
      </c>
      <c r="G15" s="116"/>
      <c r="H15" s="116">
        <v>9</v>
      </c>
      <c r="I15" s="116"/>
      <c r="J15" s="114"/>
      <c r="K15" s="116"/>
      <c r="L15" s="114"/>
      <c r="M15" s="116"/>
      <c r="N15" s="116"/>
      <c r="O15" s="116"/>
      <c r="P15" s="114"/>
      <c r="Q15" s="114" t="s">
        <v>1032</v>
      </c>
      <c r="R15" s="114"/>
      <c r="S15" s="114" t="s">
        <v>674</v>
      </c>
      <c r="T15" s="116"/>
      <c r="U15" s="686"/>
      <c r="V15" s="678"/>
      <c r="W15" s="681" t="s">
        <v>1355</v>
      </c>
      <c r="X15" s="681">
        <v>111</v>
      </c>
      <c r="Y15" s="681"/>
      <c r="Z15" s="1353">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1"/>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Spymistress's Wristguards</v>
      </c>
      <c r="AE15" s="1391" t="str">
        <f t="shared" si="0"/>
        <v>Nightstalker's Wristguards</v>
      </c>
    </row>
    <row r="16" spans="1:31" s="208" customFormat="1">
      <c r="A16" s="10" t="s">
        <v>1299</v>
      </c>
      <c r="B16" s="116">
        <v>29527</v>
      </c>
      <c r="C16" s="116">
        <v>1</v>
      </c>
      <c r="D16" s="114"/>
      <c r="E16" s="114">
        <v>15</v>
      </c>
      <c r="F16" s="114">
        <v>64</v>
      </c>
      <c r="G16" s="116"/>
      <c r="H16" s="116"/>
      <c r="I16" s="116"/>
      <c r="J16" s="114"/>
      <c r="K16" s="116"/>
      <c r="L16" s="114">
        <v>21</v>
      </c>
      <c r="M16" s="116"/>
      <c r="N16" s="116"/>
      <c r="O16" s="116"/>
      <c r="P16" s="114" t="s">
        <v>825</v>
      </c>
      <c r="Q16" s="114" t="s">
        <v>1032</v>
      </c>
      <c r="R16" s="114"/>
      <c r="S16" s="114" t="s">
        <v>686</v>
      </c>
      <c r="T16" s="116"/>
      <c r="U16" s="686"/>
      <c r="V16" s="678"/>
      <c r="W16" s="681" t="s">
        <v>191</v>
      </c>
      <c r="X16" s="681">
        <v>115</v>
      </c>
      <c r="Y16" s="681"/>
      <c r="Z16" s="1353">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1"/>
      <c r="AB16" s="220">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9</v>
      </c>
      <c r="AC16" s="737">
        <v>13</v>
      </c>
      <c r="AD16" s="713" t="str">
        <f t="shared" si="1"/>
        <v>Windrager's Coils</v>
      </c>
      <c r="AE16" s="1391" t="str">
        <f t="shared" si="0"/>
        <v>Primalstrike Bracers</v>
      </c>
    </row>
    <row r="17" spans="1:31" s="208" customFormat="1">
      <c r="A17" s="47" t="s">
        <v>1348</v>
      </c>
      <c r="B17" s="114">
        <v>30685</v>
      </c>
      <c r="C17" s="114">
        <v>1</v>
      </c>
      <c r="D17" s="114"/>
      <c r="E17" s="114">
        <v>21</v>
      </c>
      <c r="F17" s="114">
        <v>43</v>
      </c>
      <c r="G17" s="114"/>
      <c r="H17" s="114"/>
      <c r="I17" s="114"/>
      <c r="J17" s="114"/>
      <c r="K17" s="116"/>
      <c r="L17" s="114">
        <v>32</v>
      </c>
      <c r="M17" s="114"/>
      <c r="N17" s="116"/>
      <c r="O17" s="116"/>
      <c r="P17" s="114"/>
      <c r="Q17" s="114" t="s">
        <v>1032</v>
      </c>
      <c r="R17" s="114"/>
      <c r="S17" s="114" t="s">
        <v>671</v>
      </c>
      <c r="T17" s="116"/>
      <c r="U17" s="686"/>
      <c r="V17" s="678"/>
      <c r="W17" s="681" t="s">
        <v>191</v>
      </c>
      <c r="X17" s="681">
        <v>115</v>
      </c>
      <c r="Y17" s="681"/>
      <c r="Z17" s="1353">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1"/>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10</v>
      </c>
      <c r="AC17" s="737">
        <v>14</v>
      </c>
      <c r="AD17" s="713" t="str">
        <f t="shared" si="1"/>
        <v>(Unmodeled)</v>
      </c>
      <c r="AE17" s="1391" t="str">
        <f t="shared" si="0"/>
        <v>Ravager's Wrist-Wraps of the Bandit</v>
      </c>
    </row>
    <row r="18" spans="1:31" s="208" customFormat="1">
      <c r="A18" s="10" t="s">
        <v>2365</v>
      </c>
      <c r="B18" s="116">
        <v>27712</v>
      </c>
      <c r="C18" s="116">
        <v>1</v>
      </c>
      <c r="D18" s="114"/>
      <c r="E18" s="114">
        <v>20</v>
      </c>
      <c r="F18" s="114">
        <v>40</v>
      </c>
      <c r="G18" s="116"/>
      <c r="H18" s="116"/>
      <c r="I18" s="116"/>
      <c r="J18" s="114"/>
      <c r="K18" s="116"/>
      <c r="L18" s="114">
        <v>18</v>
      </c>
      <c r="M18" s="116"/>
      <c r="N18" s="116"/>
      <c r="O18" s="116"/>
      <c r="P18" s="114"/>
      <c r="Q18" s="114" t="s">
        <v>1032</v>
      </c>
      <c r="R18" s="114"/>
      <c r="S18" s="114" t="s">
        <v>690</v>
      </c>
      <c r="T18" s="116"/>
      <c r="U18" s="686"/>
      <c r="V18" s="678"/>
      <c r="W18" s="681" t="s">
        <v>631</v>
      </c>
      <c r="X18" s="681">
        <v>115</v>
      </c>
      <c r="Y18" s="681"/>
      <c r="Z18" s="1353">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1"/>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11</v>
      </c>
      <c r="AC18" s="737">
        <v>15</v>
      </c>
      <c r="AD18" s="713" t="str">
        <f t="shared" si="1"/>
        <v/>
      </c>
      <c r="AE18" s="1391" t="str">
        <f t="shared" si="0"/>
        <v>Shackles of Quagmirran</v>
      </c>
    </row>
    <row r="19" spans="1:31" s="47" customFormat="1">
      <c r="A19" s="690" t="s">
        <v>1269</v>
      </c>
      <c r="B19" s="114">
        <v>32647</v>
      </c>
      <c r="C19" s="114">
        <v>3</v>
      </c>
      <c r="D19" s="114"/>
      <c r="E19" s="114">
        <v>20</v>
      </c>
      <c r="F19" s="114">
        <v>42</v>
      </c>
      <c r="G19" s="114"/>
      <c r="H19" s="114"/>
      <c r="I19" s="114"/>
      <c r="J19" s="114"/>
      <c r="K19" s="116"/>
      <c r="L19" s="114">
        <v>18</v>
      </c>
      <c r="M19" s="114"/>
      <c r="N19" s="116"/>
      <c r="O19" s="116"/>
      <c r="P19" s="114"/>
      <c r="Q19" s="114" t="s">
        <v>1038</v>
      </c>
      <c r="R19" s="114" t="s">
        <v>1065</v>
      </c>
      <c r="S19" s="114" t="s">
        <v>675</v>
      </c>
      <c r="T19" s="116"/>
      <c r="U19" s="686"/>
      <c r="V19" s="678"/>
      <c r="W19" s="681" t="s">
        <v>191</v>
      </c>
      <c r="X19" s="681">
        <v>105</v>
      </c>
      <c r="Y19" s="681"/>
      <c r="Z19" s="1353">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1"/>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1" t="str">
        <f t="shared" si="0"/>
        <v>Shard-bound Bracers</v>
      </c>
    </row>
    <row r="20" spans="1:31" s="208" customFormat="1">
      <c r="A20" s="10" t="s">
        <v>982</v>
      </c>
      <c r="B20" s="116">
        <v>34448</v>
      </c>
      <c r="C20" s="116">
        <v>5</v>
      </c>
      <c r="D20" s="114"/>
      <c r="E20" s="114">
        <v>27</v>
      </c>
      <c r="F20" s="114">
        <v>64</v>
      </c>
      <c r="G20" s="116"/>
      <c r="H20" s="116">
        <v>18</v>
      </c>
      <c r="I20" s="116">
        <v>17</v>
      </c>
      <c r="J20" s="114"/>
      <c r="K20" s="116"/>
      <c r="L20" s="114">
        <v>16</v>
      </c>
      <c r="M20" s="116"/>
      <c r="N20" s="116"/>
      <c r="O20" s="116"/>
      <c r="P20" s="114" t="s">
        <v>998</v>
      </c>
      <c r="Q20" s="114" t="s">
        <v>1034</v>
      </c>
      <c r="R20" s="114" t="s">
        <v>1337</v>
      </c>
      <c r="S20" s="114" t="s">
        <v>870</v>
      </c>
      <c r="T20" s="116"/>
      <c r="U20" s="686"/>
      <c r="V20" s="678"/>
      <c r="W20" s="681" t="s">
        <v>191</v>
      </c>
      <c r="X20" s="681">
        <v>154</v>
      </c>
      <c r="Y20" s="681"/>
      <c r="Z20" s="1353">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1"/>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1" t="str">
        <f t="shared" si="0"/>
        <v>Slayer's Bracers</v>
      </c>
    </row>
    <row r="21" spans="1:31" s="208" customFormat="1">
      <c r="A21" s="10" t="s">
        <v>1300</v>
      </c>
      <c r="B21" s="116">
        <v>28171</v>
      </c>
      <c r="C21" s="116">
        <v>1</v>
      </c>
      <c r="D21" s="114"/>
      <c r="E21" s="114">
        <v>18</v>
      </c>
      <c r="F21" s="114"/>
      <c r="G21" s="116"/>
      <c r="H21" s="116">
        <v>15</v>
      </c>
      <c r="I21" s="116"/>
      <c r="J21" s="114"/>
      <c r="K21" s="116"/>
      <c r="L21" s="114">
        <v>15</v>
      </c>
      <c r="M21" s="116"/>
      <c r="N21" s="116"/>
      <c r="O21" s="116"/>
      <c r="P21" s="114"/>
      <c r="Q21" s="114" t="s">
        <v>1034</v>
      </c>
      <c r="R21" s="114" t="s">
        <v>1302</v>
      </c>
      <c r="S21" s="114" t="s">
        <v>674</v>
      </c>
      <c r="T21" s="116"/>
      <c r="U21" s="686"/>
      <c r="V21" s="678"/>
      <c r="W21" s="681" t="s">
        <v>631</v>
      </c>
      <c r="X21" s="681">
        <v>115</v>
      </c>
      <c r="Y21" s="681"/>
      <c r="Z21" s="1353">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1"/>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12</v>
      </c>
      <c r="AC21" s="737">
        <v>18</v>
      </c>
      <c r="AD21" s="713" t="str">
        <f t="shared" si="1"/>
        <v/>
      </c>
      <c r="AE21" s="1391" t="str">
        <f t="shared" si="0"/>
        <v>Spymistress's Wristguards</v>
      </c>
    </row>
    <row r="22" spans="1:31" s="208" customFormat="1">
      <c r="A22" s="10" t="s">
        <v>1303</v>
      </c>
      <c r="B22" s="116">
        <v>32580</v>
      </c>
      <c r="C22" s="116">
        <v>3</v>
      </c>
      <c r="D22" s="114"/>
      <c r="E22" s="114">
        <v>20</v>
      </c>
      <c r="F22" s="114">
        <v>50</v>
      </c>
      <c r="G22" s="116"/>
      <c r="H22" s="116"/>
      <c r="I22" s="116">
        <v>27</v>
      </c>
      <c r="J22" s="114"/>
      <c r="K22" s="116"/>
      <c r="L22" s="114">
        <v>34</v>
      </c>
      <c r="M22" s="116"/>
      <c r="N22" s="116"/>
      <c r="O22" s="116"/>
      <c r="P22" s="114"/>
      <c r="Q22" s="114" t="s">
        <v>1032</v>
      </c>
      <c r="R22" s="114"/>
      <c r="S22" s="114" t="s">
        <v>684</v>
      </c>
      <c r="T22" s="116"/>
      <c r="U22" s="686"/>
      <c r="V22" s="678"/>
      <c r="W22" s="681" t="s">
        <v>191</v>
      </c>
      <c r="X22" s="681">
        <v>141</v>
      </c>
      <c r="Y22" s="681"/>
      <c r="Z22" s="1353">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1"/>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1" t="str">
        <f t="shared" si="0"/>
        <v>Swiftstrike Bracers</v>
      </c>
    </row>
    <row r="23" spans="1:31" s="208" customFormat="1">
      <c r="A23" s="10" t="s">
        <v>1304</v>
      </c>
      <c r="B23" s="116">
        <v>29966</v>
      </c>
      <c r="C23" s="116">
        <v>2</v>
      </c>
      <c r="D23" s="114"/>
      <c r="E23" s="114">
        <v>24</v>
      </c>
      <c r="F23" s="114">
        <v>52</v>
      </c>
      <c r="G23" s="116"/>
      <c r="H23" s="116"/>
      <c r="I23" s="116"/>
      <c r="J23" s="114"/>
      <c r="K23" s="116"/>
      <c r="L23" s="114">
        <v>24</v>
      </c>
      <c r="M23" s="116"/>
      <c r="N23" s="116"/>
      <c r="O23" s="116"/>
      <c r="P23" s="114"/>
      <c r="Q23" s="114" t="s">
        <v>1038</v>
      </c>
      <c r="R23" s="114" t="s">
        <v>1065</v>
      </c>
      <c r="S23" s="114" t="s">
        <v>679</v>
      </c>
      <c r="T23" s="116"/>
      <c r="U23" s="686"/>
      <c r="V23" s="678"/>
      <c r="W23" s="681" t="s">
        <v>191</v>
      </c>
      <c r="X23" s="681">
        <v>128</v>
      </c>
      <c r="Y23" s="681"/>
      <c r="Z23" s="1353">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1"/>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1" t="str">
        <f t="shared" si="0"/>
        <v>Vambraces of Ending</v>
      </c>
    </row>
    <row r="24" spans="1:31" s="208" customFormat="1">
      <c r="A24" s="10" t="s">
        <v>1305</v>
      </c>
      <c r="B24" s="116">
        <v>32814</v>
      </c>
      <c r="C24" s="116">
        <v>2</v>
      </c>
      <c r="D24" s="114"/>
      <c r="E24" s="114">
        <v>21</v>
      </c>
      <c r="F24" s="114">
        <v>20</v>
      </c>
      <c r="G24" s="116">
        <v>9</v>
      </c>
      <c r="H24" s="116"/>
      <c r="I24" s="116"/>
      <c r="J24" s="114"/>
      <c r="K24" s="116"/>
      <c r="L24" s="114">
        <v>29</v>
      </c>
      <c r="M24" s="116"/>
      <c r="N24" s="116">
        <v>15</v>
      </c>
      <c r="O24" s="116"/>
      <c r="P24" s="114"/>
      <c r="Q24" s="114" t="s">
        <v>1042</v>
      </c>
      <c r="R24" s="114" t="s">
        <v>1069</v>
      </c>
      <c r="S24" s="114" t="s">
        <v>676</v>
      </c>
      <c r="T24" s="116"/>
      <c r="U24" s="686"/>
      <c r="V24" s="678"/>
      <c r="W24" s="681" t="s">
        <v>191</v>
      </c>
      <c r="X24" s="681">
        <v>126</v>
      </c>
      <c r="Y24" s="681"/>
      <c r="Z24" s="1353">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1"/>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1" t="str">
        <f t="shared" si="0"/>
        <v>Veteran's Leather Bracers</v>
      </c>
    </row>
    <row r="25" spans="1:31" s="208" customFormat="1">
      <c r="A25" s="130" t="s">
        <v>791</v>
      </c>
      <c r="B25" s="116">
        <v>33881</v>
      </c>
      <c r="C25" s="116">
        <v>3</v>
      </c>
      <c r="D25" s="114">
        <v>22</v>
      </c>
      <c r="E25" s="114">
        <v>22</v>
      </c>
      <c r="F25" s="114"/>
      <c r="G25" s="116">
        <v>21</v>
      </c>
      <c r="H25" s="116"/>
      <c r="I25" s="116"/>
      <c r="J25" s="114"/>
      <c r="K25" s="116"/>
      <c r="L25" s="114">
        <v>29</v>
      </c>
      <c r="M25" s="116"/>
      <c r="N25" s="116">
        <v>17</v>
      </c>
      <c r="O25" s="116"/>
      <c r="P25" s="114"/>
      <c r="Q25" s="114" t="s">
        <v>1034</v>
      </c>
      <c r="R25" s="114" t="s">
        <v>1069</v>
      </c>
      <c r="S25" s="114" t="s">
        <v>676</v>
      </c>
      <c r="T25" s="116"/>
      <c r="U25" s="686"/>
      <c r="V25" s="678"/>
      <c r="W25" s="681" t="s">
        <v>191</v>
      </c>
      <c r="X25" s="681">
        <v>141</v>
      </c>
      <c r="Y25" s="681"/>
      <c r="Z25" s="1353">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1"/>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1" t="str">
        <f t="shared" si="0"/>
        <v>Vindicator's Dragonhide Bracers</v>
      </c>
    </row>
    <row r="26" spans="1:31">
      <c r="A26" s="130" t="s">
        <v>1423</v>
      </c>
      <c r="B26" s="116">
        <v>33893</v>
      </c>
      <c r="C26" s="116">
        <v>3</v>
      </c>
      <c r="D26" s="114"/>
      <c r="E26" s="114">
        <v>25</v>
      </c>
      <c r="F26" s="114">
        <v>26</v>
      </c>
      <c r="G26" s="116">
        <v>12</v>
      </c>
      <c r="H26" s="116"/>
      <c r="I26" s="116"/>
      <c r="J26" s="114"/>
      <c r="K26" s="116"/>
      <c r="L26" s="114">
        <v>33</v>
      </c>
      <c r="M26" s="116"/>
      <c r="N26" s="116">
        <v>15</v>
      </c>
      <c r="O26" s="116"/>
      <c r="P26" s="114"/>
      <c r="Q26" s="114" t="s">
        <v>1042</v>
      </c>
      <c r="R26" s="114" t="s">
        <v>1069</v>
      </c>
      <c r="S26" s="114" t="s">
        <v>676</v>
      </c>
      <c r="T26" s="116"/>
      <c r="U26" s="686"/>
      <c r="V26" s="678"/>
      <c r="W26" s="681" t="s">
        <v>191</v>
      </c>
      <c r="X26" s="681">
        <v>141</v>
      </c>
      <c r="Y26" s="681"/>
      <c r="Z26" s="1353">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1"/>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1" t="str">
        <f t="shared" si="0"/>
        <v>Vindicator's Leather Bracers</v>
      </c>
    </row>
    <row r="27" spans="1:31">
      <c r="A27" s="130" t="s">
        <v>2494</v>
      </c>
      <c r="B27" s="116">
        <v>32532</v>
      </c>
      <c r="C27" s="116">
        <v>1</v>
      </c>
      <c r="D27" s="114"/>
      <c r="E27" s="114"/>
      <c r="F27" s="114">
        <v>60</v>
      </c>
      <c r="G27" s="116">
        <v>12</v>
      </c>
      <c r="H27" s="116"/>
      <c r="I27" s="116"/>
      <c r="J27" s="114"/>
      <c r="K27" s="116"/>
      <c r="L27" s="114"/>
      <c r="M27" s="116"/>
      <c r="N27" s="116"/>
      <c r="O27" s="116"/>
      <c r="P27" s="114"/>
      <c r="Q27" s="114" t="s">
        <v>1032</v>
      </c>
      <c r="R27" s="114"/>
      <c r="S27" s="114" t="s">
        <v>672</v>
      </c>
      <c r="T27" s="116"/>
      <c r="U27" s="686"/>
      <c r="V27" s="678"/>
      <c r="W27" s="681" t="s">
        <v>631</v>
      </c>
      <c r="X27" s="681">
        <v>115</v>
      </c>
      <c r="Y27" s="681"/>
      <c r="Z27" s="1353">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1"/>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13</v>
      </c>
      <c r="AC27" s="737">
        <v>24</v>
      </c>
      <c r="AD27" s="713" t="str">
        <f t="shared" si="1"/>
        <v/>
      </c>
      <c r="AE27" s="1391"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3">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1"/>
      <c r="AB28" s="680">
        <f>MAX($AB$1:AB27)+1</f>
        <v>14</v>
      </c>
      <c r="AC28" s="737">
        <v>25</v>
      </c>
      <c r="AD28" s="713" t="str">
        <f t="shared" si="1"/>
        <v/>
      </c>
    </row>
    <row r="29" spans="1:31">
      <c r="A29" s="10" t="s">
        <v>2206</v>
      </c>
      <c r="B29" s="114"/>
      <c r="C29" s="114"/>
      <c r="D29" s="114"/>
      <c r="E29" s="114"/>
      <c r="F29" s="114"/>
      <c r="G29" s="116"/>
      <c r="H29" s="116"/>
      <c r="I29" s="114"/>
      <c r="J29" s="114"/>
      <c r="K29" s="114"/>
      <c r="L29" s="114"/>
      <c r="M29" s="116"/>
      <c r="N29" s="116"/>
      <c r="O29" s="114"/>
      <c r="P29" s="114"/>
      <c r="Q29" s="114" t="s">
        <v>1032</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1306</v>
      </c>
      <c r="B32" s="729" t="s">
        <v>1933</v>
      </c>
      <c r="C32" s="729" t="s">
        <v>2795</v>
      </c>
      <c r="D32" s="730" t="s">
        <v>1213</v>
      </c>
      <c r="E32" s="730" t="s">
        <v>1214</v>
      </c>
      <c r="F32" s="730" t="s">
        <v>767</v>
      </c>
      <c r="G32" s="729" t="s">
        <v>2139</v>
      </c>
      <c r="H32" s="729" t="s">
        <v>2138</v>
      </c>
      <c r="I32" s="729" t="s">
        <v>770</v>
      </c>
      <c r="J32" s="731" t="s">
        <v>769</v>
      </c>
      <c r="K32" s="729" t="s">
        <v>759</v>
      </c>
      <c r="L32" s="730" t="s">
        <v>1215</v>
      </c>
      <c r="M32" s="729" t="s">
        <v>264</v>
      </c>
      <c r="N32" s="729" t="s">
        <v>1216</v>
      </c>
      <c r="O32" s="729" t="s">
        <v>1286</v>
      </c>
      <c r="P32" s="729" t="s">
        <v>1045</v>
      </c>
      <c r="Q32" s="730" t="s">
        <v>1046</v>
      </c>
      <c r="R32" s="730" t="s">
        <v>1940</v>
      </c>
      <c r="S32" s="730" t="s">
        <v>665</v>
      </c>
      <c r="T32" s="729"/>
      <c r="U32" s="764"/>
      <c r="V32" s="729"/>
      <c r="W32" s="764" t="s">
        <v>920</v>
      </c>
      <c r="X32" s="764"/>
      <c r="Y32" s="764"/>
      <c r="Z32" s="732" t="s">
        <v>265</v>
      </c>
      <c r="AA32" s="732"/>
      <c r="AB32" s="743">
        <v>0</v>
      </c>
      <c r="AC32" s="740"/>
      <c r="AD32" s="758" t="s">
        <v>1688</v>
      </c>
    </row>
    <row r="33" spans="1:30">
      <c r="A33" s="694" t="s">
        <v>1270</v>
      </c>
      <c r="B33" s="695">
        <v>1593</v>
      </c>
      <c r="C33" s="695">
        <v>1</v>
      </c>
      <c r="D33" s="695"/>
      <c r="E33" s="695"/>
      <c r="F33" s="695">
        <v>24</v>
      </c>
      <c r="G33" s="696"/>
      <c r="H33" s="696"/>
      <c r="I33" s="698"/>
      <c r="J33" s="695"/>
      <c r="K33" s="714"/>
      <c r="L33" s="695"/>
      <c r="M33" s="696"/>
      <c r="N33" s="714"/>
      <c r="O33" s="714"/>
      <c r="P33" s="698"/>
      <c r="Q33" s="698"/>
      <c r="R33" s="695"/>
      <c r="S33" s="695" t="s">
        <v>1688</v>
      </c>
      <c r="T33" s="714"/>
      <c r="U33" s="698"/>
      <c r="V33" s="714"/>
      <c r="W33" s="698" t="b">
        <v>0</v>
      </c>
      <c r="X33" s="698"/>
      <c r="Y33" s="698"/>
      <c r="Z33" s="1353">
        <f>($D33*dpsStr+$E33*dpsAgi+$G33*dpsCrit+$H33*dpsHit+$F33*dpsAP+$I33*dpsHaste+$J33*dpsArmor+$K33*dpsExp)-'Gear &amp; Buffs'!$AF$48</f>
        <v>0</v>
      </c>
      <c r="AA33" s="1354"/>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t="str">
        <f>" "</f>
        <v xml:space="preserve"> </v>
      </c>
    </row>
    <row r="34" spans="1:30">
      <c r="A34" s="676" t="s">
        <v>1307</v>
      </c>
      <c r="B34" s="677">
        <v>2649</v>
      </c>
      <c r="C34" s="677">
        <v>1</v>
      </c>
      <c r="D34" s="677"/>
      <c r="E34" s="677"/>
      <c r="F34" s="677"/>
      <c r="G34" s="678"/>
      <c r="H34" s="678"/>
      <c r="I34" s="681"/>
      <c r="J34" s="677"/>
      <c r="K34" s="716"/>
      <c r="L34" s="677">
        <v>12</v>
      </c>
      <c r="M34" s="681"/>
      <c r="N34" s="716"/>
      <c r="O34" s="716"/>
      <c r="P34" s="681"/>
      <c r="Q34" s="681"/>
      <c r="R34" s="677"/>
      <c r="S34" s="677" t="s">
        <v>1688</v>
      </c>
      <c r="T34" s="716"/>
      <c r="U34" s="681"/>
      <c r="V34" s="716"/>
      <c r="W34" s="681" t="b">
        <v>1</v>
      </c>
      <c r="X34" s="681"/>
      <c r="Y34" s="681"/>
      <c r="Z34" s="1353">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2161</v>
      </c>
      <c r="B35" s="677">
        <v>2648</v>
      </c>
      <c r="C35" s="677">
        <v>1</v>
      </c>
      <c r="D35" s="677"/>
      <c r="E35" s="677"/>
      <c r="F35" s="677"/>
      <c r="G35" s="678"/>
      <c r="H35" s="678"/>
      <c r="I35" s="681"/>
      <c r="J35" s="677"/>
      <c r="K35" s="716"/>
      <c r="L35" s="677"/>
      <c r="M35" s="681"/>
      <c r="N35" s="716"/>
      <c r="O35" s="716">
        <v>12</v>
      </c>
      <c r="P35" s="681"/>
      <c r="Q35" s="681"/>
      <c r="R35" s="677"/>
      <c r="S35" s="677" t="s">
        <v>1688</v>
      </c>
      <c r="T35" s="716"/>
      <c r="U35" s="681"/>
      <c r="V35" s="716"/>
      <c r="W35" s="681" t="b">
        <v>1</v>
      </c>
      <c r="X35" s="681"/>
      <c r="Y35" s="681"/>
      <c r="Z35" s="1353">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2953</v>
      </c>
      <c r="B36" s="677">
        <v>1891</v>
      </c>
      <c r="C36" s="677">
        <v>1</v>
      </c>
      <c r="D36" s="677">
        <v>4</v>
      </c>
      <c r="E36" s="677">
        <v>4</v>
      </c>
      <c r="F36" s="677"/>
      <c r="G36" s="678"/>
      <c r="H36" s="678"/>
      <c r="I36" s="681"/>
      <c r="J36" s="677"/>
      <c r="K36" s="716"/>
      <c r="L36" s="677">
        <v>4</v>
      </c>
      <c r="M36" s="678"/>
      <c r="N36" s="716"/>
      <c r="O36" s="716"/>
      <c r="P36" s="681"/>
      <c r="Q36" s="681"/>
      <c r="R36" s="677"/>
      <c r="S36" s="677" t="s">
        <v>1688</v>
      </c>
      <c r="T36" s="716"/>
      <c r="U36" s="681"/>
      <c r="V36" s="716"/>
      <c r="W36" s="681" t="b">
        <v>0</v>
      </c>
      <c r="X36" s="681"/>
      <c r="Y36" s="681"/>
      <c r="Z36" s="1353">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2812</v>
      </c>
      <c r="B37" s="677">
        <v>1885</v>
      </c>
      <c r="C37" s="677">
        <v>1</v>
      </c>
      <c r="D37" s="677">
        <v>9</v>
      </c>
      <c r="E37" s="677"/>
      <c r="F37" s="677"/>
      <c r="G37" s="678"/>
      <c r="H37" s="678"/>
      <c r="I37" s="681"/>
      <c r="J37" s="677"/>
      <c r="K37" s="716"/>
      <c r="L37" s="677"/>
      <c r="M37" s="678"/>
      <c r="N37" s="716"/>
      <c r="O37" s="716"/>
      <c r="P37" s="681"/>
      <c r="Q37" s="681"/>
      <c r="R37" s="677"/>
      <c r="S37" s="677" t="s">
        <v>1688</v>
      </c>
      <c r="T37" s="716"/>
      <c r="U37" s="681"/>
      <c r="V37" s="716"/>
      <c r="W37" s="681" t="b">
        <v>0</v>
      </c>
      <c r="X37" s="681"/>
      <c r="Y37" s="681"/>
      <c r="Z37" s="1353">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2206</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W4" sqref="W4:W38"/>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2074</v>
      </c>
    </row>
    <row r="2" spans="1:25">
      <c r="A2" s="10" t="s">
        <v>2366</v>
      </c>
      <c r="B2" s="114">
        <v>22481</v>
      </c>
      <c r="C2" s="114">
        <v>1</v>
      </c>
      <c r="D2" s="114"/>
      <c r="E2" s="114"/>
      <c r="F2" s="114">
        <v>66</v>
      </c>
      <c r="G2" s="116">
        <v>14</v>
      </c>
      <c r="H2" s="116">
        <v>10</v>
      </c>
      <c r="I2" s="114"/>
      <c r="J2" s="114"/>
      <c r="K2" s="114"/>
      <c r="L2" s="114">
        <v>20</v>
      </c>
      <c r="M2" s="116"/>
      <c r="N2" s="116"/>
      <c r="O2" s="114"/>
      <c r="P2" s="114" t="s">
        <v>2334</v>
      </c>
      <c r="Q2" s="114" t="s">
        <v>1032</v>
      </c>
      <c r="R2" s="47"/>
      <c r="S2" s="114" t="s">
        <v>667</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1688</v>
      </c>
      <c r="Y2" s="1391" t="str">
        <f>HYPERLINK("https://tbc.wowhead.com/item="&amp;B2,A2)</f>
        <v>Bonescythe Gauntlets</v>
      </c>
    </row>
    <row r="3" spans="1:25">
      <c r="A3" s="10" t="s">
        <v>1988</v>
      </c>
      <c r="B3" s="114">
        <v>35032</v>
      </c>
      <c r="C3" s="114">
        <v>5</v>
      </c>
      <c r="D3" s="114"/>
      <c r="E3" s="114">
        <v>37</v>
      </c>
      <c r="F3" s="114">
        <v>48</v>
      </c>
      <c r="G3" s="116">
        <v>24</v>
      </c>
      <c r="H3" s="116"/>
      <c r="I3" s="114"/>
      <c r="J3" s="114"/>
      <c r="K3" s="114"/>
      <c r="L3" s="114">
        <v>55</v>
      </c>
      <c r="M3" s="116"/>
      <c r="N3" s="116">
        <v>24</v>
      </c>
      <c r="O3" s="114"/>
      <c r="P3" s="114" t="s">
        <v>1067</v>
      </c>
      <c r="Q3" s="114" t="s">
        <v>1032</v>
      </c>
      <c r="R3" s="47"/>
      <c r="S3" s="114" t="s">
        <v>676</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Gloves</v>
      </c>
    </row>
    <row r="4" spans="1:25">
      <c r="A4" s="10" t="s">
        <v>1308</v>
      </c>
      <c r="B4" s="114">
        <v>29503</v>
      </c>
      <c r="C4" s="114">
        <v>1</v>
      </c>
      <c r="D4" s="114"/>
      <c r="E4" s="114"/>
      <c r="F4" s="114">
        <v>50</v>
      </c>
      <c r="G4" s="116">
        <v>25</v>
      </c>
      <c r="H4" s="116">
        <v>20</v>
      </c>
      <c r="I4" s="114"/>
      <c r="J4" s="114"/>
      <c r="K4" s="114"/>
      <c r="L4" s="114">
        <v>33</v>
      </c>
      <c r="M4" s="116"/>
      <c r="N4" s="116"/>
      <c r="O4" s="114"/>
      <c r="P4" s="114"/>
      <c r="Q4" s="114" t="s">
        <v>1032</v>
      </c>
      <c r="R4" s="114"/>
      <c r="S4" s="114" t="s">
        <v>684</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1" t="str">
        <f t="shared" si="0"/>
        <v>Cobrascale Gloves</v>
      </c>
    </row>
    <row r="5" spans="1:25">
      <c r="A5" s="10" t="s">
        <v>1309</v>
      </c>
      <c r="B5" s="114">
        <v>30145</v>
      </c>
      <c r="C5" s="114">
        <v>2</v>
      </c>
      <c r="D5" s="114"/>
      <c r="E5" s="114">
        <v>36</v>
      </c>
      <c r="F5" s="114">
        <v>70</v>
      </c>
      <c r="G5" s="116"/>
      <c r="H5" s="116">
        <v>24</v>
      </c>
      <c r="I5" s="114"/>
      <c r="J5" s="114"/>
      <c r="K5" s="114"/>
      <c r="L5" s="114">
        <v>34</v>
      </c>
      <c r="M5" s="116"/>
      <c r="N5" s="116"/>
      <c r="O5" s="114"/>
      <c r="P5" s="114" t="s">
        <v>1062</v>
      </c>
      <c r="Q5" s="114" t="s">
        <v>1032</v>
      </c>
      <c r="R5" s="114"/>
      <c r="S5" s="114" t="s">
        <v>666</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1" t="str">
        <f t="shared" si="0"/>
        <v>Deathmantle Handguards</v>
      </c>
    </row>
    <row r="6" spans="1:25">
      <c r="A6" s="10" t="s">
        <v>1310</v>
      </c>
      <c r="B6" s="114">
        <v>24365</v>
      </c>
      <c r="C6" s="114">
        <v>1</v>
      </c>
      <c r="D6" s="114"/>
      <c r="E6" s="114"/>
      <c r="F6" s="114">
        <v>52</v>
      </c>
      <c r="G6" s="116">
        <v>12</v>
      </c>
      <c r="H6" s="116"/>
      <c r="I6" s="114"/>
      <c r="J6" s="114"/>
      <c r="K6" s="114"/>
      <c r="L6" s="114">
        <v>18</v>
      </c>
      <c r="M6" s="116"/>
      <c r="N6" s="116"/>
      <c r="O6" s="114"/>
      <c r="P6" s="114"/>
      <c r="Q6" s="114" t="s">
        <v>1040</v>
      </c>
      <c r="R6" s="114" t="s">
        <v>1446</v>
      </c>
      <c r="S6" s="114" t="s">
        <v>672</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1" t="str">
        <f t="shared" si="0"/>
        <v>Deft Handguards</v>
      </c>
    </row>
    <row r="7" spans="1:25">
      <c r="A7" s="130" t="s">
        <v>2367</v>
      </c>
      <c r="B7" s="114">
        <v>32865</v>
      </c>
      <c r="C7" s="114">
        <v>3</v>
      </c>
      <c r="D7" s="114"/>
      <c r="E7" s="114">
        <v>21</v>
      </c>
      <c r="F7" s="114">
        <v>30</v>
      </c>
      <c r="G7" s="116"/>
      <c r="H7" s="116"/>
      <c r="I7" s="114"/>
      <c r="J7" s="114"/>
      <c r="K7" s="114"/>
      <c r="L7" s="114">
        <v>22</v>
      </c>
      <c r="M7" s="116"/>
      <c r="N7" s="116"/>
      <c r="O7" s="114"/>
      <c r="P7" s="114"/>
      <c r="Q7" s="114" t="s">
        <v>1036</v>
      </c>
      <c r="R7" s="114" t="s">
        <v>22</v>
      </c>
      <c r="S7" s="114" t="s">
        <v>674</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1" t="str">
        <f t="shared" si="0"/>
        <v>Drake Tamer's Gloves</v>
      </c>
    </row>
    <row r="8" spans="1:25">
      <c r="A8" s="10" t="s">
        <v>1311</v>
      </c>
      <c r="B8" s="114">
        <v>25685</v>
      </c>
      <c r="C8" s="114">
        <v>1</v>
      </c>
      <c r="D8" s="114"/>
      <c r="E8" s="114"/>
      <c r="F8" s="114">
        <v>36</v>
      </c>
      <c r="G8" s="116">
        <v>24</v>
      </c>
      <c r="H8" s="116">
        <v>17</v>
      </c>
      <c r="I8" s="114"/>
      <c r="J8" s="114"/>
      <c r="K8" s="114"/>
      <c r="L8" s="114"/>
      <c r="M8" s="116"/>
      <c r="N8" s="116"/>
      <c r="O8" s="114"/>
      <c r="P8" s="114" t="s">
        <v>1312</v>
      </c>
      <c r="Q8" s="114" t="s">
        <v>1044</v>
      </c>
      <c r="R8" s="114" t="s">
        <v>1464</v>
      </c>
      <c r="S8" s="114" t="s">
        <v>684</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1" t="str">
        <f t="shared" si="0"/>
        <v>Fel Leather Gloves</v>
      </c>
    </row>
    <row r="9" spans="1:25">
      <c r="A9" s="10" t="s">
        <v>2815</v>
      </c>
      <c r="B9" s="114">
        <v>30341</v>
      </c>
      <c r="C9" s="114">
        <v>1</v>
      </c>
      <c r="D9" s="114">
        <v>18</v>
      </c>
      <c r="E9" s="114">
        <v>17</v>
      </c>
      <c r="F9" s="114"/>
      <c r="G9" s="116"/>
      <c r="H9" s="116"/>
      <c r="I9" s="114"/>
      <c r="J9" s="114"/>
      <c r="K9" s="114">
        <v>18</v>
      </c>
      <c r="L9" s="114">
        <v>27</v>
      </c>
      <c r="M9" s="116"/>
      <c r="N9" s="116"/>
      <c r="O9" s="114"/>
      <c r="P9" s="114"/>
      <c r="Q9" s="114" t="s">
        <v>1032</v>
      </c>
      <c r="R9" s="114"/>
      <c r="S9" s="114" t="s">
        <v>674</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1"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1067</v>
      </c>
      <c r="Q10" s="114" t="s">
        <v>1032</v>
      </c>
      <c r="R10" s="114"/>
      <c r="S10" s="114" t="s">
        <v>676</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1"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1036</v>
      </c>
      <c r="R11" s="114" t="s">
        <v>1448</v>
      </c>
      <c r="S11" s="114" t="s">
        <v>671</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1" t="str">
        <f t="shared" si="0"/>
        <v>Gloves of Dexterous Manipulation</v>
      </c>
    </row>
    <row r="12" spans="1:25">
      <c r="A12" s="10" t="s">
        <v>706</v>
      </c>
      <c r="B12" s="114">
        <v>34370</v>
      </c>
      <c r="C12" s="114">
        <v>5</v>
      </c>
      <c r="D12" s="114"/>
      <c r="E12" s="114">
        <v>30</v>
      </c>
      <c r="F12" s="114">
        <v>90</v>
      </c>
      <c r="G12" s="116">
        <v>30</v>
      </c>
      <c r="H12" s="116"/>
      <c r="I12" s="114"/>
      <c r="J12" s="114">
        <v>154</v>
      </c>
      <c r="K12" s="114"/>
      <c r="L12" s="114">
        <v>33</v>
      </c>
      <c r="M12" s="116"/>
      <c r="N12" s="116"/>
      <c r="O12" s="114"/>
      <c r="P12" s="114"/>
      <c r="Q12" s="114" t="s">
        <v>1453</v>
      </c>
      <c r="R12" s="114" t="s">
        <v>1448</v>
      </c>
      <c r="S12" s="114" t="s">
        <v>684</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1" t="str">
        <f t="shared" si="0"/>
        <v>Gloves of Immortal Dusk</v>
      </c>
    </row>
    <row r="13" spans="1:25">
      <c r="A13" s="10" t="s">
        <v>968</v>
      </c>
      <c r="B13" s="116">
        <v>34408</v>
      </c>
      <c r="C13" s="116">
        <v>5</v>
      </c>
      <c r="D13" s="114">
        <v>34</v>
      </c>
      <c r="E13" s="114">
        <v>34</v>
      </c>
      <c r="F13" s="114"/>
      <c r="G13" s="116"/>
      <c r="H13" s="116"/>
      <c r="I13" s="116"/>
      <c r="J13" s="114">
        <v>140</v>
      </c>
      <c r="K13" s="116"/>
      <c r="L13" s="114">
        <v>45</v>
      </c>
      <c r="M13" s="116"/>
      <c r="N13" s="116"/>
      <c r="O13" s="116"/>
      <c r="P13" s="114"/>
      <c r="Q13" s="114" t="s">
        <v>1036</v>
      </c>
      <c r="R13" s="114" t="s">
        <v>22</v>
      </c>
      <c r="S13" s="114" t="s">
        <v>870</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1" t="str">
        <f t="shared" si="0"/>
        <v>Gloves of the Forest Drifter</v>
      </c>
    </row>
    <row r="14" spans="1:25">
      <c r="A14" s="10" t="s">
        <v>2368</v>
      </c>
      <c r="B14" s="116">
        <v>30003</v>
      </c>
      <c r="C14" s="116">
        <v>1</v>
      </c>
      <c r="D14" s="114"/>
      <c r="E14" s="114">
        <v>16</v>
      </c>
      <c r="F14" s="114">
        <v>60</v>
      </c>
      <c r="G14" s="116"/>
      <c r="H14" s="116">
        <v>8</v>
      </c>
      <c r="I14" s="116"/>
      <c r="J14" s="114"/>
      <c r="K14" s="116"/>
      <c r="L14" s="114">
        <v>12</v>
      </c>
      <c r="M14" s="116"/>
      <c r="N14" s="116"/>
      <c r="O14" s="116"/>
      <c r="P14" s="114"/>
      <c r="Q14" s="114" t="s">
        <v>1032</v>
      </c>
      <c r="R14" s="114"/>
      <c r="S14" s="114" t="s">
        <v>674</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1"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1032</v>
      </c>
      <c r="R15" s="114"/>
      <c r="S15" s="114" t="s">
        <v>679</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1"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1036</v>
      </c>
      <c r="R16" s="114" t="s">
        <v>1451</v>
      </c>
      <c r="S16" s="114" t="s">
        <v>672</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1"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1032</v>
      </c>
      <c r="R17" s="114"/>
      <c r="S17" s="114" t="s">
        <v>682</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1"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1032</v>
      </c>
      <c r="R18" s="114"/>
      <c r="S18" s="114" t="s">
        <v>671</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1" t="str">
        <f t="shared" si="0"/>
        <v>Grips of the Deftness</v>
      </c>
    </row>
    <row r="19" spans="1:25">
      <c r="A19" s="10" t="s">
        <v>840</v>
      </c>
      <c r="B19" s="114">
        <v>27509</v>
      </c>
      <c r="C19" s="114">
        <v>1</v>
      </c>
      <c r="D19" s="114"/>
      <c r="E19" s="114">
        <v>25</v>
      </c>
      <c r="F19" s="114">
        <v>50</v>
      </c>
      <c r="G19" s="116"/>
      <c r="H19" s="116">
        <v>17</v>
      </c>
      <c r="I19" s="114"/>
      <c r="J19" s="114"/>
      <c r="K19" s="114"/>
      <c r="L19" s="114">
        <v>24</v>
      </c>
      <c r="M19" s="116"/>
      <c r="N19" s="116"/>
      <c r="O19" s="114"/>
      <c r="P19" s="114" t="s">
        <v>2145</v>
      </c>
      <c r="Q19" s="114" t="s">
        <v>1032</v>
      </c>
      <c r="R19" s="114"/>
      <c r="S19" s="114" t="s">
        <v>672</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1" t="str">
        <f t="shared" si="0"/>
        <v>Handgrips of Assassination</v>
      </c>
    </row>
    <row r="20" spans="1:25">
      <c r="A20" s="10" t="s">
        <v>1885</v>
      </c>
      <c r="B20" s="114">
        <v>34911</v>
      </c>
      <c r="C20" s="114">
        <v>5</v>
      </c>
      <c r="D20" s="114">
        <v>30</v>
      </c>
      <c r="E20" s="114">
        <v>35</v>
      </c>
      <c r="F20" s="114"/>
      <c r="G20" s="116"/>
      <c r="H20" s="116"/>
      <c r="I20" s="114">
        <v>13</v>
      </c>
      <c r="J20" s="114"/>
      <c r="K20" s="114"/>
      <c r="L20" s="114">
        <v>36</v>
      </c>
      <c r="M20" s="116"/>
      <c r="N20" s="116"/>
      <c r="O20" s="114"/>
      <c r="P20" s="114"/>
      <c r="Q20" s="114" t="s">
        <v>1042</v>
      </c>
      <c r="R20" s="114" t="s">
        <v>1462</v>
      </c>
      <c r="S20" s="114" t="s">
        <v>690</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1" t="str">
        <f t="shared" si="0"/>
        <v>Handwraps of the Aggressor</v>
      </c>
    </row>
    <row r="21" spans="1:25">
      <c r="A21" s="10" t="s">
        <v>841</v>
      </c>
      <c r="B21" s="114">
        <v>28776</v>
      </c>
      <c r="C21" s="114">
        <v>1</v>
      </c>
      <c r="D21" s="114"/>
      <c r="E21" s="114"/>
      <c r="F21" s="114">
        <v>72</v>
      </c>
      <c r="G21" s="116">
        <v>26</v>
      </c>
      <c r="H21" s="116"/>
      <c r="I21" s="114"/>
      <c r="J21" s="114"/>
      <c r="K21" s="114"/>
      <c r="L21" s="114">
        <v>31</v>
      </c>
      <c r="M21" s="116"/>
      <c r="N21" s="116"/>
      <c r="O21" s="114"/>
      <c r="P21" s="114"/>
      <c r="Q21" s="114" t="s">
        <v>842</v>
      </c>
      <c r="R21" s="114" t="s">
        <v>1448</v>
      </c>
      <c r="S21" s="114" t="s">
        <v>678</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1" t="str">
        <f t="shared" si="0"/>
        <v>Liar's Tongue Gloves</v>
      </c>
    </row>
    <row r="22" spans="1:25">
      <c r="A22" s="130" t="s">
        <v>2496</v>
      </c>
      <c r="B22" s="114">
        <v>29357</v>
      </c>
      <c r="C22" s="114">
        <v>1</v>
      </c>
      <c r="D22" s="114"/>
      <c r="E22" s="114">
        <v>23</v>
      </c>
      <c r="F22" s="114">
        <v>58</v>
      </c>
      <c r="G22" s="116"/>
      <c r="H22" s="116"/>
      <c r="I22" s="114"/>
      <c r="J22" s="114"/>
      <c r="K22" s="114"/>
      <c r="L22" s="114">
        <v>25</v>
      </c>
      <c r="M22" s="116"/>
      <c r="N22" s="116"/>
      <c r="O22" s="114"/>
      <c r="P22" s="114"/>
      <c r="Q22" s="114" t="s">
        <v>1032</v>
      </c>
      <c r="R22" s="114"/>
      <c r="S22" s="114" t="s">
        <v>690</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1" t="str">
        <f t="shared" si="0"/>
        <v>Master Thief's Gloves</v>
      </c>
    </row>
    <row r="23" spans="1:25">
      <c r="A23" s="10" t="s">
        <v>843</v>
      </c>
      <c r="B23" s="114">
        <v>31998</v>
      </c>
      <c r="C23" s="114">
        <v>2</v>
      </c>
      <c r="D23" s="114"/>
      <c r="E23" s="114">
        <v>31</v>
      </c>
      <c r="F23" s="114">
        <v>34</v>
      </c>
      <c r="G23" s="116">
        <v>16</v>
      </c>
      <c r="H23" s="116"/>
      <c r="I23" s="114"/>
      <c r="J23" s="114"/>
      <c r="K23" s="114"/>
      <c r="L23" s="114">
        <v>45</v>
      </c>
      <c r="M23" s="116"/>
      <c r="N23" s="116">
        <v>24</v>
      </c>
      <c r="O23" s="114"/>
      <c r="P23" s="114" t="s">
        <v>1067</v>
      </c>
      <c r="Q23" s="114" t="s">
        <v>1032</v>
      </c>
      <c r="R23" s="114"/>
      <c r="S23" s="114" t="s">
        <v>676</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1" t="str">
        <f t="shared" si="0"/>
        <v>Merciless Gladiator's Leather Gloves</v>
      </c>
    </row>
    <row r="24" spans="1:25">
      <c r="A24" s="10" t="s">
        <v>2075</v>
      </c>
      <c r="B24" s="114">
        <v>29048</v>
      </c>
      <c r="C24" s="114">
        <v>1</v>
      </c>
      <c r="D24" s="114"/>
      <c r="E24" s="114"/>
      <c r="F24" s="114">
        <v>72</v>
      </c>
      <c r="G24" s="116">
        <v>25</v>
      </c>
      <c r="H24" s="116">
        <v>17</v>
      </c>
      <c r="I24" s="114"/>
      <c r="J24" s="114"/>
      <c r="K24" s="114"/>
      <c r="L24" s="114">
        <v>34</v>
      </c>
      <c r="M24" s="116"/>
      <c r="N24" s="116"/>
      <c r="O24" s="114"/>
      <c r="P24" s="114" t="s">
        <v>1077</v>
      </c>
      <c r="Q24" s="114" t="s">
        <v>1032</v>
      </c>
      <c r="R24" s="114"/>
      <c r="S24" s="114" t="s">
        <v>671</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1" t="str">
        <f t="shared" si="0"/>
        <v>Netherblade Gloves</v>
      </c>
    </row>
    <row r="25" spans="1:25">
      <c r="A25" s="10" t="s">
        <v>2369</v>
      </c>
      <c r="B25" s="114">
        <v>31439</v>
      </c>
      <c r="C25" s="114">
        <v>1</v>
      </c>
      <c r="D25" s="114"/>
      <c r="E25" s="114">
        <v>15</v>
      </c>
      <c r="F25" s="114">
        <v>54</v>
      </c>
      <c r="G25" s="116"/>
      <c r="H25" s="116">
        <v>11</v>
      </c>
      <c r="I25" s="114"/>
      <c r="J25" s="114"/>
      <c r="K25" s="114"/>
      <c r="L25" s="114"/>
      <c r="M25" s="116"/>
      <c r="N25" s="116"/>
      <c r="O25" s="114"/>
      <c r="P25" s="114"/>
      <c r="Q25" s="114" t="s">
        <v>1032</v>
      </c>
      <c r="R25" s="114"/>
      <c r="S25" s="114" t="s">
        <v>674</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1" t="str">
        <f t="shared" si="0"/>
        <v>Precise Gloves of Alacrity</v>
      </c>
    </row>
    <row r="26" spans="1:25">
      <c r="A26" s="10" t="s">
        <v>2497</v>
      </c>
      <c r="B26" s="114">
        <v>35468</v>
      </c>
      <c r="C26" s="114">
        <v>1</v>
      </c>
      <c r="D26" s="114"/>
      <c r="E26" s="114">
        <v>21</v>
      </c>
      <c r="F26" s="114">
        <v>22</v>
      </c>
      <c r="G26" s="116">
        <v>11</v>
      </c>
      <c r="H26" s="116"/>
      <c r="I26" s="114"/>
      <c r="J26" s="114"/>
      <c r="K26" s="114"/>
      <c r="L26" s="114">
        <v>31</v>
      </c>
      <c r="M26" s="116"/>
      <c r="N26" s="116">
        <v>16</v>
      </c>
      <c r="O26" s="114"/>
      <c r="P26" s="114" t="s">
        <v>2858</v>
      </c>
      <c r="Q26" s="114" t="s">
        <v>1032</v>
      </c>
      <c r="R26" s="114"/>
      <c r="S26" s="114" t="s">
        <v>675</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1" t="str">
        <f t="shared" si="0"/>
        <v>Opportunist's Leather Gloves (A)</v>
      </c>
    </row>
    <row r="27" spans="1:25">
      <c r="A27" s="10" t="s">
        <v>2498</v>
      </c>
      <c r="B27" s="114">
        <v>35366</v>
      </c>
      <c r="C27" s="114">
        <v>1</v>
      </c>
      <c r="D27" s="114"/>
      <c r="E27" s="114">
        <v>21</v>
      </c>
      <c r="F27" s="114">
        <v>22</v>
      </c>
      <c r="G27" s="116">
        <v>11</v>
      </c>
      <c r="H27" s="116"/>
      <c r="I27" s="114"/>
      <c r="J27" s="114"/>
      <c r="K27" s="114"/>
      <c r="L27" s="114">
        <v>31</v>
      </c>
      <c r="M27" s="116"/>
      <c r="N27" s="116">
        <v>16</v>
      </c>
      <c r="O27" s="114"/>
      <c r="P27" s="114" t="s">
        <v>2858</v>
      </c>
      <c r="Q27" s="114" t="s">
        <v>1032</v>
      </c>
      <c r="R27" s="114"/>
      <c r="S27" s="114" t="s">
        <v>675</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1" t="str">
        <f t="shared" si="0"/>
        <v>Opportunist's Leather Gloves (H)</v>
      </c>
    </row>
    <row r="28" spans="1:25">
      <c r="A28" s="10" t="s">
        <v>844</v>
      </c>
      <c r="B28" s="114">
        <v>27825</v>
      </c>
      <c r="C28" s="114">
        <v>1</v>
      </c>
      <c r="D28" s="114"/>
      <c r="E28" s="114"/>
      <c r="F28" s="114">
        <v>48</v>
      </c>
      <c r="G28" s="116">
        <v>21</v>
      </c>
      <c r="H28" s="116">
        <v>19</v>
      </c>
      <c r="I28" s="114"/>
      <c r="J28" s="114"/>
      <c r="K28" s="114"/>
      <c r="L28" s="114">
        <v>16</v>
      </c>
      <c r="M28" s="116"/>
      <c r="N28" s="116"/>
      <c r="O28" s="114"/>
      <c r="P28" s="114"/>
      <c r="Q28" s="114" t="s">
        <v>1032</v>
      </c>
      <c r="R28" s="114"/>
      <c r="S28" s="114" t="s">
        <v>672</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Predatory Gloves</v>
      </c>
    </row>
    <row r="29" spans="1:25">
      <c r="A29" s="10" t="s">
        <v>845</v>
      </c>
      <c r="B29" s="114">
        <v>25969</v>
      </c>
      <c r="C29" s="114">
        <v>1</v>
      </c>
      <c r="D29" s="114"/>
      <c r="E29" s="114">
        <v>15</v>
      </c>
      <c r="F29" s="114"/>
      <c r="G29" s="116">
        <v>21</v>
      </c>
      <c r="H29" s="116">
        <v>15</v>
      </c>
      <c r="I29" s="114"/>
      <c r="J29" s="114"/>
      <c r="K29" s="114"/>
      <c r="L29" s="114"/>
      <c r="M29" s="116"/>
      <c r="N29" s="116"/>
      <c r="O29" s="114"/>
      <c r="P29" s="114"/>
      <c r="Q29" s="114" t="s">
        <v>1044</v>
      </c>
      <c r="R29" s="114" t="s">
        <v>1051</v>
      </c>
      <c r="S29" s="114" t="s">
        <v>674</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1" t="str">
        <f t="shared" si="0"/>
        <v>Rapscallion's Touch</v>
      </c>
    </row>
    <row r="30" spans="1:25">
      <c r="A30" s="10" t="s">
        <v>963</v>
      </c>
      <c r="B30" s="114">
        <v>34234</v>
      </c>
      <c r="C30" s="114">
        <v>5</v>
      </c>
      <c r="D30" s="114"/>
      <c r="E30" s="114">
        <v>41</v>
      </c>
      <c r="F30" s="114">
        <v>82</v>
      </c>
      <c r="G30" s="116"/>
      <c r="H30" s="116"/>
      <c r="I30" s="114">
        <v>30</v>
      </c>
      <c r="J30" s="114"/>
      <c r="K30" s="114"/>
      <c r="L30" s="114">
        <v>33</v>
      </c>
      <c r="M30" s="116"/>
      <c r="N30" s="116"/>
      <c r="O30" s="114"/>
      <c r="P30" s="114"/>
      <c r="Q30" s="114" t="s">
        <v>1036</v>
      </c>
      <c r="R30" s="114" t="s">
        <v>22</v>
      </c>
      <c r="S30" s="114" t="s">
        <v>870</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Shadowed Gauntlets of Paroxysm</v>
      </c>
    </row>
    <row r="31" spans="1:25">
      <c r="A31" s="10" t="s">
        <v>846</v>
      </c>
      <c r="B31" s="114">
        <v>31026</v>
      </c>
      <c r="C31" s="114">
        <v>3</v>
      </c>
      <c r="D31" s="114"/>
      <c r="E31" s="114">
        <v>34</v>
      </c>
      <c r="F31" s="114">
        <v>68</v>
      </c>
      <c r="G31" s="116"/>
      <c r="H31" s="116">
        <v>18</v>
      </c>
      <c r="I31" s="114"/>
      <c r="J31" s="114">
        <v>175</v>
      </c>
      <c r="K31" s="114"/>
      <c r="L31" s="114">
        <v>36</v>
      </c>
      <c r="M31" s="116"/>
      <c r="N31" s="116"/>
      <c r="O31" s="114"/>
      <c r="P31" s="114" t="s">
        <v>998</v>
      </c>
      <c r="Q31" s="114" t="s">
        <v>1038</v>
      </c>
      <c r="R31" s="114" t="s">
        <v>1065</v>
      </c>
      <c r="S31" s="114" t="s">
        <v>683</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Slayer's Handguards</v>
      </c>
    </row>
    <row r="32" spans="1:25">
      <c r="A32" s="130" t="s">
        <v>1433</v>
      </c>
      <c r="B32" s="114">
        <v>33539</v>
      </c>
      <c r="C32" s="114">
        <v>3</v>
      </c>
      <c r="D32" s="114"/>
      <c r="E32" s="114">
        <v>30</v>
      </c>
      <c r="F32" s="114">
        <v>68</v>
      </c>
      <c r="G32" s="116"/>
      <c r="H32" s="116"/>
      <c r="I32" s="114">
        <v>25</v>
      </c>
      <c r="J32" s="114"/>
      <c r="K32" s="114"/>
      <c r="L32" s="114">
        <v>28</v>
      </c>
      <c r="M32" s="116"/>
      <c r="N32" s="116"/>
      <c r="O32" s="114"/>
      <c r="P32" s="114"/>
      <c r="Q32" s="114" t="s">
        <v>1032</v>
      </c>
      <c r="R32" s="47"/>
      <c r="S32" s="114" t="s">
        <v>690</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Trickster's Stickyfingers</v>
      </c>
    </row>
    <row r="33" spans="1:25">
      <c r="A33" s="10" t="s">
        <v>1527</v>
      </c>
      <c r="B33" s="114">
        <v>33700</v>
      </c>
      <c r="C33" s="114">
        <v>3</v>
      </c>
      <c r="D33" s="114"/>
      <c r="E33" s="114">
        <v>33</v>
      </c>
      <c r="F33" s="114">
        <v>40</v>
      </c>
      <c r="G33" s="116">
        <v>19</v>
      </c>
      <c r="H33" s="116"/>
      <c r="I33" s="114"/>
      <c r="J33" s="114"/>
      <c r="K33" s="114"/>
      <c r="L33" s="114">
        <v>49</v>
      </c>
      <c r="M33" s="116"/>
      <c r="N33" s="116">
        <v>24</v>
      </c>
      <c r="O33" s="114"/>
      <c r="P33" s="114" t="s">
        <v>1067</v>
      </c>
      <c r="Q33" s="114" t="s">
        <v>1032</v>
      </c>
      <c r="R33" s="47"/>
      <c r="S33" s="114" t="s">
        <v>676</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1"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1003</v>
      </c>
      <c r="Q34" s="114" t="s">
        <v>1044</v>
      </c>
      <c r="R34" s="114" t="s">
        <v>1454</v>
      </c>
      <c r="S34" s="114" t="s">
        <v>672</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Gloves</v>
      </c>
    </row>
    <row r="35" spans="1:25">
      <c r="A35" s="10" t="s">
        <v>2370</v>
      </c>
      <c r="B35" s="114">
        <v>29507</v>
      </c>
      <c r="C35" s="114">
        <v>1</v>
      </c>
      <c r="D35" s="114">
        <v>36</v>
      </c>
      <c r="E35" s="114">
        <v>18</v>
      </c>
      <c r="F35" s="114"/>
      <c r="G35" s="116"/>
      <c r="H35" s="116">
        <v>17</v>
      </c>
      <c r="I35" s="114"/>
      <c r="J35" s="114"/>
      <c r="K35" s="114"/>
      <c r="L35" s="114">
        <v>25</v>
      </c>
      <c r="M35" s="116"/>
      <c r="N35" s="116"/>
      <c r="O35" s="114"/>
      <c r="P35" s="114"/>
      <c r="Q35" s="114" t="s">
        <v>1032</v>
      </c>
      <c r="R35" s="47"/>
      <c r="S35" s="114" t="s">
        <v>684</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2206</v>
      </c>
      <c r="B37" s="114"/>
      <c r="C37" s="114"/>
      <c r="D37" s="114"/>
      <c r="E37" s="114"/>
      <c r="F37" s="114"/>
      <c r="G37" s="116"/>
      <c r="H37" s="116"/>
      <c r="I37" s="114"/>
      <c r="J37" s="114"/>
      <c r="K37" s="114"/>
      <c r="L37" s="114"/>
      <c r="M37" s="116"/>
      <c r="N37" s="116"/>
      <c r="O37" s="114"/>
      <c r="P37" s="114"/>
      <c r="Q37" s="114" t="s">
        <v>1032</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34" t="s">
        <v>1688</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1688</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t="str">
        <f>" "</f>
        <v xml:space="preserve"> </v>
      </c>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1688</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1688</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2076</v>
      </c>
      <c r="B44" s="678">
        <v>2564</v>
      </c>
      <c r="C44" s="678">
        <v>1</v>
      </c>
      <c r="D44" s="677"/>
      <c r="E44" s="677">
        <v>15</v>
      </c>
      <c r="F44" s="677"/>
      <c r="G44" s="678"/>
      <c r="H44" s="678"/>
      <c r="I44" s="678"/>
      <c r="J44" s="681"/>
      <c r="K44" s="678"/>
      <c r="L44" s="677"/>
      <c r="M44" s="678"/>
      <c r="N44" s="678"/>
      <c r="O44" s="678"/>
      <c r="P44" s="716"/>
      <c r="Q44" s="716"/>
      <c r="R44" s="716"/>
      <c r="S44" s="695" t="s">
        <v>1688</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2206</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W4" sqref="W4:W39"/>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1045</v>
      </c>
      <c r="Q1" s="703" t="s">
        <v>1046</v>
      </c>
      <c r="R1" s="703" t="s">
        <v>1940</v>
      </c>
      <c r="S1" s="703" t="s">
        <v>665</v>
      </c>
      <c r="T1" s="705"/>
      <c r="U1" s="701" t="s">
        <v>265</v>
      </c>
      <c r="V1" s="742">
        <v>0</v>
      </c>
      <c r="W1" s="742"/>
      <c r="X1" s="699" t="s">
        <v>2077</v>
      </c>
      <c r="Y1" s="47"/>
      <c r="Z1" s="47"/>
    </row>
    <row r="2" spans="1:26">
      <c r="A2" s="690" t="s">
        <v>2078</v>
      </c>
      <c r="B2" s="114">
        <v>30040</v>
      </c>
      <c r="C2" s="114">
        <v>2</v>
      </c>
      <c r="D2" s="114"/>
      <c r="E2" s="114">
        <v>32</v>
      </c>
      <c r="F2" s="114">
        <v>66</v>
      </c>
      <c r="G2" s="114"/>
      <c r="H2" s="114">
        <v>18</v>
      </c>
      <c r="I2" s="114"/>
      <c r="J2" s="114"/>
      <c r="K2" s="114"/>
      <c r="L2" s="114">
        <v>14</v>
      </c>
      <c r="M2" s="116"/>
      <c r="N2" s="116"/>
      <c r="O2" s="114"/>
      <c r="P2" s="114"/>
      <c r="Q2" s="114" t="s">
        <v>842</v>
      </c>
      <c r="R2" s="114" t="s">
        <v>22</v>
      </c>
      <c r="S2" s="114" t="s">
        <v>684</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2" t="str">
        <f>HYPERLINK("https://tbc.wowhead.com/item="&amp;B2,A2)</f>
        <v>Belt of Deep Shadow</v>
      </c>
      <c r="Z2" s="47"/>
    </row>
    <row r="3" spans="1:26">
      <c r="A3" s="10" t="s">
        <v>2344</v>
      </c>
      <c r="B3" s="114">
        <v>30106</v>
      </c>
      <c r="C3" s="114">
        <v>2</v>
      </c>
      <c r="D3" s="114">
        <v>29</v>
      </c>
      <c r="E3" s="114">
        <v>20</v>
      </c>
      <c r="F3" s="114"/>
      <c r="G3" s="116"/>
      <c r="H3" s="116"/>
      <c r="I3" s="114"/>
      <c r="J3" s="114"/>
      <c r="K3" s="114"/>
      <c r="L3" s="114">
        <v>38</v>
      </c>
      <c r="M3" s="116"/>
      <c r="N3" s="116"/>
      <c r="O3" s="114"/>
      <c r="P3" s="114"/>
      <c r="Q3" s="114" t="s">
        <v>1453</v>
      </c>
      <c r="R3" s="114" t="s">
        <v>1458</v>
      </c>
      <c r="S3" s="114" t="s">
        <v>684</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6" si="0">HYPERLINK("https://tbc.wowhead.com/item="&amp;B3,A3)</f>
        <v>Belt of Natural Power</v>
      </c>
      <c r="Z3" s="47"/>
    </row>
    <row r="4" spans="1:26">
      <c r="A4" s="10" t="s">
        <v>2345</v>
      </c>
      <c r="B4" s="114">
        <v>21586</v>
      </c>
      <c r="C4" s="114">
        <v>1</v>
      </c>
      <c r="D4" s="114"/>
      <c r="E4" s="114"/>
      <c r="F4" s="114">
        <v>64</v>
      </c>
      <c r="G4" s="116">
        <v>14</v>
      </c>
      <c r="H4" s="116">
        <v>10</v>
      </c>
      <c r="I4" s="114"/>
      <c r="J4" s="114"/>
      <c r="K4" s="114"/>
      <c r="L4" s="114">
        <v>20</v>
      </c>
      <c r="M4" s="116"/>
      <c r="N4" s="116"/>
      <c r="O4" s="114"/>
      <c r="P4" s="114"/>
      <c r="Q4" s="114" t="s">
        <v>1032</v>
      </c>
      <c r="R4" s="114"/>
      <c r="S4" s="114" t="s">
        <v>667</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2"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1036</v>
      </c>
      <c r="R5" s="114" t="s">
        <v>22</v>
      </c>
      <c r="S5" s="114" t="s">
        <v>666</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2" t="str">
        <f t="shared" si="0"/>
        <v>Belt of One-Hundred Deaths</v>
      </c>
      <c r="Z5" s="47"/>
    </row>
    <row r="6" spans="1:26">
      <c r="A6" s="130" t="s">
        <v>2346</v>
      </c>
      <c r="B6" s="114">
        <v>32769</v>
      </c>
      <c r="C6" s="114">
        <v>1</v>
      </c>
      <c r="D6" s="114">
        <v>25</v>
      </c>
      <c r="E6" s="114">
        <v>17</v>
      </c>
      <c r="F6" s="114"/>
      <c r="G6" s="116"/>
      <c r="H6" s="116"/>
      <c r="I6" s="114"/>
      <c r="J6" s="114"/>
      <c r="K6" s="114"/>
      <c r="L6" s="114">
        <v>22</v>
      </c>
      <c r="M6" s="116"/>
      <c r="N6" s="116"/>
      <c r="O6" s="114"/>
      <c r="P6" s="114"/>
      <c r="Q6" s="114" t="s">
        <v>1036</v>
      </c>
      <c r="R6" s="114" t="s">
        <v>22</v>
      </c>
      <c r="S6" s="114" t="s">
        <v>672</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2" t="str">
        <f t="shared" si="0"/>
        <v>Belt of the Raven Lord</v>
      </c>
      <c r="Z6" s="47"/>
    </row>
    <row r="7" spans="1:26">
      <c r="A7" s="10" t="s">
        <v>1883</v>
      </c>
      <c r="B7" s="114">
        <v>34929</v>
      </c>
      <c r="C7" s="114">
        <v>5</v>
      </c>
      <c r="D7" s="114"/>
      <c r="E7" s="114">
        <v>34</v>
      </c>
      <c r="F7" s="114">
        <v>78</v>
      </c>
      <c r="G7" s="116"/>
      <c r="H7" s="116">
        <v>23</v>
      </c>
      <c r="I7" s="114"/>
      <c r="J7" s="114"/>
      <c r="K7" s="114"/>
      <c r="L7" s="114">
        <v>33</v>
      </c>
      <c r="M7" s="116"/>
      <c r="N7" s="116"/>
      <c r="O7" s="114"/>
      <c r="P7" s="114"/>
      <c r="Q7" s="114" t="s">
        <v>1042</v>
      </c>
      <c r="R7" s="114" t="s">
        <v>1462</v>
      </c>
      <c r="S7" s="114" t="s">
        <v>690</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2" t="str">
        <f t="shared" si="0"/>
        <v>Belt of the Silent Path</v>
      </c>
      <c r="Z7" s="47"/>
    </row>
    <row r="8" spans="1:26">
      <c r="A8" s="10" t="s">
        <v>1529</v>
      </c>
      <c r="B8" s="114">
        <v>33211</v>
      </c>
      <c r="C8" s="114">
        <v>4</v>
      </c>
      <c r="D8" s="114"/>
      <c r="E8" s="114">
        <v>25</v>
      </c>
      <c r="F8" s="114">
        <v>58</v>
      </c>
      <c r="G8" s="116">
        <v>21</v>
      </c>
      <c r="H8" s="116"/>
      <c r="I8" s="114"/>
      <c r="J8" s="114">
        <v>77</v>
      </c>
      <c r="K8" s="114"/>
      <c r="L8" s="114">
        <v>27</v>
      </c>
      <c r="M8" s="116"/>
      <c r="N8" s="116"/>
      <c r="O8" s="114"/>
      <c r="P8" s="114"/>
      <c r="Q8" s="114" t="s">
        <v>1038</v>
      </c>
      <c r="R8" s="114" t="s">
        <v>1065</v>
      </c>
      <c r="S8" s="114" t="s">
        <v>663</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2" t="str">
        <f t="shared" si="0"/>
        <v>Bladeangel's Money Belt</v>
      </c>
      <c r="Z8" s="47"/>
    </row>
    <row r="9" spans="1:26">
      <c r="A9" s="10" t="s">
        <v>2347</v>
      </c>
      <c r="B9" s="114">
        <v>22482</v>
      </c>
      <c r="C9" s="114">
        <v>1</v>
      </c>
      <c r="D9" s="114">
        <v>23</v>
      </c>
      <c r="E9" s="114">
        <v>24</v>
      </c>
      <c r="F9" s="114"/>
      <c r="G9" s="116">
        <v>14</v>
      </c>
      <c r="H9" s="116"/>
      <c r="I9" s="114"/>
      <c r="J9" s="114"/>
      <c r="K9" s="114"/>
      <c r="L9" s="114">
        <v>20</v>
      </c>
      <c r="M9" s="116"/>
      <c r="N9" s="116"/>
      <c r="O9" s="114"/>
      <c r="P9" s="114" t="s">
        <v>2334</v>
      </c>
      <c r="Q9" s="114" t="s">
        <v>1032</v>
      </c>
      <c r="R9" s="114"/>
      <c r="S9" s="114" t="s">
        <v>667</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2"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1044</v>
      </c>
      <c r="R10" s="114" t="s">
        <v>1458</v>
      </c>
      <c r="S10" s="114" t="s">
        <v>683</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2"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1036</v>
      </c>
      <c r="R11" s="114" t="s">
        <v>22</v>
      </c>
      <c r="S11" s="114" t="s">
        <v>690</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2"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1032</v>
      </c>
      <c r="R12" s="114"/>
      <c r="S12" s="114" t="s">
        <v>690</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2"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1032</v>
      </c>
      <c r="R13" s="114"/>
      <c r="S13" s="114" t="s">
        <v>674</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2" t="str">
        <f t="shared" si="0"/>
        <v>Eva's Strap</v>
      </c>
      <c r="Z13" s="47"/>
    </row>
    <row r="14" spans="1:26">
      <c r="A14" s="10" t="s">
        <v>1521</v>
      </c>
      <c r="B14" s="114">
        <v>28423</v>
      </c>
      <c r="C14" s="114">
        <v>1</v>
      </c>
      <c r="D14" s="114"/>
      <c r="E14" s="114">
        <v>27</v>
      </c>
      <c r="F14" s="114">
        <v>30</v>
      </c>
      <c r="G14" s="116">
        <v>15</v>
      </c>
      <c r="H14" s="116"/>
      <c r="I14" s="114"/>
      <c r="J14" s="114"/>
      <c r="K14" s="114"/>
      <c r="L14" s="114">
        <v>39</v>
      </c>
      <c r="M14" s="116"/>
      <c r="N14" s="116">
        <v>26</v>
      </c>
      <c r="O14" s="114"/>
      <c r="P14" s="114"/>
      <c r="Q14" s="114" t="s">
        <v>1032</v>
      </c>
      <c r="R14" s="114"/>
      <c r="S14" s="114" t="s">
        <v>676</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2" t="str">
        <f t="shared" si="0"/>
        <v>General's Leather Belt</v>
      </c>
      <c r="Z14" s="47"/>
    </row>
    <row r="15" spans="1:26">
      <c r="A15" s="10" t="s">
        <v>1531</v>
      </c>
      <c r="B15" s="114">
        <v>29247</v>
      </c>
      <c r="C15" s="114">
        <v>1</v>
      </c>
      <c r="D15" s="114"/>
      <c r="E15" s="114">
        <v>28</v>
      </c>
      <c r="F15" s="114">
        <v>56</v>
      </c>
      <c r="G15" s="116"/>
      <c r="H15" s="116">
        <v>20</v>
      </c>
      <c r="I15" s="114"/>
      <c r="J15" s="114"/>
      <c r="K15" s="114"/>
      <c r="L15" s="114">
        <v>28</v>
      </c>
      <c r="M15" s="116"/>
      <c r="N15" s="116"/>
      <c r="O15" s="114"/>
      <c r="P15" s="114"/>
      <c r="Q15" s="114" t="s">
        <v>1032</v>
      </c>
      <c r="R15" s="114"/>
      <c r="S15" s="114" t="s">
        <v>690</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2" t="str">
        <f t="shared" si="0"/>
        <v>Girdle of the Deathdealer</v>
      </c>
      <c r="Z15" s="47"/>
    </row>
    <row r="16" spans="1:26">
      <c r="A16" s="10" t="s">
        <v>1522</v>
      </c>
      <c r="B16" s="114">
        <v>28750</v>
      </c>
      <c r="C16" s="114">
        <v>1</v>
      </c>
      <c r="D16" s="114"/>
      <c r="E16" s="114">
        <v>18</v>
      </c>
      <c r="F16" s="114">
        <v>58</v>
      </c>
      <c r="G16" s="116"/>
      <c r="H16" s="116"/>
      <c r="I16" s="114"/>
      <c r="J16" s="114"/>
      <c r="K16" s="114"/>
      <c r="L16" s="114">
        <v>37</v>
      </c>
      <c r="M16" s="116"/>
      <c r="N16" s="116"/>
      <c r="O16" s="114"/>
      <c r="P16" s="114"/>
      <c r="Q16" s="114" t="s">
        <v>1453</v>
      </c>
      <c r="R16" s="114" t="s">
        <v>22</v>
      </c>
      <c r="S16" s="114" t="s">
        <v>671</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2" t="str">
        <f t="shared" si="0"/>
        <v>Girdle of Treachery</v>
      </c>
      <c r="Z16" s="47"/>
    </row>
    <row r="17" spans="1:26">
      <c r="A17" s="10" t="s">
        <v>1532</v>
      </c>
      <c r="B17" s="114">
        <v>28828</v>
      </c>
      <c r="C17" s="114">
        <v>1</v>
      </c>
      <c r="D17" s="114"/>
      <c r="E17" s="114"/>
      <c r="F17" s="114">
        <v>72</v>
      </c>
      <c r="G17" s="116">
        <v>25</v>
      </c>
      <c r="H17" s="116"/>
      <c r="I17" s="114"/>
      <c r="J17" s="114"/>
      <c r="K17" s="114"/>
      <c r="L17" s="114">
        <v>27</v>
      </c>
      <c r="M17" s="116"/>
      <c r="N17" s="116"/>
      <c r="O17" s="114"/>
      <c r="P17" s="114"/>
      <c r="Q17" s="114" t="s">
        <v>1040</v>
      </c>
      <c r="R17" s="114" t="s">
        <v>1448</v>
      </c>
      <c r="S17" s="114" t="s">
        <v>677</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2" t="str">
        <f t="shared" si="0"/>
        <v>Gronn-Stitched Girdle</v>
      </c>
      <c r="Z17" s="47"/>
    </row>
    <row r="18" spans="1:26">
      <c r="A18" s="10" t="s">
        <v>2816</v>
      </c>
      <c r="B18" s="114">
        <v>35152</v>
      </c>
      <c r="C18" s="114">
        <v>5</v>
      </c>
      <c r="D18" s="114">
        <v>34</v>
      </c>
      <c r="E18" s="114">
        <v>33</v>
      </c>
      <c r="F18" s="114"/>
      <c r="G18" s="116">
        <v>25</v>
      </c>
      <c r="H18" s="116"/>
      <c r="I18" s="114"/>
      <c r="J18" s="114"/>
      <c r="K18" s="114"/>
      <c r="L18" s="114">
        <v>46</v>
      </c>
      <c r="M18" s="116"/>
      <c r="N18" s="116">
        <v>26</v>
      </c>
      <c r="O18" s="114"/>
      <c r="P18" s="114"/>
      <c r="Q18" s="114" t="s">
        <v>1032</v>
      </c>
      <c r="R18" s="114"/>
      <c r="S18" s="114" t="s">
        <v>676</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2" t="str">
        <f t="shared" si="0"/>
        <v>Guardian's Dragonhide Belt</v>
      </c>
      <c r="Z18" s="47"/>
    </row>
    <row r="19" spans="1:26">
      <c r="A19" s="10" t="s">
        <v>1989</v>
      </c>
      <c r="B19" s="114">
        <v>35156</v>
      </c>
      <c r="C19" s="114">
        <v>5</v>
      </c>
      <c r="D19" s="114"/>
      <c r="E19" s="114">
        <v>37</v>
      </c>
      <c r="F19" s="114">
        <v>48</v>
      </c>
      <c r="G19" s="116">
        <v>24</v>
      </c>
      <c r="H19" s="116"/>
      <c r="I19" s="114"/>
      <c r="J19" s="114"/>
      <c r="K19" s="114"/>
      <c r="L19" s="114">
        <v>55</v>
      </c>
      <c r="M19" s="116"/>
      <c r="N19" s="116">
        <v>30</v>
      </c>
      <c r="O19" s="114"/>
      <c r="P19" s="114"/>
      <c r="Q19" s="114" t="s">
        <v>1032</v>
      </c>
      <c r="R19" s="114"/>
      <c r="S19" s="114" t="s">
        <v>676</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16</v>
      </c>
      <c r="X19" s="713" t="str">
        <f t="shared" si="1"/>
        <v>Primalstrike Belt</v>
      </c>
      <c r="Y19" s="1392" t="str">
        <f t="shared" si="0"/>
        <v>Guardian's Leather Belt</v>
      </c>
      <c r="Z19" s="47"/>
    </row>
    <row r="20" spans="1:26">
      <c r="A20" s="10" t="s">
        <v>2817</v>
      </c>
      <c r="B20" s="114">
        <v>29772</v>
      </c>
      <c r="C20" s="114">
        <v>1</v>
      </c>
      <c r="D20" s="114">
        <v>20</v>
      </c>
      <c r="E20" s="114">
        <v>20</v>
      </c>
      <c r="F20" s="114"/>
      <c r="G20" s="116"/>
      <c r="H20" s="116">
        <v>12</v>
      </c>
      <c r="I20" s="114"/>
      <c r="J20" s="114"/>
      <c r="K20" s="114"/>
      <c r="L20" s="114">
        <v>19</v>
      </c>
      <c r="M20" s="116"/>
      <c r="N20" s="116"/>
      <c r="O20" s="114"/>
      <c r="P20" s="114"/>
      <c r="Q20" s="114" t="s">
        <v>1032</v>
      </c>
      <c r="R20" s="114"/>
      <c r="S20" s="114" t="s">
        <v>674</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17</v>
      </c>
      <c r="X20" s="713" t="str">
        <f t="shared" ref="X20" si="3">IF(ISNA(INDEX($A$2:$A$37,MATCH(W20,V$2:V$37,0))), "", INDEX($A$2:$A$37,MATCH(W20,V$2:V$37,0)))</f>
        <v>Sash of Silent Blades</v>
      </c>
      <c r="Y20" s="1392" t="str">
        <f t="shared" si="0"/>
        <v>Kirin'Var Scout's Belt</v>
      </c>
      <c r="Z20" s="47"/>
    </row>
    <row r="21" spans="1:26">
      <c r="A21" s="10" t="s">
        <v>1533</v>
      </c>
      <c r="B21" s="114">
        <v>28124</v>
      </c>
      <c r="C21" s="114">
        <v>1</v>
      </c>
      <c r="D21" s="114"/>
      <c r="E21" s="114"/>
      <c r="F21" s="114">
        <v>34</v>
      </c>
      <c r="G21" s="116">
        <v>18</v>
      </c>
      <c r="H21" s="116"/>
      <c r="I21" s="114"/>
      <c r="J21" s="114"/>
      <c r="K21" s="114"/>
      <c r="L21" s="114">
        <v>24</v>
      </c>
      <c r="M21" s="116"/>
      <c r="N21" s="116"/>
      <c r="O21" s="114"/>
      <c r="P21" s="114"/>
      <c r="Q21" s="114" t="s">
        <v>1044</v>
      </c>
      <c r="R21" s="114" t="s">
        <v>1454</v>
      </c>
      <c r="S21" s="114" t="s">
        <v>690</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18</v>
      </c>
      <c r="X21" s="713" t="str">
        <f t="shared" si="1"/>
        <v>Shifting Sash of Midnight</v>
      </c>
      <c r="Y21" s="1392" t="str">
        <f t="shared" si="0"/>
        <v>Liar's Cord</v>
      </c>
      <c r="Z21" s="47"/>
    </row>
    <row r="22" spans="1:26">
      <c r="A22" s="10" t="s">
        <v>2348</v>
      </c>
      <c r="B22" s="114">
        <v>30676</v>
      </c>
      <c r="C22" s="114">
        <v>1</v>
      </c>
      <c r="D22" s="114"/>
      <c r="E22" s="114">
        <v>28</v>
      </c>
      <c r="F22" s="114">
        <v>57</v>
      </c>
      <c r="G22" s="116"/>
      <c r="H22" s="116"/>
      <c r="I22" s="114"/>
      <c r="J22" s="114"/>
      <c r="K22" s="114"/>
      <c r="L22" s="114">
        <v>43</v>
      </c>
      <c r="M22" s="116"/>
      <c r="N22" s="116"/>
      <c r="O22" s="114"/>
      <c r="P22" s="114"/>
      <c r="Q22" s="114" t="s">
        <v>1032</v>
      </c>
      <c r="R22" s="114"/>
      <c r="S22" s="114" t="s">
        <v>671</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19</v>
      </c>
      <c r="X22" s="713" t="str">
        <f t="shared" si="1"/>
        <v>Socrethar's Girdle</v>
      </c>
      <c r="Y22" s="1392" t="str">
        <f t="shared" si="0"/>
        <v>Lurker's Grasp of the Bandit</v>
      </c>
      <c r="Z22" s="47"/>
    </row>
    <row r="23" spans="1:26">
      <c r="A23" s="10" t="s">
        <v>1534</v>
      </c>
      <c r="B23" s="114">
        <v>28986</v>
      </c>
      <c r="C23" s="114">
        <v>1</v>
      </c>
      <c r="D23" s="114"/>
      <c r="E23" s="114">
        <v>27</v>
      </c>
      <c r="F23" s="114">
        <v>30</v>
      </c>
      <c r="G23" s="116">
        <v>15</v>
      </c>
      <c r="H23" s="116"/>
      <c r="I23" s="114"/>
      <c r="J23" s="114"/>
      <c r="K23" s="114"/>
      <c r="L23" s="114">
        <v>39</v>
      </c>
      <c r="M23" s="116"/>
      <c r="N23" s="116">
        <v>26</v>
      </c>
      <c r="O23" s="114"/>
      <c r="P23" s="114"/>
      <c r="Q23" s="114" t="s">
        <v>1032</v>
      </c>
      <c r="R23" s="114"/>
      <c r="S23" s="114" t="s">
        <v>676</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20</v>
      </c>
      <c r="X23" s="713" t="str">
        <f t="shared" si="1"/>
        <v>Tree Warden's Belt</v>
      </c>
      <c r="Y23" s="1392" t="str">
        <f t="shared" si="0"/>
        <v>Marshal's Leather Belt</v>
      </c>
      <c r="Z23" s="47"/>
    </row>
    <row r="24" spans="1:26">
      <c r="A24" s="10" t="s">
        <v>1535</v>
      </c>
      <c r="B24" s="114">
        <v>31464</v>
      </c>
      <c r="C24" s="114">
        <v>1</v>
      </c>
      <c r="D24" s="114"/>
      <c r="E24" s="114">
        <v>25</v>
      </c>
      <c r="F24" s="114">
        <v>44</v>
      </c>
      <c r="G24" s="116"/>
      <c r="H24" s="116">
        <v>15</v>
      </c>
      <c r="I24" s="114"/>
      <c r="J24" s="114"/>
      <c r="K24" s="114"/>
      <c r="L24" s="114"/>
      <c r="M24" s="116">
        <v>21</v>
      </c>
      <c r="N24" s="116"/>
      <c r="O24" s="114"/>
      <c r="P24" s="114"/>
      <c r="Q24" s="114" t="s">
        <v>1032</v>
      </c>
      <c r="R24" s="114"/>
      <c r="S24" s="114" t="s">
        <v>674</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(Unmodeled)</v>
      </c>
      <c r="Y24" s="1392" t="str">
        <f t="shared" si="0"/>
        <v>Naaru Belt of Precision</v>
      </c>
      <c r="Z24" s="47"/>
    </row>
    <row r="25" spans="1:26">
      <c r="A25" s="10" t="s">
        <v>2349</v>
      </c>
      <c r="B25" s="114">
        <v>25504</v>
      </c>
      <c r="C25" s="114">
        <v>1</v>
      </c>
      <c r="D25" s="114"/>
      <c r="E25" s="114">
        <v>16</v>
      </c>
      <c r="F25" s="114">
        <v>32</v>
      </c>
      <c r="G25" s="116"/>
      <c r="H25" s="116">
        <v>16</v>
      </c>
      <c r="I25" s="114"/>
      <c r="J25" s="114"/>
      <c r="K25" s="114"/>
      <c r="L25" s="114"/>
      <c r="M25" s="116"/>
      <c r="N25" s="116"/>
      <c r="O25" s="114"/>
      <c r="P25" s="114"/>
      <c r="Q25" s="114" t="s">
        <v>1032</v>
      </c>
      <c r="R25" s="114"/>
      <c r="S25" s="114" t="s">
        <v>674</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Pilgrim's Belt</v>
      </c>
      <c r="Z25" s="47"/>
    </row>
    <row r="26" spans="1:26">
      <c r="A26" s="10" t="s">
        <v>1250</v>
      </c>
      <c r="B26" s="114">
        <v>29526</v>
      </c>
      <c r="C26" s="114">
        <v>1</v>
      </c>
      <c r="D26" s="114"/>
      <c r="E26" s="114">
        <v>20</v>
      </c>
      <c r="F26" s="114">
        <v>84</v>
      </c>
      <c r="G26" s="116"/>
      <c r="H26" s="116"/>
      <c r="I26" s="114"/>
      <c r="J26" s="114"/>
      <c r="K26" s="114"/>
      <c r="L26" s="114">
        <v>32</v>
      </c>
      <c r="M26" s="116"/>
      <c r="N26" s="116"/>
      <c r="O26" s="114"/>
      <c r="P26" s="114" t="s">
        <v>825</v>
      </c>
      <c r="Q26" s="114" t="s">
        <v>1032</v>
      </c>
      <c r="R26" s="114"/>
      <c r="S26" s="114" t="s">
        <v>686</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Primalstrike Belt</v>
      </c>
      <c r="Z26" s="47"/>
    </row>
    <row r="27" spans="1:26">
      <c r="A27" s="10" t="s">
        <v>1251</v>
      </c>
      <c r="B27" s="114">
        <v>31131</v>
      </c>
      <c r="C27" s="114">
        <v>1</v>
      </c>
      <c r="D27" s="114"/>
      <c r="E27" s="114">
        <v>28</v>
      </c>
      <c r="F27" s="114">
        <v>30</v>
      </c>
      <c r="G27" s="116"/>
      <c r="H27" s="116">
        <v>11</v>
      </c>
      <c r="I27" s="114"/>
      <c r="J27" s="114"/>
      <c r="K27" s="114"/>
      <c r="L27" s="114"/>
      <c r="M27" s="116"/>
      <c r="N27" s="116"/>
      <c r="O27" s="114"/>
      <c r="P27" s="114"/>
      <c r="Q27" s="114" t="s">
        <v>1032</v>
      </c>
      <c r="R27" s="114"/>
      <c r="S27" s="114" t="s">
        <v>673</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Sash of Silent Blades</v>
      </c>
      <c r="Z27" s="47"/>
    </row>
    <row r="28" spans="1:26">
      <c r="A28" s="10" t="s">
        <v>1252</v>
      </c>
      <c r="B28" s="114">
        <v>32265</v>
      </c>
      <c r="C28" s="114">
        <v>3</v>
      </c>
      <c r="D28" s="114"/>
      <c r="E28" s="114">
        <v>27</v>
      </c>
      <c r="F28" s="114">
        <v>76</v>
      </c>
      <c r="G28" s="116"/>
      <c r="H28" s="116"/>
      <c r="I28" s="114">
        <v>37</v>
      </c>
      <c r="J28" s="114"/>
      <c r="K28" s="114"/>
      <c r="L28" s="114">
        <v>38</v>
      </c>
      <c r="M28" s="116"/>
      <c r="N28" s="116"/>
      <c r="O28" s="114"/>
      <c r="P28" s="114"/>
      <c r="Q28" s="114" t="s">
        <v>1032</v>
      </c>
      <c r="R28" s="114"/>
      <c r="S28" s="114" t="s">
        <v>682</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Shadow-walker's Cord</v>
      </c>
      <c r="Z28" s="47"/>
    </row>
    <row r="29" spans="1:26">
      <c r="A29" s="10" t="s">
        <v>2350</v>
      </c>
      <c r="B29" s="114">
        <v>24063</v>
      </c>
      <c r="C29" s="114">
        <v>1</v>
      </c>
      <c r="D29" s="114"/>
      <c r="E29" s="114">
        <v>15</v>
      </c>
      <c r="F29" s="114">
        <v>28</v>
      </c>
      <c r="G29" s="116"/>
      <c r="H29" s="116"/>
      <c r="I29" s="114"/>
      <c r="J29" s="114"/>
      <c r="K29" s="114"/>
      <c r="L29" s="114">
        <v>19</v>
      </c>
      <c r="M29" s="116"/>
      <c r="N29" s="116"/>
      <c r="O29" s="114"/>
      <c r="P29" s="114"/>
      <c r="Q29" s="114" t="s">
        <v>1453</v>
      </c>
      <c r="R29" s="114" t="s">
        <v>1454</v>
      </c>
      <c r="S29" s="114" t="s">
        <v>672</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18</v>
      </c>
      <c r="W29" s="737">
        <v>26</v>
      </c>
      <c r="X29" s="713" t="str">
        <f t="shared" si="1"/>
        <v/>
      </c>
      <c r="Y29" s="1392" t="str">
        <f t="shared" si="0"/>
        <v>Shifting Sash of Midnight</v>
      </c>
      <c r="Z29" s="47"/>
    </row>
    <row r="30" spans="1:26">
      <c r="A30" s="10" t="s">
        <v>980</v>
      </c>
      <c r="B30" s="114">
        <v>34558</v>
      </c>
      <c r="C30" s="114">
        <v>5</v>
      </c>
      <c r="D30" s="114"/>
      <c r="E30" s="114">
        <v>29</v>
      </c>
      <c r="F30" s="114">
        <v>86</v>
      </c>
      <c r="G30" s="116">
        <v>13</v>
      </c>
      <c r="H30" s="116">
        <v>30</v>
      </c>
      <c r="I30" s="114">
        <v>27</v>
      </c>
      <c r="J30" s="114"/>
      <c r="K30" s="114"/>
      <c r="L30" s="114">
        <v>21</v>
      </c>
      <c r="M30" s="116"/>
      <c r="N30" s="116"/>
      <c r="O30" s="114"/>
      <c r="P30" s="114" t="s">
        <v>998</v>
      </c>
      <c r="Q30" s="114" t="s">
        <v>1034</v>
      </c>
      <c r="R30" s="114" t="s">
        <v>1472</v>
      </c>
      <c r="S30" s="114" t="s">
        <v>870</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Slayer's Belt</v>
      </c>
      <c r="Z30" s="47"/>
    </row>
    <row r="31" spans="1:26">
      <c r="A31" s="10" t="s">
        <v>1253</v>
      </c>
      <c r="B31" s="114">
        <v>30372</v>
      </c>
      <c r="C31" s="114">
        <v>1</v>
      </c>
      <c r="D31" s="114"/>
      <c r="E31" s="114">
        <v>23</v>
      </c>
      <c r="F31" s="114">
        <v>48</v>
      </c>
      <c r="G31" s="116"/>
      <c r="H31" s="116">
        <v>20</v>
      </c>
      <c r="I31" s="114"/>
      <c r="J31" s="114"/>
      <c r="K31" s="114"/>
      <c r="L31" s="114">
        <v>21</v>
      </c>
      <c r="M31" s="116"/>
      <c r="N31" s="116"/>
      <c r="O31" s="114"/>
      <c r="P31" s="114"/>
      <c r="Q31" s="114" t="s">
        <v>1032</v>
      </c>
      <c r="R31" s="114"/>
      <c r="S31" s="114" t="s">
        <v>674</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19</v>
      </c>
      <c r="W31" s="737">
        <v>28</v>
      </c>
      <c r="X31" s="713" t="str">
        <f t="shared" si="1"/>
        <v/>
      </c>
      <c r="Y31" s="1392" t="str">
        <f t="shared" si="0"/>
        <v>Socrethar's Girdle</v>
      </c>
      <c r="Z31" s="47"/>
    </row>
    <row r="32" spans="1:26">
      <c r="A32" s="10" t="s">
        <v>2351</v>
      </c>
      <c r="B32" s="114">
        <v>31512</v>
      </c>
      <c r="C32" s="114">
        <v>1</v>
      </c>
      <c r="D32" s="114"/>
      <c r="E32" s="114"/>
      <c r="F32" s="114">
        <v>30</v>
      </c>
      <c r="G32" s="116">
        <v>27</v>
      </c>
      <c r="H32" s="116">
        <v>11</v>
      </c>
      <c r="I32" s="114"/>
      <c r="J32" s="114"/>
      <c r="K32" s="114"/>
      <c r="L32" s="114"/>
      <c r="M32" s="116"/>
      <c r="N32" s="116"/>
      <c r="O32" s="114"/>
      <c r="P32" s="114"/>
      <c r="Q32" s="114" t="s">
        <v>1032</v>
      </c>
      <c r="R32" s="114"/>
      <c r="S32" s="114" t="s">
        <v>674</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20</v>
      </c>
      <c r="W32" s="737">
        <v>29</v>
      </c>
      <c r="X32" s="713" t="str">
        <f t="shared" si="1"/>
        <v/>
      </c>
      <c r="Y32" s="1392" t="str">
        <f t="shared" si="0"/>
        <v>Tree Warden's Belt</v>
      </c>
      <c r="Z32" s="47"/>
    </row>
    <row r="33" spans="1:26">
      <c r="A33" s="10" t="s">
        <v>1254</v>
      </c>
      <c r="B33" s="114">
        <v>32802</v>
      </c>
      <c r="C33" s="114">
        <v>2</v>
      </c>
      <c r="D33" s="114"/>
      <c r="E33" s="114">
        <v>30</v>
      </c>
      <c r="F33" s="114">
        <v>34</v>
      </c>
      <c r="G33" s="116">
        <v>16</v>
      </c>
      <c r="H33" s="116"/>
      <c r="I33" s="114"/>
      <c r="J33" s="114"/>
      <c r="K33" s="114"/>
      <c r="L33" s="114">
        <v>45</v>
      </c>
      <c r="M33" s="116"/>
      <c r="N33" s="116">
        <v>30</v>
      </c>
      <c r="O33" s="114"/>
      <c r="P33" s="114"/>
      <c r="Q33" s="114" t="s">
        <v>1032</v>
      </c>
      <c r="R33" s="114"/>
      <c r="S33" s="114" t="s">
        <v>676</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Veteran's Leather Belt</v>
      </c>
      <c r="Z33" s="47"/>
    </row>
    <row r="34" spans="1:26">
      <c r="A34" s="130" t="s">
        <v>1362</v>
      </c>
      <c r="B34" s="114">
        <v>33879</v>
      </c>
      <c r="C34" s="114">
        <v>3</v>
      </c>
      <c r="D34" s="114">
        <v>30</v>
      </c>
      <c r="E34" s="114">
        <v>29</v>
      </c>
      <c r="F34" s="114"/>
      <c r="G34" s="116">
        <v>21</v>
      </c>
      <c r="H34" s="116"/>
      <c r="I34" s="114"/>
      <c r="J34" s="114"/>
      <c r="K34" s="114"/>
      <c r="L34" s="114">
        <v>42</v>
      </c>
      <c r="M34" s="116"/>
      <c r="N34" s="116">
        <v>26</v>
      </c>
      <c r="O34" s="114"/>
      <c r="P34" s="114"/>
      <c r="Q34" s="114" t="s">
        <v>1032</v>
      </c>
      <c r="R34" s="114"/>
      <c r="S34" s="114" t="s">
        <v>676</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Vindicator's Dragonhide Belt</v>
      </c>
      <c r="Z34" s="47"/>
    </row>
    <row r="35" spans="1:26">
      <c r="A35" s="130" t="s">
        <v>1421</v>
      </c>
      <c r="B35" s="114">
        <v>33891</v>
      </c>
      <c r="C35" s="114">
        <v>3</v>
      </c>
      <c r="D35" s="114"/>
      <c r="E35" s="114">
        <v>33</v>
      </c>
      <c r="F35" s="114">
        <v>40</v>
      </c>
      <c r="G35" s="116">
        <v>19</v>
      </c>
      <c r="H35" s="116"/>
      <c r="I35" s="114"/>
      <c r="J35" s="114"/>
      <c r="K35" s="114"/>
      <c r="L35" s="114">
        <v>49</v>
      </c>
      <c r="M35" s="116"/>
      <c r="N35" s="116">
        <v>30</v>
      </c>
      <c r="O35" s="114"/>
      <c r="P35" s="114"/>
      <c r="Q35" s="114" t="s">
        <v>1032</v>
      </c>
      <c r="R35" s="114"/>
      <c r="S35" s="114" t="s">
        <v>676</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32</v>
      </c>
      <c r="X35" s="713" t="str">
        <f t="shared" si="1"/>
        <v/>
      </c>
      <c r="Y35" s="1392" t="str">
        <f t="shared" si="0"/>
        <v>Vindicator's Leather Belt</v>
      </c>
      <c r="Z35" s="47"/>
    </row>
    <row r="36" spans="1:26">
      <c r="A36" s="130" t="s">
        <v>1407</v>
      </c>
      <c r="B36" s="114">
        <v>33583</v>
      </c>
      <c r="C36" s="114">
        <v>3</v>
      </c>
      <c r="D36" s="114">
        <v>29</v>
      </c>
      <c r="E36" s="114">
        <v>28</v>
      </c>
      <c r="F36" s="114"/>
      <c r="G36" s="116"/>
      <c r="H36" s="116">
        <v>18</v>
      </c>
      <c r="I36" s="114"/>
      <c r="J36" s="114"/>
      <c r="K36" s="114"/>
      <c r="L36" s="114">
        <v>30</v>
      </c>
      <c r="M36" s="116"/>
      <c r="N36" s="116"/>
      <c r="O36" s="114"/>
      <c r="P36" s="114"/>
      <c r="Q36" s="114" t="s">
        <v>1036</v>
      </c>
      <c r="R36" s="114" t="s">
        <v>1337</v>
      </c>
      <c r="S36" s="114" t="s">
        <v>690</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33</v>
      </c>
      <c r="X36" s="713" t="str">
        <f t="shared" si="1"/>
        <v/>
      </c>
      <c r="Y36" s="1392"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21</v>
      </c>
      <c r="W37" s="737">
        <v>34</v>
      </c>
      <c r="X37" s="713" t="str">
        <f t="shared" si="1"/>
        <v/>
      </c>
      <c r="Y37" s="47"/>
      <c r="Z37" s="47"/>
    </row>
    <row r="38" spans="1:26">
      <c r="A38" s="10" t="s">
        <v>2206</v>
      </c>
      <c r="B38" s="114"/>
      <c r="C38" s="114"/>
      <c r="D38" s="114"/>
      <c r="E38" s="114"/>
      <c r="F38" s="114"/>
      <c r="G38" s="116"/>
      <c r="H38" s="116"/>
      <c r="I38" s="114"/>
      <c r="J38" s="114"/>
      <c r="K38" s="114"/>
      <c r="L38" s="114"/>
      <c r="M38" s="116"/>
      <c r="N38" s="116"/>
      <c r="O38" s="114"/>
      <c r="P38" s="114"/>
      <c r="Q38" s="114" t="s">
        <v>1032</v>
      </c>
      <c r="R38" s="114"/>
      <c r="S38" s="114"/>
      <c r="T38" s="114"/>
      <c r="U38" s="769"/>
      <c r="V38" s="114"/>
      <c r="W38" s="737">
        <v>35</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36</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workbookViewId="0">
      <selection activeCell="W4" sqref="W4:W38"/>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2079</v>
      </c>
    </row>
    <row r="2" spans="1:25">
      <c r="A2" s="10" t="s">
        <v>2352</v>
      </c>
      <c r="B2" s="116">
        <v>22477</v>
      </c>
      <c r="C2" s="116">
        <v>1</v>
      </c>
      <c r="D2" s="114">
        <v>31</v>
      </c>
      <c r="E2" s="114">
        <v>32</v>
      </c>
      <c r="F2" s="114"/>
      <c r="G2" s="116">
        <v>14</v>
      </c>
      <c r="H2" s="116">
        <v>10</v>
      </c>
      <c r="I2" s="116"/>
      <c r="J2" s="114"/>
      <c r="K2" s="116"/>
      <c r="L2" s="114">
        <v>25</v>
      </c>
      <c r="M2" s="116"/>
      <c r="N2" s="116"/>
      <c r="O2" s="116"/>
      <c r="P2" s="114" t="s">
        <v>2334</v>
      </c>
      <c r="Q2" s="114" t="s">
        <v>1032</v>
      </c>
      <c r="R2" s="114"/>
      <c r="S2" s="114" t="s">
        <v>667</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Bonescythe Legplates</v>
      </c>
    </row>
    <row r="3" spans="1:25">
      <c r="A3" s="10" t="s">
        <v>1986</v>
      </c>
      <c r="B3" s="116">
        <v>35034</v>
      </c>
      <c r="C3" s="116">
        <v>5</v>
      </c>
      <c r="D3" s="114"/>
      <c r="E3" s="114">
        <v>40</v>
      </c>
      <c r="F3" s="114">
        <v>60</v>
      </c>
      <c r="G3" s="116">
        <v>30</v>
      </c>
      <c r="H3" s="116">
        <v>17</v>
      </c>
      <c r="I3" s="116"/>
      <c r="J3" s="114">
        <v>48</v>
      </c>
      <c r="K3" s="116"/>
      <c r="L3" s="114">
        <v>74</v>
      </c>
      <c r="M3" s="116"/>
      <c r="N3" s="116">
        <v>40</v>
      </c>
      <c r="O3" s="116"/>
      <c r="P3" s="114" t="s">
        <v>1067</v>
      </c>
      <c r="Q3" s="114" t="s">
        <v>1032</v>
      </c>
      <c r="R3" s="114"/>
      <c r="S3" s="114" t="s">
        <v>676</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1" t="str">
        <f t="shared" ref="Y3:Y35" si="0">HYPERLINK("https://tbc.wowhead.com/item="&amp;B3,A3)</f>
        <v>Brutal Gladiator's Leather Legguards</v>
      </c>
    </row>
    <row r="4" spans="1:25">
      <c r="A4" s="130" t="s">
        <v>2353</v>
      </c>
      <c r="B4" s="116">
        <v>31544</v>
      </c>
      <c r="C4" s="116">
        <v>1</v>
      </c>
      <c r="D4" s="114">
        <v>30</v>
      </c>
      <c r="E4" s="114">
        <v>30</v>
      </c>
      <c r="F4" s="114"/>
      <c r="G4" s="116"/>
      <c r="H4" s="116">
        <v>17</v>
      </c>
      <c r="I4" s="116"/>
      <c r="J4" s="114"/>
      <c r="K4" s="116">
        <v>18</v>
      </c>
      <c r="L4" s="114">
        <v>24</v>
      </c>
      <c r="M4" s="116"/>
      <c r="N4" s="116"/>
      <c r="O4" s="116"/>
      <c r="P4" s="114"/>
      <c r="Q4" s="114" t="s">
        <v>1032</v>
      </c>
      <c r="R4" s="114"/>
      <c r="S4" s="114" t="s">
        <v>674</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1"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1062</v>
      </c>
      <c r="Q5" s="114" t="s">
        <v>1038</v>
      </c>
      <c r="R5" s="114" t="s">
        <v>1065</v>
      </c>
      <c r="S5" s="114" t="s">
        <v>666</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1" t="str">
        <f t="shared" si="0"/>
        <v>Deathmantle Legguards</v>
      </c>
    </row>
    <row r="6" spans="1:25" s="47" customFormat="1">
      <c r="A6" s="10" t="s">
        <v>2499</v>
      </c>
      <c r="B6" s="116">
        <v>30272</v>
      </c>
      <c r="C6" s="116">
        <v>1</v>
      </c>
      <c r="D6" s="114"/>
      <c r="E6" s="114">
        <v>23</v>
      </c>
      <c r="F6" s="114">
        <v>46</v>
      </c>
      <c r="G6" s="116"/>
      <c r="H6" s="116">
        <v>18</v>
      </c>
      <c r="I6" s="116"/>
      <c r="J6" s="114"/>
      <c r="K6" s="116"/>
      <c r="L6" s="114">
        <v>34</v>
      </c>
      <c r="M6" s="116"/>
      <c r="N6" s="116"/>
      <c r="O6" s="116"/>
      <c r="P6" s="114"/>
      <c r="Q6" s="114" t="s">
        <v>1032</v>
      </c>
      <c r="R6" s="114"/>
      <c r="S6" s="114" t="s">
        <v>674</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1"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1312</v>
      </c>
      <c r="Q7" s="114" t="s">
        <v>830</v>
      </c>
      <c r="R7" s="114" t="s">
        <v>1064</v>
      </c>
      <c r="S7" s="114" t="s">
        <v>684</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1" t="str">
        <f t="shared" si="0"/>
        <v>Fel Leather Leggings</v>
      </c>
    </row>
    <row r="8" spans="1:25" s="47" customFormat="1">
      <c r="A8" s="130" t="s">
        <v>2354</v>
      </c>
      <c r="B8" s="116">
        <v>30535</v>
      </c>
      <c r="C8" s="116">
        <v>1</v>
      </c>
      <c r="D8" s="114">
        <v>33</v>
      </c>
      <c r="E8" s="114">
        <v>26</v>
      </c>
      <c r="F8" s="114"/>
      <c r="G8" s="116"/>
      <c r="H8" s="116"/>
      <c r="I8" s="116"/>
      <c r="J8" s="114"/>
      <c r="K8" s="116"/>
      <c r="L8" s="114">
        <v>24</v>
      </c>
      <c r="M8" s="116"/>
      <c r="N8" s="116"/>
      <c r="O8" s="116"/>
      <c r="P8" s="114"/>
      <c r="Q8" s="114" t="s">
        <v>2342</v>
      </c>
      <c r="R8" s="114" t="s">
        <v>1458</v>
      </c>
      <c r="S8" s="114" t="s">
        <v>690</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1"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1067</v>
      </c>
      <c r="Q9" s="114" t="s">
        <v>1032</v>
      </c>
      <c r="R9" s="114"/>
      <c r="S9" s="114" t="s">
        <v>676</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1"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2145</v>
      </c>
      <c r="Q10" s="114" t="s">
        <v>1032</v>
      </c>
      <c r="R10" s="114"/>
      <c r="S10" s="114" t="s">
        <v>672</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1"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1032</v>
      </c>
      <c r="R11" s="114"/>
      <c r="S11" s="114" t="s">
        <v>679</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1"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2092</v>
      </c>
      <c r="R12" s="114" t="s">
        <v>13</v>
      </c>
      <c r="S12" s="114" t="s">
        <v>672</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1" t="str">
        <f t="shared" si="0"/>
        <v>Leggings of the Betrayed</v>
      </c>
    </row>
    <row r="13" spans="1:25">
      <c r="A13" s="10" t="s">
        <v>969</v>
      </c>
      <c r="B13" s="116">
        <v>34385</v>
      </c>
      <c r="C13" s="116">
        <v>5</v>
      </c>
      <c r="D13" s="114">
        <v>44</v>
      </c>
      <c r="E13" s="114">
        <v>46</v>
      </c>
      <c r="F13" s="114"/>
      <c r="G13" s="116"/>
      <c r="H13" s="116"/>
      <c r="I13" s="116"/>
      <c r="J13" s="114">
        <v>189</v>
      </c>
      <c r="K13" s="116"/>
      <c r="L13" s="114">
        <v>66</v>
      </c>
      <c r="M13" s="116"/>
      <c r="N13" s="116"/>
      <c r="O13" s="116"/>
      <c r="P13" s="114"/>
      <c r="Q13" s="114" t="s">
        <v>2053</v>
      </c>
      <c r="R13" s="114" t="s">
        <v>1055</v>
      </c>
      <c r="S13" s="114" t="s">
        <v>870</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1" t="str">
        <f t="shared" si="0"/>
        <v>Leggings of the Immortal Beast</v>
      </c>
    </row>
    <row r="14" spans="1:25">
      <c r="A14" s="10" t="s">
        <v>871</v>
      </c>
      <c r="B14" s="116">
        <v>34188</v>
      </c>
      <c r="C14" s="116">
        <v>5</v>
      </c>
      <c r="D14" s="114"/>
      <c r="E14" s="114">
        <v>41</v>
      </c>
      <c r="F14" s="114">
        <v>124</v>
      </c>
      <c r="G14" s="116"/>
      <c r="H14" s="116">
        <v>32</v>
      </c>
      <c r="I14" s="116"/>
      <c r="J14" s="114">
        <v>224</v>
      </c>
      <c r="K14" s="116"/>
      <c r="L14" s="114">
        <v>48</v>
      </c>
      <c r="M14" s="116"/>
      <c r="N14" s="116"/>
      <c r="O14" s="116"/>
      <c r="P14" s="114"/>
      <c r="Q14" s="114" t="s">
        <v>2018</v>
      </c>
      <c r="R14" s="114" t="s">
        <v>1055</v>
      </c>
      <c r="S14" s="114" t="s">
        <v>870</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1"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2092</v>
      </c>
      <c r="R15" s="114" t="s">
        <v>1055</v>
      </c>
      <c r="S15" s="114" t="s">
        <v>690</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1" t="str">
        <f t="shared" si="0"/>
        <v>Leggings of the Unrepentant</v>
      </c>
    </row>
    <row r="16" spans="1:25">
      <c r="A16" s="10" t="s">
        <v>2818</v>
      </c>
      <c r="B16" s="116">
        <v>25821</v>
      </c>
      <c r="C16" s="116">
        <v>1</v>
      </c>
      <c r="D16" s="114"/>
      <c r="E16" s="114">
        <v>30</v>
      </c>
      <c r="F16" s="114">
        <v>62</v>
      </c>
      <c r="G16" s="116"/>
      <c r="H16" s="116"/>
      <c r="I16" s="116"/>
      <c r="J16" s="114"/>
      <c r="K16" s="116"/>
      <c r="L16" s="114">
        <v>45</v>
      </c>
      <c r="M16" s="116"/>
      <c r="N16" s="116"/>
      <c r="O16" s="116"/>
      <c r="P16" s="114"/>
      <c r="Q16" s="114" t="s">
        <v>1032</v>
      </c>
      <c r="R16" s="114"/>
      <c r="S16" s="114" t="s">
        <v>674</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1" t="str">
        <f t="shared" si="0"/>
        <v>Leggings of Unending Assault</v>
      </c>
    </row>
    <row r="17" spans="1:25">
      <c r="A17" s="10" t="s">
        <v>2355</v>
      </c>
      <c r="B17" s="116">
        <v>27545</v>
      </c>
      <c r="C17" s="116">
        <v>1</v>
      </c>
      <c r="D17" s="114"/>
      <c r="E17" s="114"/>
      <c r="F17" s="114">
        <v>46</v>
      </c>
      <c r="G17" s="116">
        <v>32</v>
      </c>
      <c r="H17" s="116"/>
      <c r="I17" s="116"/>
      <c r="J17" s="114"/>
      <c r="K17" s="116"/>
      <c r="L17" s="114">
        <v>25</v>
      </c>
      <c r="M17" s="116"/>
      <c r="N17" s="116"/>
      <c r="O17" s="116"/>
      <c r="P17" s="114"/>
      <c r="Q17" s="114" t="s">
        <v>2053</v>
      </c>
      <c r="R17" s="114"/>
      <c r="S17" s="114" t="s">
        <v>690</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1" t="str">
        <f t="shared" si="0"/>
        <v>Mennu's Scaled Leggings</v>
      </c>
    </row>
    <row r="18" spans="1:25">
      <c r="A18" s="10" t="s">
        <v>1112</v>
      </c>
      <c r="B18" s="116">
        <v>32000</v>
      </c>
      <c r="C18" s="116">
        <v>2</v>
      </c>
      <c r="D18" s="114"/>
      <c r="E18" s="114">
        <v>41</v>
      </c>
      <c r="F18" s="114">
        <v>42</v>
      </c>
      <c r="G18" s="116">
        <v>21</v>
      </c>
      <c r="H18" s="116"/>
      <c r="I18" s="116"/>
      <c r="J18" s="114"/>
      <c r="K18" s="116"/>
      <c r="L18" s="114">
        <v>60</v>
      </c>
      <c r="M18" s="116"/>
      <c r="N18" s="116">
        <v>40</v>
      </c>
      <c r="O18" s="116"/>
      <c r="P18" s="114" t="s">
        <v>1067</v>
      </c>
      <c r="Q18" s="114" t="s">
        <v>1113</v>
      </c>
      <c r="R18" s="114"/>
      <c r="S18" s="114" t="s">
        <v>676</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1" t="str">
        <f t="shared" si="0"/>
        <v>Merciless Gladiator's Leather Legguards</v>
      </c>
    </row>
    <row r="19" spans="1:25">
      <c r="A19" s="10" t="s">
        <v>481</v>
      </c>
      <c r="B19" s="116">
        <v>30538</v>
      </c>
      <c r="C19" s="116">
        <v>1</v>
      </c>
      <c r="D19" s="114"/>
      <c r="E19" s="114"/>
      <c r="F19" s="114">
        <v>64</v>
      </c>
      <c r="G19" s="116">
        <v>27</v>
      </c>
      <c r="H19" s="116">
        <v>17</v>
      </c>
      <c r="I19" s="116"/>
      <c r="J19" s="114"/>
      <c r="K19" s="116"/>
      <c r="L19" s="114">
        <v>30</v>
      </c>
      <c r="M19" s="116"/>
      <c r="N19" s="116"/>
      <c r="O19" s="116"/>
      <c r="P19" s="114"/>
      <c r="Q19" s="114" t="s">
        <v>2053</v>
      </c>
      <c r="R19" s="114" t="s">
        <v>2019</v>
      </c>
      <c r="S19" s="114" t="s">
        <v>690</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1" t="str">
        <f t="shared" si="0"/>
        <v>Midnight Legguards</v>
      </c>
    </row>
    <row r="20" spans="1:25">
      <c r="A20" s="10" t="s">
        <v>482</v>
      </c>
      <c r="B20" s="116">
        <v>29046</v>
      </c>
      <c r="C20" s="116">
        <v>1</v>
      </c>
      <c r="D20" s="114"/>
      <c r="E20" s="114">
        <v>43</v>
      </c>
      <c r="F20" s="114">
        <v>84</v>
      </c>
      <c r="G20" s="116"/>
      <c r="H20" s="116">
        <v>26</v>
      </c>
      <c r="I20" s="116"/>
      <c r="J20" s="114"/>
      <c r="K20" s="116"/>
      <c r="L20" s="114">
        <v>40</v>
      </c>
      <c r="M20" s="116"/>
      <c r="N20" s="116"/>
      <c r="O20" s="116"/>
      <c r="P20" s="114" t="s">
        <v>1077</v>
      </c>
      <c r="Q20" s="114" t="s">
        <v>1032</v>
      </c>
      <c r="R20" s="114"/>
      <c r="S20" s="114" t="s">
        <v>677</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1" t="str">
        <f t="shared" si="0"/>
        <v>Netherblade Breeches</v>
      </c>
    </row>
    <row r="21" spans="1:25">
      <c r="A21" s="10" t="s">
        <v>2819</v>
      </c>
      <c r="B21" s="114">
        <v>29116</v>
      </c>
      <c r="C21" s="114">
        <v>1</v>
      </c>
      <c r="D21" s="114"/>
      <c r="E21" s="114">
        <v>33</v>
      </c>
      <c r="F21" s="114">
        <v>66</v>
      </c>
      <c r="G21" s="114"/>
      <c r="H21" s="114"/>
      <c r="I21" s="114"/>
      <c r="J21" s="114"/>
      <c r="K21" s="114"/>
      <c r="L21" s="114">
        <v>49</v>
      </c>
      <c r="M21" s="114"/>
      <c r="N21" s="114"/>
      <c r="O21" s="114"/>
      <c r="P21" s="114"/>
      <c r="Q21" s="114" t="s">
        <v>1032</v>
      </c>
      <c r="R21" s="114"/>
      <c r="S21" s="114" t="s">
        <v>675</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1" t="str">
        <f t="shared" si="0"/>
        <v>Nomad's Leggings</v>
      </c>
    </row>
    <row r="22" spans="1:25">
      <c r="A22" s="10" t="s">
        <v>483</v>
      </c>
      <c r="B22" s="114">
        <v>31545</v>
      </c>
      <c r="C22" s="114">
        <v>1</v>
      </c>
      <c r="D22" s="114"/>
      <c r="E22" s="114"/>
      <c r="F22" s="114">
        <v>60</v>
      </c>
      <c r="G22" s="114">
        <v>30</v>
      </c>
      <c r="H22" s="114">
        <v>25</v>
      </c>
      <c r="I22" s="114"/>
      <c r="J22" s="114"/>
      <c r="K22" s="114"/>
      <c r="L22" s="114">
        <v>24</v>
      </c>
      <c r="M22" s="114"/>
      <c r="N22" s="114"/>
      <c r="O22" s="114"/>
      <c r="P22" s="114"/>
      <c r="Q22" s="114" t="s">
        <v>1032</v>
      </c>
      <c r="R22" s="114"/>
      <c r="S22" s="114" t="s">
        <v>674</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1" t="str">
        <f t="shared" si="0"/>
        <v>Oilcloth Breeches</v>
      </c>
    </row>
    <row r="23" spans="1:25" s="129" customFormat="1">
      <c r="A23" s="10" t="s">
        <v>702</v>
      </c>
      <c r="B23" s="116">
        <v>35368</v>
      </c>
      <c r="C23" s="116">
        <v>1</v>
      </c>
      <c r="D23" s="114"/>
      <c r="E23" s="114">
        <v>28</v>
      </c>
      <c r="F23" s="114">
        <v>28</v>
      </c>
      <c r="G23" s="116">
        <v>14</v>
      </c>
      <c r="H23" s="116"/>
      <c r="I23" s="116"/>
      <c r="J23" s="114"/>
      <c r="K23" s="116"/>
      <c r="L23" s="114">
        <v>42</v>
      </c>
      <c r="M23" s="116"/>
      <c r="N23" s="116">
        <v>28</v>
      </c>
      <c r="O23" s="116"/>
      <c r="P23" s="114" t="s">
        <v>2858</v>
      </c>
      <c r="Q23" s="114" t="s">
        <v>1032</v>
      </c>
      <c r="R23" s="114"/>
      <c r="S23" s="114" t="s">
        <v>675</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1" t="str">
        <f t="shared" si="0"/>
        <v>Opportunist's Leather Legguards</v>
      </c>
    </row>
    <row r="24" spans="1:25" s="129" customFormat="1">
      <c r="A24" s="10" t="s">
        <v>484</v>
      </c>
      <c r="B24" s="116">
        <v>29131</v>
      </c>
      <c r="C24" s="116">
        <v>1</v>
      </c>
      <c r="D24" s="114"/>
      <c r="E24" s="114"/>
      <c r="F24" s="114">
        <v>92</v>
      </c>
      <c r="G24" s="116"/>
      <c r="H24" s="116">
        <v>26</v>
      </c>
      <c r="I24" s="116"/>
      <c r="J24" s="114"/>
      <c r="K24" s="116"/>
      <c r="L24" s="114">
        <v>28</v>
      </c>
      <c r="M24" s="116"/>
      <c r="N24" s="116"/>
      <c r="O24" s="116"/>
      <c r="P24" s="114"/>
      <c r="Q24" s="114" t="s">
        <v>1032</v>
      </c>
      <c r="R24" s="114"/>
      <c r="S24" s="114" t="s">
        <v>675</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1" t="str">
        <f t="shared" si="0"/>
        <v>Retainer's Leggings</v>
      </c>
    </row>
    <row r="25" spans="1:25">
      <c r="A25" s="10" t="s">
        <v>485</v>
      </c>
      <c r="B25" s="116">
        <v>30898</v>
      </c>
      <c r="C25" s="116">
        <v>3</v>
      </c>
      <c r="D25" s="114"/>
      <c r="E25" s="114">
        <v>50</v>
      </c>
      <c r="F25" s="114">
        <v>102</v>
      </c>
      <c r="G25" s="116"/>
      <c r="H25" s="116"/>
      <c r="I25" s="116"/>
      <c r="J25" s="114">
        <v>175</v>
      </c>
      <c r="K25" s="116"/>
      <c r="L25" s="114">
        <v>61</v>
      </c>
      <c r="M25" s="116"/>
      <c r="N25" s="116"/>
      <c r="O25" s="116"/>
      <c r="P25" s="114"/>
      <c r="Q25" s="114" t="s">
        <v>1032</v>
      </c>
      <c r="R25" s="114"/>
      <c r="S25" s="114" t="s">
        <v>683</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1" t="str">
        <f t="shared" si="0"/>
        <v>Shady Dealer's Pantaloons</v>
      </c>
    </row>
    <row r="26" spans="1:25">
      <c r="A26" s="130" t="s">
        <v>1432</v>
      </c>
      <c r="B26" s="116">
        <v>33538</v>
      </c>
      <c r="C26" s="116">
        <v>3</v>
      </c>
      <c r="D26" s="114"/>
      <c r="E26" s="114">
        <v>45</v>
      </c>
      <c r="F26" s="114">
        <v>92</v>
      </c>
      <c r="G26" s="116"/>
      <c r="H26" s="116"/>
      <c r="I26" s="116">
        <v>30</v>
      </c>
      <c r="J26" s="114"/>
      <c r="K26" s="116"/>
      <c r="L26" s="114">
        <v>46</v>
      </c>
      <c r="M26" s="116"/>
      <c r="N26" s="116"/>
      <c r="O26" s="116"/>
      <c r="P26" s="114"/>
      <c r="Q26" s="114" t="s">
        <v>1032</v>
      </c>
      <c r="R26" s="114"/>
      <c r="S26" s="114" t="s">
        <v>690</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Shallow-grave Trousers</v>
      </c>
    </row>
    <row r="27" spans="1:25">
      <c r="A27" s="10" t="s">
        <v>2356</v>
      </c>
      <c r="B27" s="116">
        <v>30257</v>
      </c>
      <c r="C27" s="116">
        <v>1</v>
      </c>
      <c r="D27" s="114">
        <v>35</v>
      </c>
      <c r="E27" s="114">
        <v>25</v>
      </c>
      <c r="F27" s="114"/>
      <c r="G27" s="116"/>
      <c r="H27" s="116"/>
      <c r="I27" s="116"/>
      <c r="J27" s="114"/>
      <c r="K27" s="116">
        <v>22</v>
      </c>
      <c r="L27" s="114">
        <v>27</v>
      </c>
      <c r="M27" s="116"/>
      <c r="N27" s="116"/>
      <c r="O27" s="116"/>
      <c r="P27" s="114"/>
      <c r="Q27" s="114" t="s">
        <v>1032</v>
      </c>
      <c r="R27" s="114"/>
      <c r="S27" s="114" t="s">
        <v>674</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1" t="str">
        <f t="shared" si="0"/>
        <v>Shattrath Leggings</v>
      </c>
    </row>
    <row r="28" spans="1:25">
      <c r="A28" s="10" t="s">
        <v>2080</v>
      </c>
      <c r="B28" s="116">
        <v>28741</v>
      </c>
      <c r="C28" s="116">
        <v>1</v>
      </c>
      <c r="D28" s="114"/>
      <c r="E28" s="114">
        <v>32</v>
      </c>
      <c r="F28" s="114">
        <v>64</v>
      </c>
      <c r="G28" s="116"/>
      <c r="H28" s="116">
        <v>28</v>
      </c>
      <c r="I28" s="116"/>
      <c r="J28" s="114"/>
      <c r="K28" s="116"/>
      <c r="L28" s="114">
        <v>28</v>
      </c>
      <c r="M28" s="116"/>
      <c r="N28" s="116"/>
      <c r="O28" s="116"/>
      <c r="P28" s="114"/>
      <c r="Q28" s="114" t="s">
        <v>2053</v>
      </c>
      <c r="R28" s="114" t="s">
        <v>1071</v>
      </c>
      <c r="S28" s="114" t="s">
        <v>671</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1" t="str">
        <f t="shared" si="0"/>
        <v>Skulker's Greaves</v>
      </c>
    </row>
    <row r="29" spans="1:25">
      <c r="A29" s="10" t="s">
        <v>486</v>
      </c>
      <c r="B29" s="116">
        <v>31029</v>
      </c>
      <c r="C29" s="116">
        <v>3</v>
      </c>
      <c r="D29" s="114"/>
      <c r="E29" s="114">
        <v>46</v>
      </c>
      <c r="F29" s="114">
        <v>94</v>
      </c>
      <c r="G29" s="116">
        <v>45</v>
      </c>
      <c r="H29" s="116"/>
      <c r="I29" s="116"/>
      <c r="J29" s="114"/>
      <c r="K29" s="116"/>
      <c r="L29" s="114">
        <v>54</v>
      </c>
      <c r="M29" s="116"/>
      <c r="N29" s="116"/>
      <c r="O29" s="116"/>
      <c r="P29" s="114" t="s">
        <v>998</v>
      </c>
      <c r="Q29" s="114" t="s">
        <v>1038</v>
      </c>
      <c r="R29" s="114" t="s">
        <v>1065</v>
      </c>
      <c r="S29" s="114" t="s">
        <v>682</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Slayer's Legguards</v>
      </c>
    </row>
    <row r="30" spans="1:25">
      <c r="A30" s="10" t="s">
        <v>1887</v>
      </c>
      <c r="B30" s="116">
        <v>34910</v>
      </c>
      <c r="C30" s="116">
        <v>5</v>
      </c>
      <c r="D30" s="114">
        <v>39</v>
      </c>
      <c r="E30" s="114">
        <v>45</v>
      </c>
      <c r="F30" s="114"/>
      <c r="G30" s="116"/>
      <c r="H30" s="116"/>
      <c r="I30" s="116">
        <v>17</v>
      </c>
      <c r="J30" s="114"/>
      <c r="K30" s="116"/>
      <c r="L30" s="114">
        <v>52</v>
      </c>
      <c r="M30" s="116"/>
      <c r="N30" s="116"/>
      <c r="O30" s="116"/>
      <c r="P30" s="114"/>
      <c r="Q30" s="114" t="s">
        <v>1044</v>
      </c>
      <c r="R30" s="114" t="s">
        <v>1458</v>
      </c>
      <c r="S30" s="114" t="s">
        <v>690</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Tameless Breeches</v>
      </c>
    </row>
    <row r="31" spans="1:25">
      <c r="A31" s="10" t="s">
        <v>1889</v>
      </c>
      <c r="B31" s="116">
        <v>34928</v>
      </c>
      <c r="C31" s="116">
        <v>5</v>
      </c>
      <c r="D31" s="114"/>
      <c r="E31" s="114">
        <v>43</v>
      </c>
      <c r="F31" s="114">
        <v>104</v>
      </c>
      <c r="G31" s="116"/>
      <c r="H31" s="116">
        <v>30</v>
      </c>
      <c r="I31" s="116"/>
      <c r="J31" s="114"/>
      <c r="K31" s="116"/>
      <c r="L31" s="114">
        <v>45</v>
      </c>
      <c r="M31" s="116"/>
      <c r="N31" s="116"/>
      <c r="O31" s="116"/>
      <c r="P31" s="114"/>
      <c r="Q31" s="114" t="s">
        <v>1040</v>
      </c>
      <c r="R31" s="114" t="s">
        <v>1446</v>
      </c>
      <c r="S31" s="114" t="s">
        <v>690</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1" t="str">
        <f t="shared" si="0"/>
        <v>Trousers of the Scryers' Retainer</v>
      </c>
    </row>
    <row r="32" spans="1:25">
      <c r="A32" s="10" t="s">
        <v>1528</v>
      </c>
      <c r="B32" s="116">
        <v>33702</v>
      </c>
      <c r="C32" s="116">
        <v>3</v>
      </c>
      <c r="D32" s="114"/>
      <c r="E32" s="114">
        <v>35</v>
      </c>
      <c r="F32" s="114">
        <v>50</v>
      </c>
      <c r="G32" s="116">
        <v>25</v>
      </c>
      <c r="H32" s="116">
        <v>12</v>
      </c>
      <c r="I32" s="116"/>
      <c r="J32" s="114">
        <v>48</v>
      </c>
      <c r="K32" s="116"/>
      <c r="L32" s="114">
        <v>67</v>
      </c>
      <c r="M32" s="116"/>
      <c r="N32" s="116">
        <v>40</v>
      </c>
      <c r="O32" s="116"/>
      <c r="P32" s="114" t="s">
        <v>1067</v>
      </c>
      <c r="Q32" s="114" t="s">
        <v>1032</v>
      </c>
      <c r="R32" s="114"/>
      <c r="S32" s="114" t="s">
        <v>676</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1" t="str">
        <f t="shared" si="0"/>
        <v>Vengeful Gladiator's Leather Legguards</v>
      </c>
    </row>
    <row r="33" spans="1:25">
      <c r="A33" s="10" t="s">
        <v>487</v>
      </c>
      <c r="B33" s="116">
        <v>28347</v>
      </c>
      <c r="C33" s="116">
        <v>1</v>
      </c>
      <c r="D33" s="114"/>
      <c r="E33" s="114">
        <v>32</v>
      </c>
      <c r="F33" s="114">
        <v>56</v>
      </c>
      <c r="G33" s="116"/>
      <c r="H33" s="116">
        <v>14</v>
      </c>
      <c r="I33" s="116"/>
      <c r="J33" s="114"/>
      <c r="K33" s="116"/>
      <c r="L33" s="114">
        <v>31</v>
      </c>
      <c r="M33" s="116">
        <v>21</v>
      </c>
      <c r="N33" s="116"/>
      <c r="O33" s="116"/>
      <c r="P33" s="114"/>
      <c r="Q33" s="114" t="s">
        <v>1032</v>
      </c>
      <c r="R33" s="114"/>
      <c r="S33" s="114" t="s">
        <v>672</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1" t="str">
        <f t="shared" si="0"/>
        <v>Warpscale Leggings</v>
      </c>
    </row>
    <row r="34" spans="1:25">
      <c r="A34" s="10" t="s">
        <v>792</v>
      </c>
      <c r="B34" s="116">
        <v>27837</v>
      </c>
      <c r="C34" s="116">
        <v>1</v>
      </c>
      <c r="D34" s="114"/>
      <c r="E34" s="114">
        <v>31</v>
      </c>
      <c r="F34" s="114">
        <v>28</v>
      </c>
      <c r="G34" s="116"/>
      <c r="H34" s="116">
        <v>19</v>
      </c>
      <c r="I34" s="116"/>
      <c r="J34" s="114"/>
      <c r="K34" s="116"/>
      <c r="L34" s="114">
        <v>27</v>
      </c>
      <c r="M34" s="116"/>
      <c r="N34" s="116"/>
      <c r="O34" s="116"/>
      <c r="P34" s="114" t="s">
        <v>1003</v>
      </c>
      <c r="Q34" s="114" t="s">
        <v>2053</v>
      </c>
      <c r="R34" s="114" t="s">
        <v>1068</v>
      </c>
      <c r="S34" s="114" t="s">
        <v>690</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1" t="str">
        <f t="shared" si="0"/>
        <v>Wastewalker Leggings</v>
      </c>
    </row>
    <row r="35" spans="1:25">
      <c r="A35" s="10" t="s">
        <v>2820</v>
      </c>
      <c r="B35" s="116">
        <v>30014</v>
      </c>
      <c r="C35" s="116">
        <v>1</v>
      </c>
      <c r="D35" s="114"/>
      <c r="E35" s="114">
        <v>31</v>
      </c>
      <c r="F35" s="114">
        <v>62</v>
      </c>
      <c r="G35" s="116"/>
      <c r="H35" s="116"/>
      <c r="I35" s="116"/>
      <c r="J35" s="114"/>
      <c r="K35" s="116"/>
      <c r="L35" s="114">
        <v>46</v>
      </c>
      <c r="M35" s="116"/>
      <c r="N35" s="116"/>
      <c r="O35" s="116"/>
      <c r="P35" s="114"/>
      <c r="Q35" s="114" t="s">
        <v>1032</v>
      </c>
      <c r="R35" s="114"/>
      <c r="S35" s="114" t="s">
        <v>674</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1"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2206</v>
      </c>
      <c r="B37" s="695"/>
      <c r="C37" s="695"/>
      <c r="D37" s="695"/>
      <c r="E37" s="695"/>
      <c r="F37" s="695"/>
      <c r="G37" s="696"/>
      <c r="H37" s="696"/>
      <c r="I37" s="695"/>
      <c r="J37" s="695"/>
      <c r="K37" s="695"/>
      <c r="L37" s="695"/>
      <c r="M37" s="696"/>
      <c r="N37" s="696"/>
      <c r="O37" s="695"/>
      <c r="P37" s="695"/>
      <c r="Q37" s="695" t="s">
        <v>1032</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793</v>
      </c>
      <c r="B40" s="729" t="s">
        <v>1933</v>
      </c>
      <c r="C40" s="729" t="s">
        <v>2795</v>
      </c>
      <c r="D40" s="730" t="s">
        <v>1213</v>
      </c>
      <c r="E40" s="730" t="s">
        <v>1214</v>
      </c>
      <c r="F40" s="730" t="s">
        <v>767</v>
      </c>
      <c r="G40" s="729" t="s">
        <v>2139</v>
      </c>
      <c r="H40" s="729" t="s">
        <v>2138</v>
      </c>
      <c r="I40" s="729" t="s">
        <v>770</v>
      </c>
      <c r="J40" s="731" t="s">
        <v>769</v>
      </c>
      <c r="K40" s="729" t="s">
        <v>759</v>
      </c>
      <c r="L40" s="730" t="s">
        <v>1215</v>
      </c>
      <c r="M40" s="729" t="s">
        <v>264</v>
      </c>
      <c r="N40" s="729" t="s">
        <v>1216</v>
      </c>
      <c r="O40" s="729" t="s">
        <v>1286</v>
      </c>
      <c r="P40" s="729" t="s">
        <v>1045</v>
      </c>
      <c r="Q40" s="730" t="s">
        <v>1046</v>
      </c>
      <c r="R40" s="730" t="s">
        <v>1940</v>
      </c>
      <c r="S40" s="730" t="s">
        <v>665</v>
      </c>
      <c r="T40" s="729" t="s">
        <v>920</v>
      </c>
      <c r="U40" s="732" t="s">
        <v>265</v>
      </c>
      <c r="V40" s="743">
        <v>0</v>
      </c>
      <c r="W40" s="740"/>
      <c r="X40" s="758" t="s">
        <v>1688</v>
      </c>
    </row>
    <row r="41" spans="1:25">
      <c r="A41" s="694" t="s">
        <v>1340</v>
      </c>
      <c r="B41" s="696">
        <v>3011</v>
      </c>
      <c r="C41" s="696">
        <v>1</v>
      </c>
      <c r="D41" s="695"/>
      <c r="E41" s="695">
        <v>10</v>
      </c>
      <c r="F41" s="695"/>
      <c r="G41" s="696"/>
      <c r="H41" s="696"/>
      <c r="I41" s="696"/>
      <c r="J41" s="698"/>
      <c r="K41" s="696"/>
      <c r="L41" s="695">
        <v>30</v>
      </c>
      <c r="M41" s="696"/>
      <c r="N41" s="696"/>
      <c r="O41" s="696"/>
      <c r="P41" s="696"/>
      <c r="Q41" s="696"/>
      <c r="R41" s="696"/>
      <c r="S41" s="695" t="s">
        <v>1688</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t="str">
        <f>" "</f>
        <v xml:space="preserve"> </v>
      </c>
      <c r="Y41" s="129"/>
    </row>
    <row r="42" spans="1:25">
      <c r="A42" s="676" t="s">
        <v>1413</v>
      </c>
      <c r="B42" s="678">
        <v>3010</v>
      </c>
      <c r="C42" s="678">
        <v>1</v>
      </c>
      <c r="D42" s="677"/>
      <c r="E42" s="677"/>
      <c r="F42" s="677">
        <v>40</v>
      </c>
      <c r="G42" s="678">
        <v>10</v>
      </c>
      <c r="H42" s="678"/>
      <c r="I42" s="678"/>
      <c r="J42" s="681"/>
      <c r="K42" s="678"/>
      <c r="L42" s="677"/>
      <c r="M42" s="678"/>
      <c r="N42" s="678"/>
      <c r="O42" s="678"/>
      <c r="P42" s="681"/>
      <c r="Q42" s="681"/>
      <c r="R42" s="681"/>
      <c r="S42" s="695" t="s">
        <v>1688</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794</v>
      </c>
      <c r="B43" s="678">
        <v>2585</v>
      </c>
      <c r="C43" s="678">
        <v>1</v>
      </c>
      <c r="D43" s="677"/>
      <c r="E43" s="677"/>
      <c r="F43" s="677">
        <v>28</v>
      </c>
      <c r="G43" s="678"/>
      <c r="H43" s="678"/>
      <c r="I43" s="678"/>
      <c r="J43" s="681"/>
      <c r="K43" s="678"/>
      <c r="L43" s="677"/>
      <c r="M43" s="678">
        <v>12</v>
      </c>
      <c r="N43" s="678"/>
      <c r="O43" s="678"/>
      <c r="P43" s="716"/>
      <c r="Q43" s="716"/>
      <c r="R43" s="716"/>
      <c r="S43" s="695" t="s">
        <v>1688</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1103</v>
      </c>
      <c r="B44" s="678">
        <v>2543</v>
      </c>
      <c r="C44" s="678">
        <v>1</v>
      </c>
      <c r="D44" s="677"/>
      <c r="E44" s="677"/>
      <c r="F44" s="677"/>
      <c r="G44" s="678"/>
      <c r="H44" s="678"/>
      <c r="I44" s="678">
        <v>10</v>
      </c>
      <c r="J44" s="681"/>
      <c r="K44" s="678"/>
      <c r="L44" s="677"/>
      <c r="M44" s="678"/>
      <c r="N44" s="678"/>
      <c r="O44" s="678"/>
      <c r="P44" s="681"/>
      <c r="Q44" s="681"/>
      <c r="R44" s="681"/>
      <c r="S44" s="695" t="s">
        <v>1688</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1104</v>
      </c>
      <c r="B45" s="677">
        <v>1508</v>
      </c>
      <c r="C45" s="677">
        <v>1</v>
      </c>
      <c r="D45" s="677"/>
      <c r="E45" s="677">
        <v>8</v>
      </c>
      <c r="F45" s="677"/>
      <c r="G45" s="678"/>
      <c r="H45" s="678"/>
      <c r="I45" s="678"/>
      <c r="J45" s="678"/>
      <c r="K45" s="678"/>
      <c r="L45" s="677"/>
      <c r="M45" s="678"/>
      <c r="N45" s="678"/>
      <c r="O45" s="678"/>
      <c r="P45" s="678"/>
      <c r="Q45" s="678"/>
      <c r="R45" s="678"/>
      <c r="S45" s="695" t="s">
        <v>1688</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1918</v>
      </c>
      <c r="B46" s="678">
        <v>3013</v>
      </c>
      <c r="C46" s="678">
        <v>1</v>
      </c>
      <c r="D46" s="677"/>
      <c r="E46" s="677">
        <v>12</v>
      </c>
      <c r="F46" s="677"/>
      <c r="G46" s="678"/>
      <c r="H46" s="678"/>
      <c r="I46" s="678"/>
      <c r="J46" s="681"/>
      <c r="K46" s="678"/>
      <c r="L46" s="677">
        <v>40</v>
      </c>
      <c r="M46" s="678"/>
      <c r="N46" s="678"/>
      <c r="O46" s="678"/>
      <c r="P46" s="774"/>
      <c r="Q46" s="774"/>
      <c r="R46" s="774"/>
      <c r="S46" s="695" t="s">
        <v>1688</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1341</v>
      </c>
      <c r="B47" s="678">
        <v>3012</v>
      </c>
      <c r="C47" s="678">
        <v>1</v>
      </c>
      <c r="D47" s="677"/>
      <c r="E47" s="677"/>
      <c r="F47" s="677">
        <v>50</v>
      </c>
      <c r="G47" s="678">
        <v>12</v>
      </c>
      <c r="H47" s="678"/>
      <c r="I47" s="678"/>
      <c r="J47" s="681"/>
      <c r="K47" s="678"/>
      <c r="L47" s="677"/>
      <c r="M47" s="678"/>
      <c r="N47" s="678"/>
      <c r="O47" s="678"/>
      <c r="P47" s="684"/>
      <c r="Q47" s="684"/>
      <c r="R47" s="684"/>
      <c r="S47" s="695" t="s">
        <v>1688</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2206</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W4" sqref="W4:W34"/>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265</v>
      </c>
      <c r="V1" s="743">
        <v>0</v>
      </c>
      <c r="W1" s="743"/>
      <c r="X1" s="752" t="s">
        <v>2077</v>
      </c>
    </row>
    <row r="2" spans="1:25">
      <c r="A2" s="10" t="s">
        <v>1919</v>
      </c>
      <c r="B2" s="114">
        <v>30891</v>
      </c>
      <c r="C2" s="114">
        <v>3</v>
      </c>
      <c r="D2" s="114"/>
      <c r="E2" s="114"/>
      <c r="F2" s="114">
        <v>98</v>
      </c>
      <c r="G2" s="116"/>
      <c r="H2" s="116">
        <v>34</v>
      </c>
      <c r="I2" s="114"/>
      <c r="J2" s="114"/>
      <c r="K2" s="114"/>
      <c r="L2" s="114">
        <v>41</v>
      </c>
      <c r="M2" s="116"/>
      <c r="N2" s="116"/>
      <c r="O2" s="114"/>
      <c r="P2" s="114"/>
      <c r="Q2" s="114" t="s">
        <v>1032</v>
      </c>
      <c r="R2" s="114"/>
      <c r="S2" s="114" t="s">
        <v>683</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1688</v>
      </c>
      <c r="Y2" s="1391" t="str">
        <f>HYPERLINK("https://tbc.wowhead.com/item="&amp;B2,A2)</f>
        <v>Black Featherlight Boots</v>
      </c>
    </row>
    <row r="3" spans="1:25">
      <c r="A3" s="10" t="s">
        <v>2357</v>
      </c>
      <c r="B3" s="114">
        <v>22480</v>
      </c>
      <c r="C3" s="114">
        <v>1</v>
      </c>
      <c r="D3" s="114"/>
      <c r="E3" s="114"/>
      <c r="F3" s="114">
        <v>64</v>
      </c>
      <c r="G3" s="116">
        <v>14</v>
      </c>
      <c r="H3" s="116">
        <v>10</v>
      </c>
      <c r="I3" s="114"/>
      <c r="J3" s="114"/>
      <c r="K3" s="114"/>
      <c r="L3" s="114">
        <v>18</v>
      </c>
      <c r="M3" s="116"/>
      <c r="N3" s="116"/>
      <c r="O3" s="114"/>
      <c r="P3" s="114" t="s">
        <v>2334</v>
      </c>
      <c r="Q3" s="114" t="s">
        <v>1032</v>
      </c>
      <c r="R3" s="114"/>
      <c r="S3" s="114" t="s">
        <v>667</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1" t="str">
        <f t="shared" ref="Y3:Y31" si="0">HYPERLINK("https://tbc.wowhead.com/item="&amp;B3,A3)</f>
        <v>Bonescythe Sabatons</v>
      </c>
    </row>
    <row r="4" spans="1:25">
      <c r="A4" s="10" t="s">
        <v>664</v>
      </c>
      <c r="B4" s="114">
        <v>30060</v>
      </c>
      <c r="C4" s="114">
        <v>2</v>
      </c>
      <c r="D4" s="114"/>
      <c r="E4" s="114">
        <v>42</v>
      </c>
      <c r="F4" s="114">
        <v>58</v>
      </c>
      <c r="G4" s="116"/>
      <c r="H4" s="116"/>
      <c r="I4" s="114"/>
      <c r="J4" s="114"/>
      <c r="K4" s="114"/>
      <c r="L4" s="114">
        <v>41</v>
      </c>
      <c r="M4" s="116"/>
      <c r="N4" s="116"/>
      <c r="O4" s="114"/>
      <c r="P4" s="114"/>
      <c r="Q4" s="114" t="s">
        <v>1032</v>
      </c>
      <c r="R4" s="114"/>
      <c r="S4" s="114" t="s">
        <v>666</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1" t="str">
        <f t="shared" si="0"/>
        <v>Boots of Effortless Striking</v>
      </c>
    </row>
    <row r="5" spans="1:25">
      <c r="A5" s="10" t="s">
        <v>692</v>
      </c>
      <c r="B5" s="116">
        <v>28339</v>
      </c>
      <c r="C5" s="116">
        <v>1</v>
      </c>
      <c r="D5" s="114"/>
      <c r="E5" s="114"/>
      <c r="F5" s="114">
        <v>40</v>
      </c>
      <c r="G5" s="116">
        <v>19</v>
      </c>
      <c r="H5" s="116"/>
      <c r="I5" s="116"/>
      <c r="J5" s="114"/>
      <c r="K5" s="116"/>
      <c r="L5" s="114">
        <v>30</v>
      </c>
      <c r="M5" s="116"/>
      <c r="N5" s="116"/>
      <c r="O5" s="116"/>
      <c r="P5" s="114"/>
      <c r="Q5" s="114" t="s">
        <v>1044</v>
      </c>
      <c r="R5" s="114" t="s">
        <v>1446</v>
      </c>
      <c r="S5" s="114" t="s">
        <v>672</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1" t="str">
        <f t="shared" si="0"/>
        <v>Boots of the Shifting Sands</v>
      </c>
    </row>
    <row r="6" spans="1:25">
      <c r="A6" s="10" t="s">
        <v>693</v>
      </c>
      <c r="B6" s="116">
        <v>27867</v>
      </c>
      <c r="C6" s="116">
        <v>1</v>
      </c>
      <c r="D6" s="114"/>
      <c r="E6" s="114"/>
      <c r="F6" s="114">
        <v>64</v>
      </c>
      <c r="G6" s="116">
        <v>19</v>
      </c>
      <c r="H6" s="116">
        <v>13</v>
      </c>
      <c r="I6" s="116"/>
      <c r="J6" s="114"/>
      <c r="K6" s="116"/>
      <c r="L6" s="114">
        <v>25</v>
      </c>
      <c r="M6" s="116"/>
      <c r="N6" s="116"/>
      <c r="O6" s="116"/>
      <c r="P6" s="114"/>
      <c r="Q6" s="114" t="s">
        <v>1032</v>
      </c>
      <c r="R6" s="114"/>
      <c r="S6" s="114" t="s">
        <v>690</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1" t="str">
        <f t="shared" si="0"/>
        <v>Boots of the Unjust</v>
      </c>
    </row>
    <row r="7" spans="1:25">
      <c r="A7" s="10" t="s">
        <v>694</v>
      </c>
      <c r="B7" s="116">
        <v>30039</v>
      </c>
      <c r="C7" s="116">
        <v>2</v>
      </c>
      <c r="D7" s="114"/>
      <c r="E7" s="114"/>
      <c r="F7" s="114">
        <v>66</v>
      </c>
      <c r="G7" s="116">
        <v>32</v>
      </c>
      <c r="H7" s="116">
        <v>23</v>
      </c>
      <c r="I7" s="116"/>
      <c r="J7" s="114"/>
      <c r="K7" s="116"/>
      <c r="L7" s="114">
        <v>34</v>
      </c>
      <c r="M7" s="116"/>
      <c r="N7" s="116"/>
      <c r="O7" s="116"/>
      <c r="P7" s="114"/>
      <c r="Q7" s="114" t="s">
        <v>1032</v>
      </c>
      <c r="R7" s="114"/>
      <c r="S7" s="114" t="s">
        <v>686</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1"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1044</v>
      </c>
      <c r="R8" s="114" t="s">
        <v>1446</v>
      </c>
      <c r="S8" s="114" t="s">
        <v>671</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1" t="str">
        <f t="shared" si="0"/>
        <v>Edgewalker Longboots</v>
      </c>
    </row>
    <row r="9" spans="1:25" s="129" customFormat="1">
      <c r="A9" s="10" t="s">
        <v>695</v>
      </c>
      <c r="B9" s="116">
        <v>30401</v>
      </c>
      <c r="C9" s="116">
        <v>1</v>
      </c>
      <c r="D9" s="114"/>
      <c r="E9" s="114">
        <v>16</v>
      </c>
      <c r="F9" s="114">
        <v>56</v>
      </c>
      <c r="G9" s="116">
        <v>16</v>
      </c>
      <c r="H9" s="116"/>
      <c r="I9" s="116"/>
      <c r="J9" s="114"/>
      <c r="K9" s="116"/>
      <c r="L9" s="114"/>
      <c r="M9" s="116"/>
      <c r="N9" s="116"/>
      <c r="O9" s="116"/>
      <c r="P9" s="114"/>
      <c r="Q9" s="114" t="s">
        <v>1032</v>
      </c>
      <c r="R9" s="114"/>
      <c r="S9" s="114" t="s">
        <v>674</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1" t="str">
        <f t="shared" si="0"/>
        <v>Farahlite Studded Boots</v>
      </c>
    </row>
    <row r="10" spans="1:25">
      <c r="A10" s="10" t="s">
        <v>888</v>
      </c>
      <c r="B10" s="116">
        <v>25686</v>
      </c>
      <c r="C10" s="116">
        <v>1</v>
      </c>
      <c r="D10" s="114"/>
      <c r="E10" s="114"/>
      <c r="F10" s="114">
        <v>36</v>
      </c>
      <c r="G10" s="116">
        <v>17</v>
      </c>
      <c r="H10" s="116">
        <v>25</v>
      </c>
      <c r="I10" s="116"/>
      <c r="J10" s="114"/>
      <c r="K10" s="116"/>
      <c r="L10" s="114"/>
      <c r="M10" s="116"/>
      <c r="N10" s="116"/>
      <c r="O10" s="116"/>
      <c r="P10" s="114" t="s">
        <v>1312</v>
      </c>
      <c r="Q10" s="114" t="s">
        <v>1044</v>
      </c>
      <c r="R10" s="114" t="s">
        <v>1464</v>
      </c>
      <c r="S10" s="114" t="s">
        <v>684</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1" t="str">
        <f t="shared" si="0"/>
        <v>Fel Leather Boots</v>
      </c>
    </row>
    <row r="11" spans="1:25">
      <c r="A11" s="10" t="s">
        <v>887</v>
      </c>
      <c r="B11" s="116">
        <v>30939</v>
      </c>
      <c r="C11" s="116">
        <v>1</v>
      </c>
      <c r="D11" s="114"/>
      <c r="E11" s="114">
        <v>18</v>
      </c>
      <c r="F11" s="114">
        <v>68</v>
      </c>
      <c r="G11" s="116"/>
      <c r="H11" s="116">
        <v>9</v>
      </c>
      <c r="I11" s="116"/>
      <c r="J11" s="114"/>
      <c r="K11" s="116"/>
      <c r="L11" s="114">
        <v>15</v>
      </c>
      <c r="M11" s="116"/>
      <c r="N11" s="116"/>
      <c r="O11" s="116"/>
      <c r="P11" s="114"/>
      <c r="Q11" s="114" t="s">
        <v>1032</v>
      </c>
      <c r="R11" s="114"/>
      <c r="S11" s="114" t="s">
        <v>674</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1" t="str">
        <f t="shared" si="0"/>
        <v>Felboar Hide Shoes</v>
      </c>
    </row>
    <row r="12" spans="1:25">
      <c r="A12" s="130" t="s">
        <v>2358</v>
      </c>
      <c r="B12" s="116">
        <v>33582</v>
      </c>
      <c r="C12" s="116">
        <v>3</v>
      </c>
      <c r="D12" s="114">
        <v>29</v>
      </c>
      <c r="E12" s="114">
        <v>29</v>
      </c>
      <c r="F12" s="114"/>
      <c r="G12" s="116"/>
      <c r="H12" s="116"/>
      <c r="I12" s="116"/>
      <c r="J12" s="114"/>
      <c r="K12" s="116"/>
      <c r="L12" s="114">
        <v>28</v>
      </c>
      <c r="M12" s="116"/>
      <c r="N12" s="116"/>
      <c r="O12" s="116"/>
      <c r="P12" s="114"/>
      <c r="Q12" s="114" t="s">
        <v>1044</v>
      </c>
      <c r="R12" s="114" t="s">
        <v>1337</v>
      </c>
      <c r="S12" s="114" t="s">
        <v>690</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1" t="str">
        <f t="shared" si="0"/>
        <v>Footwraps of Wild Encroachment</v>
      </c>
    </row>
    <row r="13" spans="1:25">
      <c r="A13" s="10" t="s">
        <v>891</v>
      </c>
      <c r="B13" s="114">
        <v>28422</v>
      </c>
      <c r="C13" s="114">
        <v>1</v>
      </c>
      <c r="D13" s="114"/>
      <c r="E13" s="114">
        <v>27</v>
      </c>
      <c r="F13" s="114">
        <v>30</v>
      </c>
      <c r="G13" s="116">
        <v>15</v>
      </c>
      <c r="H13" s="116"/>
      <c r="I13" s="114"/>
      <c r="J13" s="114"/>
      <c r="K13" s="114"/>
      <c r="L13" s="114">
        <v>39</v>
      </c>
      <c r="M13" s="116"/>
      <c r="N13" s="116">
        <v>26</v>
      </c>
      <c r="O13" s="114"/>
      <c r="P13" s="114"/>
      <c r="Q13" s="114" t="s">
        <v>1032</v>
      </c>
      <c r="R13" s="114"/>
      <c r="S13" s="114" t="s">
        <v>676</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1" t="str">
        <f t="shared" si="0"/>
        <v>General's Leather Boots</v>
      </c>
    </row>
    <row r="14" spans="1:25">
      <c r="A14" s="10" t="s">
        <v>2359</v>
      </c>
      <c r="B14" s="114">
        <v>30681</v>
      </c>
      <c r="C14" s="114">
        <v>1</v>
      </c>
      <c r="D14" s="114"/>
      <c r="E14" s="114">
        <v>28</v>
      </c>
      <c r="F14" s="114">
        <v>57</v>
      </c>
      <c r="G14" s="116"/>
      <c r="H14" s="116"/>
      <c r="I14" s="114"/>
      <c r="J14" s="114"/>
      <c r="K14" s="114"/>
      <c r="L14" s="114">
        <v>43</v>
      </c>
      <c r="M14" s="116"/>
      <c r="N14" s="116"/>
      <c r="O14" s="114"/>
      <c r="P14" s="114"/>
      <c r="Q14" s="114" t="s">
        <v>1032</v>
      </c>
      <c r="R14" s="114"/>
      <c r="S14" s="114" t="s">
        <v>671</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1" t="str">
        <f t="shared" si="0"/>
        <v>Glider's Boots of the Bandit</v>
      </c>
    </row>
    <row r="15" spans="1:25">
      <c r="A15" s="10" t="s">
        <v>2821</v>
      </c>
      <c r="B15" s="114">
        <v>35137</v>
      </c>
      <c r="C15" s="114">
        <v>5</v>
      </c>
      <c r="D15" s="114">
        <v>34</v>
      </c>
      <c r="E15" s="114">
        <v>33</v>
      </c>
      <c r="F15" s="114"/>
      <c r="G15" s="116">
        <v>25</v>
      </c>
      <c r="H15" s="116"/>
      <c r="I15" s="114"/>
      <c r="J15" s="114"/>
      <c r="K15" s="114"/>
      <c r="L15" s="114">
        <v>46</v>
      </c>
      <c r="M15" s="116"/>
      <c r="N15" s="116">
        <v>26</v>
      </c>
      <c r="O15" s="114"/>
      <c r="P15" s="114"/>
      <c r="Q15" s="114" t="s">
        <v>1032</v>
      </c>
      <c r="R15" s="114"/>
      <c r="S15" s="114" t="s">
        <v>676</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1" t="str">
        <f t="shared" si="0"/>
        <v>Guardian's Dragonhide Boots</v>
      </c>
    </row>
    <row r="16" spans="1:25">
      <c r="A16" s="10" t="s">
        <v>1990</v>
      </c>
      <c r="B16" s="114">
        <v>35141</v>
      </c>
      <c r="C16" s="114">
        <v>5</v>
      </c>
      <c r="D16" s="114"/>
      <c r="E16" s="114">
        <v>37</v>
      </c>
      <c r="F16" s="114">
        <v>48</v>
      </c>
      <c r="G16" s="116">
        <v>24</v>
      </c>
      <c r="H16" s="116"/>
      <c r="I16" s="114"/>
      <c r="J16" s="114"/>
      <c r="K16" s="114"/>
      <c r="L16" s="114">
        <v>55</v>
      </c>
      <c r="M16" s="116"/>
      <c r="N16" s="116">
        <v>30</v>
      </c>
      <c r="O16" s="114"/>
      <c r="P16" s="114"/>
      <c r="Q16" s="114" t="s">
        <v>1032</v>
      </c>
      <c r="R16" s="114"/>
      <c r="S16" s="114" t="s">
        <v>676</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1" t="str">
        <f t="shared" si="0"/>
        <v>Guardian's Leather Boots</v>
      </c>
    </row>
    <row r="17" spans="1:25" s="47" customFormat="1">
      <c r="A17" s="10" t="s">
        <v>892</v>
      </c>
      <c r="B17" s="114">
        <v>28987</v>
      </c>
      <c r="C17" s="114">
        <v>1</v>
      </c>
      <c r="D17" s="114"/>
      <c r="E17" s="114">
        <v>27</v>
      </c>
      <c r="F17" s="114">
        <v>30</v>
      </c>
      <c r="G17" s="116">
        <v>15</v>
      </c>
      <c r="H17" s="116"/>
      <c r="I17" s="114"/>
      <c r="J17" s="114"/>
      <c r="K17" s="114"/>
      <c r="L17" s="114">
        <v>39</v>
      </c>
      <c r="M17" s="116"/>
      <c r="N17" s="116">
        <v>26</v>
      </c>
      <c r="O17" s="114"/>
      <c r="P17" s="114"/>
      <c r="Q17" s="114" t="s">
        <v>1032</v>
      </c>
      <c r="R17" s="114"/>
      <c r="S17" s="114" t="s">
        <v>676</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1" t="str">
        <f t="shared" si="0"/>
        <v>Marshal's Leather Boots</v>
      </c>
    </row>
    <row r="18" spans="1:25" s="47" customFormat="1">
      <c r="A18" s="10" t="s">
        <v>2500</v>
      </c>
      <c r="B18" s="114">
        <v>30707</v>
      </c>
      <c r="C18" s="114">
        <v>1</v>
      </c>
      <c r="D18" s="114"/>
      <c r="E18" s="114">
        <v>32</v>
      </c>
      <c r="F18" s="114"/>
      <c r="G18" s="116"/>
      <c r="H18" s="116"/>
      <c r="I18" s="114"/>
      <c r="J18" s="114"/>
      <c r="K18" s="114"/>
      <c r="L18" s="114">
        <v>24</v>
      </c>
      <c r="M18" s="116">
        <v>25</v>
      </c>
      <c r="N18" s="116"/>
      <c r="O18" s="114"/>
      <c r="P18" s="114"/>
      <c r="Q18" s="114" t="s">
        <v>1032</v>
      </c>
      <c r="R18" s="114"/>
      <c r="S18" s="114" t="s">
        <v>672</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1" t="str">
        <f t="shared" si="0"/>
        <v>Nimble-foot Treads</v>
      </c>
    </row>
    <row r="19" spans="1:25">
      <c r="A19" s="10" t="s">
        <v>1430</v>
      </c>
      <c r="B19" s="114">
        <v>33222</v>
      </c>
      <c r="C19" s="114">
        <v>3</v>
      </c>
      <c r="D19" s="114"/>
      <c r="E19" s="114">
        <v>29</v>
      </c>
      <c r="F19" s="114">
        <v>60</v>
      </c>
      <c r="G19" s="116"/>
      <c r="H19" s="116">
        <v>22</v>
      </c>
      <c r="I19" s="114"/>
      <c r="J19" s="114"/>
      <c r="K19" s="114"/>
      <c r="L19" s="114">
        <v>21</v>
      </c>
      <c r="M19" s="116"/>
      <c r="N19" s="116"/>
      <c r="O19" s="114"/>
      <c r="P19" s="114"/>
      <c r="Q19" s="114" t="s">
        <v>1036</v>
      </c>
      <c r="R19" s="114" t="s">
        <v>1446</v>
      </c>
      <c r="S19" s="114" t="s">
        <v>690</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1" t="str">
        <f t="shared" si="0"/>
        <v>Nyn'jah's Tabi Boots</v>
      </c>
    </row>
    <row r="20" spans="1:25">
      <c r="A20" s="10" t="s">
        <v>893</v>
      </c>
      <c r="B20" s="114">
        <v>28669</v>
      </c>
      <c r="C20" s="114">
        <v>1</v>
      </c>
      <c r="D20" s="114"/>
      <c r="E20" s="114"/>
      <c r="F20" s="114">
        <v>82</v>
      </c>
      <c r="G20" s="116">
        <v>24</v>
      </c>
      <c r="H20" s="116"/>
      <c r="I20" s="114"/>
      <c r="J20" s="114"/>
      <c r="K20" s="114"/>
      <c r="L20" s="114">
        <v>26</v>
      </c>
      <c r="M20" s="116"/>
      <c r="N20" s="116"/>
      <c r="O20" s="114"/>
      <c r="P20" s="114"/>
      <c r="Q20" s="114" t="s">
        <v>1032</v>
      </c>
      <c r="R20" s="114"/>
      <c r="S20" s="114" t="s">
        <v>671</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1" t="str">
        <f t="shared" si="0"/>
        <v>Rapscallion Boots</v>
      </c>
    </row>
    <row r="21" spans="1:25">
      <c r="A21" s="10" t="s">
        <v>894</v>
      </c>
      <c r="B21" s="114">
        <v>32366</v>
      </c>
      <c r="C21" s="114">
        <v>3</v>
      </c>
      <c r="D21" s="114"/>
      <c r="E21" s="114">
        <v>30</v>
      </c>
      <c r="F21" s="114">
        <v>76</v>
      </c>
      <c r="G21" s="116">
        <v>17</v>
      </c>
      <c r="H21" s="116"/>
      <c r="I21" s="114"/>
      <c r="J21" s="114"/>
      <c r="K21" s="114"/>
      <c r="L21" s="114">
        <v>38</v>
      </c>
      <c r="M21" s="116"/>
      <c r="N21" s="116"/>
      <c r="O21" s="114"/>
      <c r="P21" s="114"/>
      <c r="Q21" s="114" t="s">
        <v>1044</v>
      </c>
      <c r="R21" s="114" t="s">
        <v>1448</v>
      </c>
      <c r="S21" s="114" t="s">
        <v>682</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1" t="str">
        <f t="shared" si="0"/>
        <v>Shadowmaster's Boots</v>
      </c>
    </row>
    <row r="22" spans="1:25">
      <c r="A22" s="10" t="s">
        <v>895</v>
      </c>
      <c r="B22" s="114">
        <v>29248</v>
      </c>
      <c r="C22" s="114">
        <v>1</v>
      </c>
      <c r="D22" s="114"/>
      <c r="E22" s="114">
        <v>31</v>
      </c>
      <c r="F22" s="114">
        <v>54</v>
      </c>
      <c r="G22" s="116"/>
      <c r="H22" s="116"/>
      <c r="I22" s="114"/>
      <c r="J22" s="114"/>
      <c r="K22" s="114"/>
      <c r="L22" s="114">
        <v>30</v>
      </c>
      <c r="M22" s="116"/>
      <c r="N22" s="116"/>
      <c r="O22" s="114"/>
      <c r="P22" s="114"/>
      <c r="Q22" s="114" t="s">
        <v>1032</v>
      </c>
      <c r="R22" s="114"/>
      <c r="S22" s="114" t="s">
        <v>690</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1" t="str">
        <f t="shared" si="0"/>
        <v>Shadowstep Striders</v>
      </c>
    </row>
    <row r="23" spans="1:25">
      <c r="A23" s="10" t="s">
        <v>2822</v>
      </c>
      <c r="B23" s="114">
        <v>27467</v>
      </c>
      <c r="C23" s="114">
        <v>1</v>
      </c>
      <c r="D23" s="114"/>
      <c r="E23" s="114">
        <v>27</v>
      </c>
      <c r="F23" s="114">
        <v>50</v>
      </c>
      <c r="G23" s="116"/>
      <c r="H23" s="116"/>
      <c r="I23" s="114"/>
      <c r="J23" s="114"/>
      <c r="K23" s="114"/>
      <c r="L23" s="114">
        <v>30</v>
      </c>
      <c r="M23" s="116"/>
      <c r="N23" s="116"/>
      <c r="O23" s="114"/>
      <c r="P23" s="114"/>
      <c r="Q23" s="114" t="s">
        <v>1032</v>
      </c>
      <c r="R23" s="114"/>
      <c r="S23" s="114" t="s">
        <v>690</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1" t="str">
        <f t="shared" si="0"/>
        <v>Silent-Strider Kneeboots</v>
      </c>
    </row>
    <row r="24" spans="1:25">
      <c r="A24" s="10" t="s">
        <v>981</v>
      </c>
      <c r="B24" s="114">
        <v>34575</v>
      </c>
      <c r="C24" s="114">
        <v>5</v>
      </c>
      <c r="D24" s="114"/>
      <c r="E24" s="114">
        <v>30</v>
      </c>
      <c r="F24" s="114">
        <v>86</v>
      </c>
      <c r="G24" s="116">
        <v>16</v>
      </c>
      <c r="H24" s="116">
        <v>28</v>
      </c>
      <c r="I24" s="114"/>
      <c r="J24" s="114"/>
      <c r="K24" s="114">
        <v>24</v>
      </c>
      <c r="L24" s="114">
        <v>24</v>
      </c>
      <c r="M24" s="116"/>
      <c r="N24" s="116"/>
      <c r="O24" s="114"/>
      <c r="P24" s="114" t="s">
        <v>998</v>
      </c>
      <c r="Q24" s="114" t="s">
        <v>1034</v>
      </c>
      <c r="R24" s="114" t="s">
        <v>1021</v>
      </c>
      <c r="S24" s="114" t="s">
        <v>870</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1" t="str">
        <f t="shared" si="0"/>
        <v>Slayer's Boots</v>
      </c>
    </row>
    <row r="25" spans="1:25">
      <c r="A25" s="10" t="s">
        <v>2823</v>
      </c>
      <c r="B25" s="114">
        <v>28178</v>
      </c>
      <c r="C25" s="114">
        <v>1</v>
      </c>
      <c r="D25" s="114"/>
      <c r="E25" s="114"/>
      <c r="F25" s="114">
        <v>36</v>
      </c>
      <c r="G25" s="116"/>
      <c r="H25" s="116"/>
      <c r="I25" s="114"/>
      <c r="J25" s="114"/>
      <c r="K25" s="114"/>
      <c r="L25" s="114">
        <v>15</v>
      </c>
      <c r="M25" s="116">
        <v>27</v>
      </c>
      <c r="N25" s="116"/>
      <c r="O25" s="114"/>
      <c r="P25" s="114"/>
      <c r="Q25" s="114" t="s">
        <v>1036</v>
      </c>
      <c r="R25" s="114" t="s">
        <v>1458</v>
      </c>
      <c r="S25" s="114" t="s">
        <v>674</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1"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1034</v>
      </c>
      <c r="R26" s="114" t="s">
        <v>1337</v>
      </c>
      <c r="S26" s="114" t="s">
        <v>672</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1" t="str">
        <f t="shared" si="0"/>
        <v>Sunrage Treads</v>
      </c>
    </row>
    <row r="27" spans="1:25">
      <c r="A27" s="10" t="s">
        <v>715</v>
      </c>
      <c r="B27" s="114">
        <v>31288</v>
      </c>
      <c r="C27" s="114">
        <v>1</v>
      </c>
      <c r="D27" s="114"/>
      <c r="E27" s="114">
        <v>24</v>
      </c>
      <c r="F27" s="114">
        <v>48</v>
      </c>
      <c r="G27" s="116"/>
      <c r="H27" s="116">
        <v>16</v>
      </c>
      <c r="I27" s="114"/>
      <c r="J27" s="114"/>
      <c r="K27" s="114"/>
      <c r="L27" s="114">
        <v>19</v>
      </c>
      <c r="M27" s="116"/>
      <c r="N27" s="116"/>
      <c r="O27" s="114"/>
      <c r="P27" s="114"/>
      <c r="Q27" s="114" t="s">
        <v>1032</v>
      </c>
      <c r="R27" s="114"/>
      <c r="S27" s="114" t="s">
        <v>673</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1" t="str">
        <f t="shared" si="0"/>
        <v>The Master's Treads</v>
      </c>
    </row>
    <row r="28" spans="1:25">
      <c r="A28" s="10" t="s">
        <v>716</v>
      </c>
      <c r="B28" s="114">
        <v>32790</v>
      </c>
      <c r="C28" s="114">
        <v>2</v>
      </c>
      <c r="D28" s="114"/>
      <c r="E28" s="114">
        <v>30</v>
      </c>
      <c r="F28" s="114">
        <v>34</v>
      </c>
      <c r="G28" s="116">
        <v>16</v>
      </c>
      <c r="H28" s="116"/>
      <c r="I28" s="114"/>
      <c r="J28" s="114"/>
      <c r="K28" s="114"/>
      <c r="L28" s="114">
        <v>45</v>
      </c>
      <c r="M28" s="116"/>
      <c r="N28" s="116">
        <v>30</v>
      </c>
      <c r="O28" s="114"/>
      <c r="P28" s="114"/>
      <c r="Q28" s="114" t="s">
        <v>1032</v>
      </c>
      <c r="R28" s="114"/>
      <c r="S28" s="114" t="s">
        <v>676</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1" t="str">
        <f t="shared" si="0"/>
        <v>Veteran's Leather Boots</v>
      </c>
    </row>
    <row r="29" spans="1:25">
      <c r="A29" s="130" t="s">
        <v>2824</v>
      </c>
      <c r="B29" s="114">
        <v>33880</v>
      </c>
      <c r="C29" s="114">
        <v>3</v>
      </c>
      <c r="D29" s="114">
        <v>30</v>
      </c>
      <c r="E29" s="114">
        <v>29</v>
      </c>
      <c r="F29" s="114"/>
      <c r="G29" s="116">
        <v>21</v>
      </c>
      <c r="H29" s="116"/>
      <c r="I29" s="114"/>
      <c r="J29" s="114"/>
      <c r="K29" s="114"/>
      <c r="L29" s="114">
        <v>42</v>
      </c>
      <c r="M29" s="116"/>
      <c r="N29" s="116">
        <v>26</v>
      </c>
      <c r="O29" s="114"/>
      <c r="P29" s="114"/>
      <c r="Q29" s="114" t="s">
        <v>1032</v>
      </c>
      <c r="R29" s="114"/>
      <c r="S29" s="114" t="s">
        <v>676</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1" t="str">
        <f t="shared" si="0"/>
        <v>Vindicator's Dragonhide Boots</v>
      </c>
    </row>
    <row r="30" spans="1:25">
      <c r="A30" s="130" t="s">
        <v>1422</v>
      </c>
      <c r="B30" s="114">
        <v>33892</v>
      </c>
      <c r="C30" s="114">
        <v>3</v>
      </c>
      <c r="D30" s="114"/>
      <c r="E30" s="114">
        <v>33</v>
      </c>
      <c r="F30" s="114">
        <v>40</v>
      </c>
      <c r="G30" s="116">
        <v>19</v>
      </c>
      <c r="H30" s="116"/>
      <c r="I30" s="114"/>
      <c r="J30" s="114"/>
      <c r="K30" s="114"/>
      <c r="L30" s="114">
        <v>49</v>
      </c>
      <c r="M30" s="116"/>
      <c r="N30" s="116">
        <v>30</v>
      </c>
      <c r="O30" s="114"/>
      <c r="P30" s="114"/>
      <c r="Q30" s="114" t="s">
        <v>1032</v>
      </c>
      <c r="R30" s="114"/>
      <c r="S30" s="114" t="s">
        <v>676</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1" t="str">
        <f t="shared" si="0"/>
        <v>Vindicator's Leather Boots</v>
      </c>
    </row>
    <row r="31" spans="1:25">
      <c r="A31" s="10" t="s">
        <v>2825</v>
      </c>
      <c r="B31" s="114">
        <v>29804</v>
      </c>
      <c r="C31" s="114">
        <v>1</v>
      </c>
      <c r="D31" s="114"/>
      <c r="E31" s="114">
        <v>28</v>
      </c>
      <c r="F31" s="114">
        <v>32</v>
      </c>
      <c r="G31" s="116"/>
      <c r="H31" s="116"/>
      <c r="I31" s="114"/>
      <c r="J31" s="114"/>
      <c r="K31" s="114"/>
      <c r="L31" s="114"/>
      <c r="M31" s="116">
        <v>11</v>
      </c>
      <c r="N31" s="116"/>
      <c r="O31" s="114"/>
      <c r="P31" s="114"/>
      <c r="Q31" s="114" t="s">
        <v>1032</v>
      </c>
      <c r="R31" s="114"/>
      <c r="S31" s="114" t="s">
        <v>674</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1"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2206</v>
      </c>
      <c r="B33" s="114"/>
      <c r="C33" s="114"/>
      <c r="D33" s="114"/>
      <c r="E33" s="114"/>
      <c r="F33" s="114"/>
      <c r="G33" s="116"/>
      <c r="H33" s="116"/>
      <c r="I33" s="114"/>
      <c r="J33" s="114"/>
      <c r="K33" s="114"/>
      <c r="L33" s="114"/>
      <c r="M33" s="116"/>
      <c r="N33" s="116"/>
      <c r="O33" s="114"/>
      <c r="P33" s="114"/>
      <c r="Q33" s="114" t="s">
        <v>1032</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717</v>
      </c>
      <c r="B36" s="729" t="s">
        <v>1933</v>
      </c>
      <c r="C36" s="729" t="s">
        <v>2795</v>
      </c>
      <c r="D36" s="730" t="s">
        <v>1213</v>
      </c>
      <c r="E36" s="730" t="s">
        <v>1214</v>
      </c>
      <c r="F36" s="730" t="s">
        <v>767</v>
      </c>
      <c r="G36" s="729" t="s">
        <v>2139</v>
      </c>
      <c r="H36" s="729" t="s">
        <v>2138</v>
      </c>
      <c r="I36" s="729" t="s">
        <v>770</v>
      </c>
      <c r="J36" s="731" t="s">
        <v>769</v>
      </c>
      <c r="K36" s="729" t="s">
        <v>759</v>
      </c>
      <c r="L36" s="730" t="s">
        <v>1215</v>
      </c>
      <c r="M36" s="729" t="s">
        <v>264</v>
      </c>
      <c r="N36" s="729" t="s">
        <v>1216</v>
      </c>
      <c r="O36" s="729" t="s">
        <v>1286</v>
      </c>
      <c r="P36" s="729" t="s">
        <v>1045</v>
      </c>
      <c r="Q36" s="730" t="s">
        <v>1046</v>
      </c>
      <c r="R36" s="730" t="s">
        <v>1940</v>
      </c>
      <c r="S36" s="730" t="s">
        <v>665</v>
      </c>
      <c r="T36" s="729" t="s">
        <v>920</v>
      </c>
      <c r="U36" s="732" t="s">
        <v>265</v>
      </c>
      <c r="V36" s="743">
        <v>0</v>
      </c>
      <c r="W36" s="740"/>
      <c r="X36" s="734" t="s">
        <v>1688</v>
      </c>
    </row>
    <row r="37" spans="1:24">
      <c r="A37" s="694" t="s">
        <v>720</v>
      </c>
      <c r="B37" s="698">
        <v>2940</v>
      </c>
      <c r="C37" s="695">
        <v>1</v>
      </c>
      <c r="D37" s="695"/>
      <c r="E37" s="695"/>
      <c r="F37" s="695"/>
      <c r="G37" s="696"/>
      <c r="H37" s="696"/>
      <c r="I37" s="698"/>
      <c r="J37" s="695"/>
      <c r="K37" s="714"/>
      <c r="L37" s="695">
        <v>9</v>
      </c>
      <c r="M37" s="696"/>
      <c r="N37" s="714"/>
      <c r="O37" s="714"/>
      <c r="P37" s="698"/>
      <c r="Q37" s="698"/>
      <c r="R37" s="695"/>
      <c r="S37" s="695" t="s">
        <v>1688</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t="str">
        <f>" "</f>
        <v xml:space="preserve"> </v>
      </c>
    </row>
    <row r="38" spans="1:24">
      <c r="A38" s="682" t="s">
        <v>719</v>
      </c>
      <c r="B38" s="681">
        <v>2939</v>
      </c>
      <c r="C38" s="677">
        <v>5</v>
      </c>
      <c r="D38" s="677"/>
      <c r="E38" s="677">
        <v>6</v>
      </c>
      <c r="F38" s="677"/>
      <c r="G38" s="678"/>
      <c r="H38" s="678"/>
      <c r="I38" s="681"/>
      <c r="J38" s="677"/>
      <c r="K38" s="716"/>
      <c r="L38" s="677"/>
      <c r="M38" s="678"/>
      <c r="N38" s="716"/>
      <c r="O38" s="716"/>
      <c r="P38" s="681"/>
      <c r="Q38" s="681"/>
      <c r="R38" s="681"/>
      <c r="S38" s="695" t="s">
        <v>1688</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1688</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1307</v>
      </c>
      <c r="B40" s="681">
        <v>2649</v>
      </c>
      <c r="C40" s="677">
        <v>1</v>
      </c>
      <c r="D40" s="677"/>
      <c r="E40" s="677"/>
      <c r="F40" s="677"/>
      <c r="G40" s="678"/>
      <c r="H40" s="678"/>
      <c r="I40" s="681"/>
      <c r="J40" s="677"/>
      <c r="K40" s="716"/>
      <c r="L40" s="677">
        <v>12</v>
      </c>
      <c r="M40" s="678"/>
      <c r="N40" s="716"/>
      <c r="O40" s="716"/>
      <c r="P40" s="681"/>
      <c r="Q40" s="681"/>
      <c r="R40" s="681"/>
      <c r="S40" s="695" t="s">
        <v>1688</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1688</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718</v>
      </c>
      <c r="B42" s="681">
        <v>911</v>
      </c>
      <c r="C42" s="677">
        <v>1</v>
      </c>
      <c r="D42" s="677"/>
      <c r="E42" s="677"/>
      <c r="F42" s="677"/>
      <c r="G42" s="678"/>
      <c r="H42" s="678"/>
      <c r="I42" s="681"/>
      <c r="J42" s="677"/>
      <c r="K42" s="716"/>
      <c r="L42" s="677"/>
      <c r="M42" s="678"/>
      <c r="N42" s="716"/>
      <c r="O42" s="716"/>
      <c r="P42" s="681"/>
      <c r="Q42" s="681"/>
      <c r="R42" s="681"/>
      <c r="S42" s="695" t="s">
        <v>1688</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721</v>
      </c>
      <c r="B43" s="681">
        <v>2658</v>
      </c>
      <c r="C43" s="677">
        <v>1</v>
      </c>
      <c r="D43" s="677"/>
      <c r="E43" s="677"/>
      <c r="F43" s="677"/>
      <c r="G43" s="678"/>
      <c r="H43" s="678">
        <v>10</v>
      </c>
      <c r="I43" s="681"/>
      <c r="J43" s="677"/>
      <c r="K43" s="716"/>
      <c r="L43" s="677"/>
      <c r="M43" s="678"/>
      <c r="N43" s="716"/>
      <c r="O43" s="716"/>
      <c r="P43" s="681"/>
      <c r="Q43" s="681"/>
      <c r="R43" s="677"/>
      <c r="S43" s="695" t="s">
        <v>1688</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2206</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topLeftCell="A11" workbookViewId="0">
      <selection activeCell="X4" sqref="X4:X58"/>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1933</v>
      </c>
      <c r="C1" s="752" t="s">
        <v>2795</v>
      </c>
      <c r="D1" s="752" t="s">
        <v>1213</v>
      </c>
      <c r="E1" s="752" t="s">
        <v>1214</v>
      </c>
      <c r="F1" s="752" t="s">
        <v>767</v>
      </c>
      <c r="G1" s="753" t="s">
        <v>2139</v>
      </c>
      <c r="H1" s="753" t="s">
        <v>2138</v>
      </c>
      <c r="I1" s="752" t="s">
        <v>770</v>
      </c>
      <c r="J1" s="752" t="s">
        <v>1218</v>
      </c>
      <c r="K1" s="753" t="s">
        <v>759</v>
      </c>
      <c r="L1" s="752" t="s">
        <v>1215</v>
      </c>
      <c r="M1" s="753" t="s">
        <v>264</v>
      </c>
      <c r="N1" s="753" t="s">
        <v>1216</v>
      </c>
      <c r="O1" s="753" t="s">
        <v>1286</v>
      </c>
      <c r="P1" s="729" t="s">
        <v>1045</v>
      </c>
      <c r="Q1" s="730" t="s">
        <v>1046</v>
      </c>
      <c r="R1" s="730" t="s">
        <v>1940</v>
      </c>
      <c r="S1" s="730" t="s">
        <v>665</v>
      </c>
      <c r="T1" s="729"/>
      <c r="U1" s="732" t="s">
        <v>713</v>
      </c>
      <c r="V1" s="732" t="s">
        <v>1028</v>
      </c>
      <c r="W1" s="743">
        <v>0</v>
      </c>
      <c r="X1" s="743"/>
      <c r="Y1" s="752" t="s">
        <v>669</v>
      </c>
    </row>
    <row r="2" spans="1:27">
      <c r="A2" s="10" t="s">
        <v>2826</v>
      </c>
      <c r="B2" s="116">
        <v>29177</v>
      </c>
      <c r="C2" s="116">
        <v>1</v>
      </c>
      <c r="D2" s="114">
        <v>29</v>
      </c>
      <c r="E2" s="114">
        <v>16</v>
      </c>
      <c r="F2" s="114"/>
      <c r="G2" s="116"/>
      <c r="H2" s="116"/>
      <c r="I2" s="116"/>
      <c r="J2" s="114"/>
      <c r="K2" s="116"/>
      <c r="L2" s="114">
        <v>18</v>
      </c>
      <c r="M2" s="116"/>
      <c r="N2" s="116"/>
      <c r="O2" s="116"/>
      <c r="P2" s="114"/>
      <c r="Q2" s="114"/>
      <c r="R2" s="114"/>
      <c r="S2" s="114" t="s">
        <v>675</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1688</v>
      </c>
      <c r="Z2" s="1392" t="str">
        <f>HYPERLINK("https://tbc.wowhead.com/item="&amp;B2,A2)</f>
        <v>A'dal's Command</v>
      </c>
      <c r="AA2" s="47"/>
    </row>
    <row r="3" spans="1:27">
      <c r="A3" s="10" t="s">
        <v>2827</v>
      </c>
      <c r="B3" s="116">
        <v>31381</v>
      </c>
      <c r="C3" s="116">
        <v>1</v>
      </c>
      <c r="D3" s="114"/>
      <c r="E3" s="114"/>
      <c r="F3" s="114">
        <v>24</v>
      </c>
      <c r="G3" s="116">
        <v>29</v>
      </c>
      <c r="H3" s="116"/>
      <c r="I3" s="116"/>
      <c r="J3" s="114"/>
      <c r="K3" s="116"/>
      <c r="L3" s="114"/>
      <c r="M3" s="116"/>
      <c r="N3" s="116"/>
      <c r="O3" s="116"/>
      <c r="P3" s="114"/>
      <c r="Q3" s="114"/>
      <c r="R3" s="114"/>
      <c r="S3" s="114" t="s">
        <v>674</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2"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690</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2" t="str">
        <f t="shared" si="0"/>
        <v>Angelista's Revenge</v>
      </c>
      <c r="AA4" s="47"/>
    </row>
    <row r="5" spans="1:27">
      <c r="A5" s="10" t="s">
        <v>2371</v>
      </c>
      <c r="B5" s="116">
        <v>27453</v>
      </c>
      <c r="C5" s="116">
        <v>1</v>
      </c>
      <c r="D5" s="114"/>
      <c r="E5" s="114">
        <v>22</v>
      </c>
      <c r="F5" s="114">
        <v>38</v>
      </c>
      <c r="G5" s="116"/>
      <c r="H5" s="116"/>
      <c r="I5" s="116"/>
      <c r="J5" s="114"/>
      <c r="K5" s="116"/>
      <c r="L5" s="114">
        <v>18</v>
      </c>
      <c r="M5" s="116"/>
      <c r="N5" s="116"/>
      <c r="O5" s="116"/>
      <c r="P5" s="114"/>
      <c r="Q5" s="114"/>
      <c r="R5" s="114"/>
      <c r="S5" s="114" t="s">
        <v>672</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2" t="str">
        <f t="shared" si="0"/>
        <v>Averinn's Ring of Slaying</v>
      </c>
      <c r="AA5" s="47"/>
    </row>
    <row r="6" spans="1:27">
      <c r="A6" s="10" t="s">
        <v>2372</v>
      </c>
      <c r="B6" s="116">
        <v>17063</v>
      </c>
      <c r="C6" s="116">
        <v>1</v>
      </c>
      <c r="D6" s="114"/>
      <c r="E6" s="114">
        <v>12</v>
      </c>
      <c r="F6" s="114">
        <v>16</v>
      </c>
      <c r="G6" s="116"/>
      <c r="H6" s="116">
        <v>20</v>
      </c>
      <c r="I6" s="116"/>
      <c r="J6" s="114"/>
      <c r="K6" s="116"/>
      <c r="L6" s="114">
        <v>10</v>
      </c>
      <c r="M6" s="116"/>
      <c r="N6" s="116"/>
      <c r="O6" s="116"/>
      <c r="P6" s="114"/>
      <c r="Q6" s="114"/>
      <c r="R6" s="114"/>
      <c r="S6" s="114" t="s">
        <v>667</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2" t="str">
        <f t="shared" si="0"/>
        <v>Band of Accuria</v>
      </c>
      <c r="AA6" s="47"/>
    </row>
    <row r="7" spans="1:27">
      <c r="A7" s="10" t="s">
        <v>1912</v>
      </c>
      <c r="B7" s="116">
        <v>30973</v>
      </c>
      <c r="C7" s="116">
        <v>1</v>
      </c>
      <c r="D7" s="112"/>
      <c r="E7" s="114">
        <v>13</v>
      </c>
      <c r="F7" s="114">
        <v>50</v>
      </c>
      <c r="G7" s="116"/>
      <c r="H7" s="116">
        <v>10</v>
      </c>
      <c r="I7" s="116"/>
      <c r="J7" s="114"/>
      <c r="K7" s="116"/>
      <c r="L7" s="114"/>
      <c r="M7" s="116"/>
      <c r="N7" s="116"/>
      <c r="O7" s="116"/>
      <c r="P7" s="116"/>
      <c r="Q7" s="114"/>
      <c r="R7" s="47"/>
      <c r="S7" s="114" t="s">
        <v>674</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2" t="str">
        <f t="shared" si="0"/>
        <v>Band of Anguish</v>
      </c>
      <c r="AA7" s="47"/>
    </row>
    <row r="8" spans="1:27">
      <c r="A8" s="10" t="s">
        <v>722</v>
      </c>
      <c r="B8" s="116">
        <v>32526</v>
      </c>
      <c r="C8" s="116">
        <v>3</v>
      </c>
      <c r="D8" s="114"/>
      <c r="E8" s="114"/>
      <c r="F8" s="114">
        <v>66</v>
      </c>
      <c r="G8" s="116"/>
      <c r="H8" s="116"/>
      <c r="I8" s="116">
        <v>31</v>
      </c>
      <c r="J8" s="114"/>
      <c r="K8" s="116"/>
      <c r="L8" s="114">
        <v>44</v>
      </c>
      <c r="M8" s="116"/>
      <c r="N8" s="116"/>
      <c r="O8" s="116"/>
      <c r="P8" s="116"/>
      <c r="Q8" s="114"/>
      <c r="R8" s="114"/>
      <c r="S8" s="114" t="s">
        <v>682</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2" t="str">
        <f t="shared" si="0"/>
        <v>Band of Devastation</v>
      </c>
      <c r="AA8" s="47"/>
    </row>
    <row r="9" spans="1:27">
      <c r="A9" s="10" t="s">
        <v>2390</v>
      </c>
      <c r="B9" s="116">
        <v>29298</v>
      </c>
      <c r="C9" s="116">
        <v>3</v>
      </c>
      <c r="D9" s="114"/>
      <c r="E9" s="114">
        <v>25</v>
      </c>
      <c r="F9" s="114">
        <v>50</v>
      </c>
      <c r="G9" s="116"/>
      <c r="H9" s="116"/>
      <c r="I9" s="116"/>
      <c r="J9" s="114"/>
      <c r="K9" s="116"/>
      <c r="L9" s="114">
        <v>37</v>
      </c>
      <c r="M9" s="116"/>
      <c r="N9" s="116"/>
      <c r="O9" s="116"/>
      <c r="P9" s="114"/>
      <c r="Q9" s="114"/>
      <c r="R9" s="114"/>
      <c r="S9" s="114" t="s">
        <v>675</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2" t="str">
        <f t="shared" si="0"/>
        <v>Band of Eternity (Friendly)</v>
      </c>
      <c r="AA9" s="47"/>
    </row>
    <row r="10" spans="1:27">
      <c r="A10" s="10" t="s">
        <v>2391</v>
      </c>
      <c r="B10" s="116">
        <v>29299</v>
      </c>
      <c r="C10" s="116">
        <v>3</v>
      </c>
      <c r="D10" s="114"/>
      <c r="E10" s="114">
        <v>27</v>
      </c>
      <c r="F10" s="114">
        <v>56</v>
      </c>
      <c r="G10" s="116"/>
      <c r="H10" s="116"/>
      <c r="I10" s="116"/>
      <c r="J10" s="114"/>
      <c r="K10" s="116"/>
      <c r="L10" s="114">
        <v>40</v>
      </c>
      <c r="M10" s="116"/>
      <c r="N10" s="116"/>
      <c r="O10" s="116"/>
      <c r="P10" s="116"/>
      <c r="Q10" s="114"/>
      <c r="R10" s="114"/>
      <c r="S10" s="114" t="s">
        <v>675</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2" t="str">
        <f t="shared" si="0"/>
        <v>Band of Eternity (Honored)</v>
      </c>
      <c r="AA10" s="47"/>
    </row>
    <row r="11" spans="1:27">
      <c r="A11" s="10" t="s">
        <v>2392</v>
      </c>
      <c r="B11" s="116">
        <v>29300</v>
      </c>
      <c r="C11" s="116">
        <v>3</v>
      </c>
      <c r="D11" s="114"/>
      <c r="E11" s="114">
        <v>29</v>
      </c>
      <c r="F11" s="114">
        <f>60</f>
        <v>60</v>
      </c>
      <c r="G11" s="116"/>
      <c r="H11" s="116"/>
      <c r="I11" s="116"/>
      <c r="J11" s="114"/>
      <c r="K11" s="116"/>
      <c r="L11" s="114">
        <v>43</v>
      </c>
      <c r="M11" s="116"/>
      <c r="N11" s="116"/>
      <c r="O11" s="116"/>
      <c r="P11" s="116"/>
      <c r="Q11" s="114"/>
      <c r="R11" s="114"/>
      <c r="S11" s="114" t="s">
        <v>675</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2" t="str">
        <f t="shared" si="0"/>
        <v>Band of Eternity (Revered)</v>
      </c>
      <c r="AA11" s="47"/>
    </row>
    <row r="12" spans="1:27">
      <c r="A12" s="10" t="s">
        <v>2373</v>
      </c>
      <c r="B12" s="116">
        <v>22961</v>
      </c>
      <c r="C12" s="116">
        <v>1</v>
      </c>
      <c r="D12" s="114"/>
      <c r="E12" s="114">
        <v>22</v>
      </c>
      <c r="F12" s="114">
        <v>46</v>
      </c>
      <c r="G12" s="116"/>
      <c r="H12" s="116"/>
      <c r="I12" s="116"/>
      <c r="J12" s="114"/>
      <c r="K12" s="116"/>
      <c r="L12" s="114"/>
      <c r="M12" s="116"/>
      <c r="N12" s="116"/>
      <c r="O12" s="116"/>
      <c r="P12" s="116"/>
      <c r="Q12" s="114"/>
      <c r="R12" s="114"/>
      <c r="S12" s="114" t="s">
        <v>667</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2"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870</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2" t="str">
        <f t="shared" si="0"/>
        <v>Band of Ruinous Delight</v>
      </c>
      <c r="AA13" s="47"/>
    </row>
    <row r="14" spans="1:27">
      <c r="A14" s="10" t="s">
        <v>1920</v>
      </c>
      <c r="B14" s="116">
        <v>29301</v>
      </c>
      <c r="C14" s="116">
        <v>3</v>
      </c>
      <c r="D14" s="114"/>
      <c r="E14" s="114">
        <v>29</v>
      </c>
      <c r="F14" s="114">
        <f>60+160*Optimize!C57</f>
        <v>82.158089843753658</v>
      </c>
      <c r="G14" s="116"/>
      <c r="H14" s="116"/>
      <c r="I14" s="116"/>
      <c r="J14" s="114"/>
      <c r="K14" s="116"/>
      <c r="L14" s="114">
        <v>43</v>
      </c>
      <c r="M14" s="116"/>
      <c r="N14" s="116"/>
      <c r="O14" s="116"/>
      <c r="P14" s="116"/>
      <c r="Q14" s="114"/>
      <c r="R14" s="114"/>
      <c r="S14" s="114" t="s">
        <v>675</v>
      </c>
      <c r="T14" s="116"/>
      <c r="U14" s="890">
        <f>($D14*dpsStr+$E14*dpsAgi+$G14*dpsCrit+$H14*dpsHit+$F14*dpsAP+$I14*dpsHaste+$J14*dpsArmor+$K14*dpsExp)-'Gear &amp; Buffs'!$AF$66</f>
        <v>-77.391299250401289</v>
      </c>
      <c r="V14" s="890">
        <f>($D14*dpsStr+$E14*dpsAgi+$G14*dpsCrit+$H14*dpsHit+$F14*dpsAP+$I14*dpsHaste+$J14*dpsArmor+$K14*dpsExp)-'Gear &amp; Buffs'!$AF$68</f>
        <v>-83.599708460967804</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2" t="str">
        <f t="shared" si="0"/>
        <v>Band of the Eternal Champion</v>
      </c>
      <c r="AA14" s="47"/>
    </row>
    <row r="15" spans="1:27">
      <c r="A15" s="10" t="s">
        <v>723</v>
      </c>
      <c r="B15" s="116">
        <v>28553</v>
      </c>
      <c r="C15" s="116">
        <v>1</v>
      </c>
      <c r="D15" s="114"/>
      <c r="E15" s="114"/>
      <c r="F15" s="114">
        <v>34</v>
      </c>
      <c r="G15" s="116">
        <v>16</v>
      </c>
      <c r="H15" s="116">
        <v>10</v>
      </c>
      <c r="I15" s="116"/>
      <c r="J15" s="114"/>
      <c r="K15" s="116"/>
      <c r="L15" s="114">
        <v>24</v>
      </c>
      <c r="M15" s="116"/>
      <c r="N15" s="116">
        <v>11</v>
      </c>
      <c r="O15" s="116"/>
      <c r="P15" s="116"/>
      <c r="Q15" s="114"/>
      <c r="R15" s="114"/>
      <c r="S15" s="114" t="s">
        <v>676</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2" t="str">
        <f t="shared" si="0"/>
        <v>Band of the Exorcist</v>
      </c>
      <c r="AA15" s="47"/>
    </row>
    <row r="16" spans="1:27">
      <c r="A16" s="10" t="s">
        <v>490</v>
      </c>
      <c r="B16" s="116">
        <v>29997</v>
      </c>
      <c r="C16" s="116">
        <v>2</v>
      </c>
      <c r="D16" s="114"/>
      <c r="E16" s="114"/>
      <c r="F16" s="114">
        <v>56</v>
      </c>
      <c r="G16" s="116">
        <v>28</v>
      </c>
      <c r="H16" s="116">
        <v>18</v>
      </c>
      <c r="I16" s="116"/>
      <c r="J16" s="114"/>
      <c r="K16" s="116"/>
      <c r="L16" s="114">
        <v>27</v>
      </c>
      <c r="M16" s="116"/>
      <c r="N16" s="116"/>
      <c r="O16" s="116"/>
      <c r="P16" s="114"/>
      <c r="Q16" s="114"/>
      <c r="R16" s="114"/>
      <c r="S16" s="114" t="s">
        <v>679</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2" t="str">
        <f t="shared" si="0"/>
        <v>Band of the Ranger-General</v>
      </c>
      <c r="AA16" s="47"/>
    </row>
    <row r="17" spans="1:27">
      <c r="A17" s="10" t="s">
        <v>2504</v>
      </c>
      <c r="B17" s="114">
        <v>28246</v>
      </c>
      <c r="C17" s="114">
        <v>1</v>
      </c>
      <c r="D17" s="114"/>
      <c r="E17" s="114"/>
      <c r="F17" s="114">
        <v>32</v>
      </c>
      <c r="G17" s="116">
        <v>16</v>
      </c>
      <c r="H17" s="116"/>
      <c r="I17" s="114"/>
      <c r="J17" s="114"/>
      <c r="K17" s="114"/>
      <c r="L17" s="114">
        <v>21</v>
      </c>
      <c r="M17" s="116"/>
      <c r="N17" s="116">
        <v>16</v>
      </c>
      <c r="O17" s="114"/>
      <c r="P17" s="114"/>
      <c r="Q17" s="114"/>
      <c r="R17" s="114"/>
      <c r="S17" s="114" t="s">
        <v>676</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2" t="str">
        <f t="shared" si="0"/>
        <v>Band of Triumph</v>
      </c>
      <c r="AA17" s="47"/>
    </row>
    <row r="18" spans="1:27">
      <c r="A18" s="10" t="s">
        <v>2374</v>
      </c>
      <c r="B18" s="114">
        <v>23038</v>
      </c>
      <c r="C18" s="114">
        <v>1</v>
      </c>
      <c r="D18" s="114"/>
      <c r="E18" s="114"/>
      <c r="F18" s="114">
        <v>52</v>
      </c>
      <c r="G18" s="116">
        <v>14</v>
      </c>
      <c r="H18" s="116">
        <v>10</v>
      </c>
      <c r="I18" s="114"/>
      <c r="J18" s="114"/>
      <c r="K18" s="114"/>
      <c r="L18" s="114"/>
      <c r="M18" s="116"/>
      <c r="N18" s="116"/>
      <c r="O18" s="114"/>
      <c r="P18" s="114"/>
      <c r="Q18" s="114"/>
      <c r="R18" s="114"/>
      <c r="S18" s="114" t="s">
        <v>667</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2" t="str">
        <f t="shared" si="0"/>
        <v>Band of Unnatural Forces</v>
      </c>
      <c r="AA18" s="47"/>
    </row>
    <row r="19" spans="1:27">
      <c r="A19" s="10" t="s">
        <v>2375</v>
      </c>
      <c r="B19" s="114">
        <v>23060</v>
      </c>
      <c r="C19" s="114">
        <v>1</v>
      </c>
      <c r="D19" s="114">
        <v>20</v>
      </c>
      <c r="E19" s="114">
        <v>20</v>
      </c>
      <c r="F19" s="114"/>
      <c r="G19" s="116"/>
      <c r="H19" s="116">
        <v>10</v>
      </c>
      <c r="I19" s="114"/>
      <c r="J19" s="114"/>
      <c r="K19" s="114"/>
      <c r="L19" s="114">
        <v>10</v>
      </c>
      <c r="M19" s="116"/>
      <c r="N19" s="116"/>
      <c r="O19" s="114"/>
      <c r="P19" s="114" t="s">
        <v>2334</v>
      </c>
      <c r="Q19" s="114"/>
      <c r="R19" s="114"/>
      <c r="S19" s="114" t="s">
        <v>667</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2" t="str">
        <f t="shared" si="0"/>
        <v>Bonescythe Ring</v>
      </c>
      <c r="AA19" s="47"/>
    </row>
    <row r="20" spans="1:27">
      <c r="A20" s="130" t="s">
        <v>2828</v>
      </c>
      <c r="B20" s="114">
        <v>32081</v>
      </c>
      <c r="C20" s="114">
        <v>1</v>
      </c>
      <c r="D20" s="114"/>
      <c r="E20" s="114"/>
      <c r="F20" s="114">
        <v>60</v>
      </c>
      <c r="G20" s="116"/>
      <c r="H20" s="116"/>
      <c r="I20" s="114"/>
      <c r="J20" s="114"/>
      <c r="K20" s="114"/>
      <c r="L20" s="114">
        <v>31</v>
      </c>
      <c r="M20" s="116"/>
      <c r="N20" s="116"/>
      <c r="O20" s="114"/>
      <c r="P20" s="114"/>
      <c r="Q20" s="114"/>
      <c r="R20" s="114"/>
      <c r="S20" s="114" t="s">
        <v>690</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2" t="str">
        <f t="shared" si="0"/>
        <v>Eye of the Stalker</v>
      </c>
      <c r="AA20" s="47"/>
    </row>
    <row r="21" spans="1:27">
      <c r="A21" s="10" t="s">
        <v>491</v>
      </c>
      <c r="B21" s="116">
        <v>28649</v>
      </c>
      <c r="C21" s="116">
        <v>1</v>
      </c>
      <c r="D21" s="114"/>
      <c r="E21" s="114">
        <v>20</v>
      </c>
      <c r="F21" s="114">
        <v>40</v>
      </c>
      <c r="G21" s="116"/>
      <c r="H21" s="116">
        <v>18</v>
      </c>
      <c r="I21" s="116"/>
      <c r="J21" s="114"/>
      <c r="K21" s="116"/>
      <c r="L21" s="114">
        <v>25</v>
      </c>
      <c r="M21" s="116"/>
      <c r="N21" s="116"/>
      <c r="O21" s="116"/>
      <c r="P21" s="47"/>
      <c r="Q21" s="114"/>
      <c r="R21" s="114"/>
      <c r="S21" s="114" t="s">
        <v>671</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2" t="str">
        <f t="shared" si="0"/>
        <v>Garona's Signet Ring</v>
      </c>
      <c r="AA21" s="47"/>
    </row>
    <row r="22" spans="1:27">
      <c r="A22" s="10" t="s">
        <v>1992</v>
      </c>
      <c r="B22" s="116">
        <v>35131</v>
      </c>
      <c r="C22" s="116">
        <v>5</v>
      </c>
      <c r="D22" s="114"/>
      <c r="E22" s="114"/>
      <c r="F22" s="114">
        <v>52</v>
      </c>
      <c r="G22" s="116">
        <v>30</v>
      </c>
      <c r="H22" s="116"/>
      <c r="I22" s="116"/>
      <c r="J22" s="114">
        <v>56</v>
      </c>
      <c r="K22" s="116"/>
      <c r="L22" s="114">
        <v>38</v>
      </c>
      <c r="M22" s="116"/>
      <c r="N22" s="116">
        <v>22</v>
      </c>
      <c r="O22" s="116"/>
      <c r="P22" s="114"/>
      <c r="Q22" s="114"/>
      <c r="R22" s="114"/>
      <c r="S22" s="114" t="s">
        <v>676</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2" t="str">
        <f t="shared" si="0"/>
        <v>Guardian's Band of Triumph</v>
      </c>
      <c r="AA22" s="47"/>
    </row>
    <row r="23" spans="1:27">
      <c r="A23" s="10" t="s">
        <v>978</v>
      </c>
      <c r="B23" s="116">
        <v>34361</v>
      </c>
      <c r="C23" s="116">
        <v>5</v>
      </c>
      <c r="D23" s="114"/>
      <c r="E23" s="114">
        <v>30</v>
      </c>
      <c r="F23" s="114">
        <v>58</v>
      </c>
      <c r="G23" s="116"/>
      <c r="H23" s="116"/>
      <c r="I23" s="116">
        <v>28</v>
      </c>
      <c r="J23" s="114"/>
      <c r="K23" s="116"/>
      <c r="L23" s="114">
        <v>42</v>
      </c>
      <c r="M23" s="116"/>
      <c r="N23" s="116"/>
      <c r="O23" s="116"/>
      <c r="P23" s="114"/>
      <c r="Q23" s="114"/>
      <c r="R23" s="114"/>
      <c r="S23" s="114" t="s">
        <v>684</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2" t="str">
        <f t="shared" si="0"/>
        <v>Hard Khorium Band</v>
      </c>
      <c r="AA23" s="47"/>
    </row>
    <row r="24" spans="1:27">
      <c r="A24" s="10" t="s">
        <v>492</v>
      </c>
      <c r="B24" s="116">
        <v>30860</v>
      </c>
      <c r="C24" s="116">
        <v>1</v>
      </c>
      <c r="D24" s="114"/>
      <c r="E24" s="114">
        <v>15</v>
      </c>
      <c r="F24" s="114">
        <v>50</v>
      </c>
      <c r="G24" s="116"/>
      <c r="H24" s="116">
        <v>10</v>
      </c>
      <c r="I24" s="116"/>
      <c r="J24" s="114"/>
      <c r="K24" s="116"/>
      <c r="L24" s="114"/>
      <c r="M24" s="116"/>
      <c r="N24" s="116"/>
      <c r="O24" s="116"/>
      <c r="P24" s="114"/>
      <c r="Q24" s="114"/>
      <c r="R24" s="114"/>
      <c r="S24" s="114" t="s">
        <v>674</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2" t="str">
        <f t="shared" si="0"/>
        <v>Kaylaan's Signet</v>
      </c>
      <c r="AA24" s="47"/>
    </row>
    <row r="25" spans="1:27">
      <c r="A25" s="10" t="s">
        <v>2376</v>
      </c>
      <c r="B25" s="116">
        <v>31527</v>
      </c>
      <c r="C25" s="116">
        <v>1</v>
      </c>
      <c r="D25" s="114"/>
      <c r="E25" s="114">
        <v>12</v>
      </c>
      <c r="F25" s="114">
        <v>38</v>
      </c>
      <c r="G25" s="116"/>
      <c r="H25" s="116">
        <v>12</v>
      </c>
      <c r="I25" s="116"/>
      <c r="J25" s="114"/>
      <c r="K25" s="116"/>
      <c r="L25" s="114"/>
      <c r="M25" s="116"/>
      <c r="N25" s="116"/>
      <c r="O25" s="116"/>
      <c r="P25" s="114"/>
      <c r="Q25" s="114"/>
      <c r="R25" s="114"/>
      <c r="S25" s="114" t="s">
        <v>674</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2" t="str">
        <f t="shared" si="0"/>
        <v>Leafbeard Ring</v>
      </c>
      <c r="AA25" s="47"/>
    </row>
    <row r="26" spans="1:27">
      <c r="A26" s="10" t="s">
        <v>2377</v>
      </c>
      <c r="B26" s="116">
        <v>25962</v>
      </c>
      <c r="C26" s="116">
        <v>1</v>
      </c>
      <c r="D26" s="114"/>
      <c r="E26" s="114">
        <v>16</v>
      </c>
      <c r="F26" s="114">
        <v>32</v>
      </c>
      <c r="G26" s="116"/>
      <c r="H26" s="116">
        <v>11</v>
      </c>
      <c r="I26" s="116"/>
      <c r="J26" s="114"/>
      <c r="K26" s="116"/>
      <c r="L26" s="114">
        <v>15</v>
      </c>
      <c r="M26" s="116"/>
      <c r="N26" s="116"/>
      <c r="O26" s="116"/>
      <c r="P26" s="114"/>
      <c r="Q26" s="114"/>
      <c r="R26" s="114"/>
      <c r="S26" s="114" t="s">
        <v>672</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2" t="str">
        <f t="shared" si="0"/>
        <v>Longstrider's Loop</v>
      </c>
      <c r="AA26" s="47"/>
    </row>
    <row r="27" spans="1:27">
      <c r="A27" s="130" t="s">
        <v>2829</v>
      </c>
      <c r="B27" s="116">
        <v>28730</v>
      </c>
      <c r="C27" s="116">
        <v>1</v>
      </c>
      <c r="D27" s="114">
        <v>26</v>
      </c>
      <c r="E27" s="114"/>
      <c r="F27" s="114"/>
      <c r="G27" s="116">
        <v>22</v>
      </c>
      <c r="H27" s="116"/>
      <c r="I27" s="116"/>
      <c r="J27" s="114"/>
      <c r="K27" s="116"/>
      <c r="L27" s="114">
        <v>24</v>
      </c>
      <c r="M27" s="116"/>
      <c r="N27" s="116"/>
      <c r="O27" s="116"/>
      <c r="P27" s="114"/>
      <c r="Q27" s="114"/>
      <c r="R27" s="114"/>
      <c r="S27" s="114" t="s">
        <v>671</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2" t="str">
        <f t="shared" si="0"/>
        <v>Mithril Band of the Unscarred</v>
      </c>
      <c r="AA27" s="47"/>
    </row>
    <row r="28" spans="1:27">
      <c r="A28" s="10" t="s">
        <v>1229</v>
      </c>
      <c r="B28" s="116">
        <v>25804</v>
      </c>
      <c r="C28" s="116">
        <v>1</v>
      </c>
      <c r="D28" s="114"/>
      <c r="E28" s="114"/>
      <c r="F28" s="114">
        <v>34</v>
      </c>
      <c r="G28" s="116">
        <v>18</v>
      </c>
      <c r="H28" s="116"/>
      <c r="I28" s="116"/>
      <c r="J28" s="114"/>
      <c r="K28" s="116"/>
      <c r="L28" s="114">
        <v>27</v>
      </c>
      <c r="M28" s="116"/>
      <c r="N28" s="116"/>
      <c r="O28" s="116"/>
      <c r="P28" s="114"/>
      <c r="Q28" s="114"/>
      <c r="R28" s="114"/>
      <c r="S28" s="114" t="s">
        <v>674</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2" t="str">
        <f t="shared" si="0"/>
        <v>Naliko's Revenge</v>
      </c>
      <c r="AA28" s="47"/>
    </row>
    <row r="29" spans="1:27">
      <c r="A29" s="10" t="s">
        <v>2378</v>
      </c>
      <c r="B29" s="116">
        <v>30365</v>
      </c>
      <c r="C29" s="116">
        <v>1</v>
      </c>
      <c r="D29" s="114">
        <v>25</v>
      </c>
      <c r="E29" s="114">
        <v>15</v>
      </c>
      <c r="F29" s="114"/>
      <c r="G29" s="116"/>
      <c r="H29" s="116">
        <v>10</v>
      </c>
      <c r="I29" s="116"/>
      <c r="J29" s="114"/>
      <c r="K29" s="116"/>
      <c r="L29" s="114"/>
      <c r="M29" s="116"/>
      <c r="N29" s="116"/>
      <c r="O29" s="116"/>
      <c r="P29" s="114"/>
      <c r="Q29" s="114"/>
      <c r="R29" s="114"/>
      <c r="S29" s="114" t="s">
        <v>674</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2" t="str">
        <f t="shared" si="0"/>
        <v>Overseer's Signet</v>
      </c>
      <c r="AA29" s="47"/>
    </row>
    <row r="30" spans="1:27">
      <c r="A30" s="10" t="s">
        <v>2379</v>
      </c>
      <c r="B30" s="116">
        <v>31277</v>
      </c>
      <c r="C30" s="116">
        <v>1</v>
      </c>
      <c r="D30" s="114"/>
      <c r="E30" s="114">
        <v>25</v>
      </c>
      <c r="F30" s="114">
        <v>34</v>
      </c>
      <c r="G30" s="116"/>
      <c r="H30" s="116"/>
      <c r="I30" s="116"/>
      <c r="J30" s="114"/>
      <c r="K30" s="116"/>
      <c r="L30" s="114"/>
      <c r="M30" s="116"/>
      <c r="N30" s="116"/>
      <c r="O30" s="116"/>
      <c r="P30" s="114"/>
      <c r="Q30" s="114"/>
      <c r="R30" s="114"/>
      <c r="S30" s="114" t="s">
        <v>673</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2" t="str">
        <f t="shared" si="0"/>
        <v>Pathfinder's Band</v>
      </c>
      <c r="AA30" s="47"/>
    </row>
    <row r="31" spans="1:27">
      <c r="A31" s="10" t="s">
        <v>493</v>
      </c>
      <c r="B31" s="116">
        <v>27925</v>
      </c>
      <c r="C31" s="116">
        <v>1</v>
      </c>
      <c r="D31" s="114"/>
      <c r="E31" s="114">
        <v>20</v>
      </c>
      <c r="F31" s="114">
        <v>30</v>
      </c>
      <c r="G31" s="116"/>
      <c r="H31" s="116">
        <v>13</v>
      </c>
      <c r="I31" s="116"/>
      <c r="J31" s="114"/>
      <c r="K31" s="116"/>
      <c r="L31" s="114">
        <v>15</v>
      </c>
      <c r="M31" s="116"/>
      <c r="N31" s="116"/>
      <c r="O31" s="116"/>
      <c r="P31" s="114"/>
      <c r="Q31" s="114"/>
      <c r="R31" s="114"/>
      <c r="S31" s="114" t="s">
        <v>672</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2"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671</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2" t="str">
        <f t="shared" si="0"/>
        <v>Ring of a Thousand Marks</v>
      </c>
      <c r="AA32" s="47"/>
    </row>
    <row r="33" spans="1:27">
      <c r="A33" s="130" t="s">
        <v>494</v>
      </c>
      <c r="B33" s="116">
        <v>29379</v>
      </c>
      <c r="C33" s="116">
        <v>1</v>
      </c>
      <c r="D33" s="114"/>
      <c r="E33" s="114"/>
      <c r="F33" s="114">
        <v>46</v>
      </c>
      <c r="G33" s="116">
        <v>23</v>
      </c>
      <c r="H33" s="116"/>
      <c r="I33" s="116"/>
      <c r="J33" s="114"/>
      <c r="K33" s="116"/>
      <c r="L33" s="114">
        <v>24</v>
      </c>
      <c r="M33" s="116"/>
      <c r="N33" s="116"/>
      <c r="O33" s="116"/>
      <c r="P33" s="114"/>
      <c r="Q33" s="114"/>
      <c r="R33" s="114"/>
      <c r="S33" s="114" t="s">
        <v>690</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2" t="str">
        <f t="shared" si="0"/>
        <v>Ring of Arathi Warlords</v>
      </c>
      <c r="AA33" s="47"/>
    </row>
    <row r="34" spans="1:27">
      <c r="A34" s="10" t="s">
        <v>1935</v>
      </c>
      <c r="B34" s="116">
        <v>32266</v>
      </c>
      <c r="C34" s="116">
        <v>3</v>
      </c>
      <c r="D34" s="114"/>
      <c r="E34" s="114">
        <v>21</v>
      </c>
      <c r="F34" s="114">
        <v>58</v>
      </c>
      <c r="G34" s="116"/>
      <c r="H34" s="116">
        <v>19</v>
      </c>
      <c r="I34" s="116"/>
      <c r="J34" s="114"/>
      <c r="K34" s="116"/>
      <c r="L34" s="114">
        <v>42</v>
      </c>
      <c r="M34" s="116"/>
      <c r="N34" s="116"/>
      <c r="O34" s="116"/>
      <c r="P34" s="114"/>
      <c r="Q34" s="114"/>
      <c r="R34" s="114"/>
      <c r="S34" s="114" t="s">
        <v>682</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2" t="str">
        <f t="shared" si="0"/>
        <v>Ring of Deceitful Intent</v>
      </c>
      <c r="AA34" s="47"/>
    </row>
    <row r="35" spans="1:27">
      <c r="A35" s="10" t="s">
        <v>495</v>
      </c>
      <c r="B35" s="116">
        <v>30052</v>
      </c>
      <c r="C35" s="116">
        <v>2</v>
      </c>
      <c r="D35" s="114"/>
      <c r="E35" s="114">
        <v>24</v>
      </c>
      <c r="F35" s="114">
        <v>50</v>
      </c>
      <c r="G35" s="116"/>
      <c r="H35" s="116">
        <v>19</v>
      </c>
      <c r="I35" s="116"/>
      <c r="J35" s="114"/>
      <c r="K35" s="116"/>
      <c r="L35" s="114">
        <v>19</v>
      </c>
      <c r="M35" s="116"/>
      <c r="N35" s="116"/>
      <c r="O35" s="116"/>
      <c r="P35" s="114"/>
      <c r="Q35" s="114"/>
      <c r="R35" s="114"/>
      <c r="S35" s="114" t="s">
        <v>666</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2" t="str">
        <f t="shared" si="0"/>
        <v>Ring of Lethality</v>
      </c>
      <c r="AA35" s="47"/>
    </row>
    <row r="36" spans="1:27">
      <c r="A36" s="10" t="s">
        <v>496</v>
      </c>
      <c r="B36" s="116">
        <v>30738</v>
      </c>
      <c r="C36" s="116">
        <v>1</v>
      </c>
      <c r="D36" s="114"/>
      <c r="E36" s="114"/>
      <c r="F36" s="114">
        <v>62</v>
      </c>
      <c r="G36" s="116">
        <v>19</v>
      </c>
      <c r="H36" s="116">
        <v>15</v>
      </c>
      <c r="I36" s="116"/>
      <c r="J36" s="114"/>
      <c r="K36" s="116"/>
      <c r="L36" s="114"/>
      <c r="M36" s="116"/>
      <c r="N36" s="116"/>
      <c r="O36" s="116"/>
      <c r="P36" s="114"/>
      <c r="Q36" s="114"/>
      <c r="R36" s="114"/>
      <c r="S36" s="114" t="s">
        <v>681</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2" t="str">
        <f t="shared" si="0"/>
        <v>Ring of Reciprocity</v>
      </c>
      <c r="AA36" s="47"/>
    </row>
    <row r="37" spans="1:27">
      <c r="A37" s="130" t="s">
        <v>2284</v>
      </c>
      <c r="B37" s="116">
        <v>32942</v>
      </c>
      <c r="C37" s="116">
        <v>3</v>
      </c>
      <c r="D37" s="114"/>
      <c r="E37" s="114">
        <v>16</v>
      </c>
      <c r="F37" s="114">
        <v>56</v>
      </c>
      <c r="G37" s="116"/>
      <c r="H37" s="116">
        <v>12</v>
      </c>
      <c r="I37" s="116"/>
      <c r="J37" s="114"/>
      <c r="K37" s="116"/>
      <c r="L37" s="114"/>
      <c r="M37" s="116"/>
      <c r="N37" s="116"/>
      <c r="O37" s="116"/>
      <c r="P37" s="114"/>
      <c r="Q37" s="114"/>
      <c r="R37" s="114"/>
      <c r="S37" s="114" t="s">
        <v>674</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2" t="str">
        <f t="shared" si="0"/>
        <v>Ring of the Overseer</v>
      </c>
      <c r="AA37" s="47"/>
    </row>
    <row r="38" spans="1:27">
      <c r="A38" s="10" t="s">
        <v>1915</v>
      </c>
      <c r="B38" s="116">
        <v>28791</v>
      </c>
      <c r="C38" s="116">
        <v>1</v>
      </c>
      <c r="D38" s="114"/>
      <c r="E38" s="114">
        <v>24</v>
      </c>
      <c r="F38" s="114">
        <v>54</v>
      </c>
      <c r="G38" s="116"/>
      <c r="H38" s="116"/>
      <c r="I38" s="116"/>
      <c r="J38" s="114"/>
      <c r="K38" s="116"/>
      <c r="L38" s="114">
        <v>27</v>
      </c>
      <c r="M38" s="116"/>
      <c r="N38" s="116"/>
      <c r="O38" s="116"/>
      <c r="P38" s="114"/>
      <c r="Q38" s="114"/>
      <c r="R38" s="114"/>
      <c r="S38" s="114" t="s">
        <v>678</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2" t="str">
        <f t="shared" si="0"/>
        <v>Ring of the Recalcitrant</v>
      </c>
      <c r="AA38" s="47"/>
    </row>
    <row r="39" spans="1:27">
      <c r="A39" s="10" t="s">
        <v>2380</v>
      </c>
      <c r="B39" s="116">
        <v>27761</v>
      </c>
      <c r="C39" s="116">
        <v>1</v>
      </c>
      <c r="D39" s="114"/>
      <c r="E39" s="114"/>
      <c r="F39" s="114">
        <v>24</v>
      </c>
      <c r="G39" s="116">
        <v>21</v>
      </c>
      <c r="H39" s="116">
        <v>13</v>
      </c>
      <c r="I39" s="116"/>
      <c r="J39" s="114"/>
      <c r="K39" s="116"/>
      <c r="L39" s="114">
        <v>15</v>
      </c>
      <c r="M39" s="116"/>
      <c r="N39" s="116"/>
      <c r="O39" s="116"/>
      <c r="P39" s="114"/>
      <c r="Q39" s="114"/>
      <c r="R39" s="114"/>
      <c r="S39" s="114" t="s">
        <v>690</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2" t="str">
        <f t="shared" si="0"/>
        <v>Ring of the Shadow Deeps</v>
      </c>
      <c r="AA39" s="47"/>
    </row>
    <row r="40" spans="1:27">
      <c r="A40" s="10" t="s">
        <v>2830</v>
      </c>
      <c r="B40" s="116">
        <v>28323</v>
      </c>
      <c r="C40" s="116">
        <v>1</v>
      </c>
      <c r="D40" s="114"/>
      <c r="E40" s="114"/>
      <c r="F40" s="114">
        <v>40</v>
      </c>
      <c r="G40" s="116">
        <v>20</v>
      </c>
      <c r="H40" s="116"/>
      <c r="I40" s="116"/>
      <c r="J40" s="114"/>
      <c r="K40" s="116"/>
      <c r="L40" s="114">
        <v>18</v>
      </c>
      <c r="M40" s="116"/>
      <c r="N40" s="116"/>
      <c r="O40" s="116"/>
      <c r="P40" s="114"/>
      <c r="Q40" s="114"/>
      <c r="R40" s="114"/>
      <c r="S40" s="114" t="s">
        <v>672</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2" t="str">
        <f t="shared" si="0"/>
        <v>Ring of Umbral Doom</v>
      </c>
      <c r="AA40" s="47"/>
    </row>
    <row r="41" spans="1:27">
      <c r="A41" s="130" t="s">
        <v>1698</v>
      </c>
      <c r="B41" s="116">
        <v>31920</v>
      </c>
      <c r="C41" s="116">
        <v>1</v>
      </c>
      <c r="D41" s="114"/>
      <c r="E41" s="114"/>
      <c r="F41" s="114">
        <v>40</v>
      </c>
      <c r="G41" s="116">
        <v>20</v>
      </c>
      <c r="H41" s="116">
        <v>19</v>
      </c>
      <c r="I41" s="116"/>
      <c r="J41" s="114"/>
      <c r="K41" s="116"/>
      <c r="L41" s="114"/>
      <c r="M41" s="116"/>
      <c r="N41" s="116"/>
      <c r="O41" s="116"/>
      <c r="P41" s="114"/>
      <c r="Q41" s="114"/>
      <c r="R41" s="114"/>
      <c r="S41" s="114" t="s">
        <v>690</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2" t="str">
        <f t="shared" si="0"/>
        <v>Shaffar's Band of Brutality</v>
      </c>
      <c r="AA41" s="47"/>
    </row>
    <row r="42" spans="1:27">
      <c r="A42" s="10" t="s">
        <v>1699</v>
      </c>
      <c r="B42" s="116">
        <v>30834</v>
      </c>
      <c r="C42" s="116">
        <v>1</v>
      </c>
      <c r="D42" s="114"/>
      <c r="E42" s="114">
        <v>25</v>
      </c>
      <c r="F42" s="114"/>
      <c r="G42" s="116"/>
      <c r="H42" s="116"/>
      <c r="I42" s="116"/>
      <c r="J42" s="114"/>
      <c r="K42" s="116">
        <v>20</v>
      </c>
      <c r="L42" s="114">
        <v>18</v>
      </c>
      <c r="M42" s="116"/>
      <c r="N42" s="116"/>
      <c r="O42" s="116"/>
      <c r="P42" s="114"/>
      <c r="Q42" s="114"/>
      <c r="R42" s="114"/>
      <c r="S42" s="114" t="s">
        <v>675</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2" t="str">
        <f t="shared" si="0"/>
        <v>Shapeshifter's Signet</v>
      </c>
      <c r="AA42" s="47"/>
    </row>
    <row r="43" spans="1:27">
      <c r="A43" s="10" t="s">
        <v>1436</v>
      </c>
      <c r="B43" s="116">
        <v>33496</v>
      </c>
      <c r="C43" s="116">
        <v>4</v>
      </c>
      <c r="D43" s="114"/>
      <c r="E43" s="114">
        <v>28</v>
      </c>
      <c r="F43" s="114">
        <v>58</v>
      </c>
      <c r="G43" s="116"/>
      <c r="H43" s="116"/>
      <c r="I43" s="116"/>
      <c r="J43" s="114">
        <v>126</v>
      </c>
      <c r="K43" s="116"/>
      <c r="L43" s="114">
        <v>30</v>
      </c>
      <c r="M43" s="116"/>
      <c r="N43" s="116"/>
      <c r="O43" s="116"/>
      <c r="P43" s="114"/>
      <c r="Q43" s="114"/>
      <c r="R43" s="114"/>
      <c r="S43" s="114" t="s">
        <v>663</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2" t="str">
        <f t="shared" si="0"/>
        <v>Signet of Primal Wrath</v>
      </c>
      <c r="AA43" s="47"/>
    </row>
    <row r="44" spans="1:27">
      <c r="A44" s="10" t="s">
        <v>2381</v>
      </c>
      <c r="B44" s="116">
        <v>21205</v>
      </c>
      <c r="C44" s="116">
        <v>1</v>
      </c>
      <c r="D44" s="114"/>
      <c r="E44" s="114">
        <v>18</v>
      </c>
      <c r="F44" s="114">
        <v>24</v>
      </c>
      <c r="G44" s="116"/>
      <c r="H44" s="116">
        <v>10</v>
      </c>
      <c r="I44" s="116"/>
      <c r="J44" s="114"/>
      <c r="K44" s="116"/>
      <c r="L44" s="114">
        <v>13</v>
      </c>
      <c r="M44" s="116"/>
      <c r="N44" s="116"/>
      <c r="O44" s="116"/>
      <c r="P44" s="114"/>
      <c r="Q44" s="114"/>
      <c r="R44" s="114"/>
      <c r="S44" s="114" t="s">
        <v>667</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2" t="str">
        <f t="shared" si="0"/>
        <v>Signet Ring of the Bronze Dragonflight</v>
      </c>
      <c r="AA44" s="47"/>
    </row>
    <row r="45" spans="1:27">
      <c r="A45" s="10" t="s">
        <v>2382</v>
      </c>
      <c r="B45" s="116">
        <v>35284</v>
      </c>
      <c r="C45" s="116">
        <v>5</v>
      </c>
      <c r="D45" s="114"/>
      <c r="E45" s="114"/>
      <c r="F45" s="114">
        <v>58</v>
      </c>
      <c r="G45" s="116">
        <v>28</v>
      </c>
      <c r="H45" s="116"/>
      <c r="I45" s="116"/>
      <c r="J45" s="114"/>
      <c r="K45" s="116"/>
      <c r="L45" s="114">
        <v>30</v>
      </c>
      <c r="M45" s="116"/>
      <c r="N45" s="116">
        <v>19</v>
      </c>
      <c r="O45" s="116"/>
      <c r="P45" s="114"/>
      <c r="Q45" s="114"/>
      <c r="R45" s="114"/>
      <c r="S45" s="114" t="s">
        <v>870</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2" t="str">
        <f t="shared" si="0"/>
        <v>Sin'dorei Band of Triumph</v>
      </c>
      <c r="AA45" s="47"/>
    </row>
    <row r="46" spans="1:27">
      <c r="A46" s="10" t="s">
        <v>1700</v>
      </c>
      <c r="B46" s="114">
        <v>31077</v>
      </c>
      <c r="C46" s="114">
        <v>1</v>
      </c>
      <c r="D46" s="114"/>
      <c r="E46" s="114">
        <v>15</v>
      </c>
      <c r="F46" s="114">
        <v>50</v>
      </c>
      <c r="G46" s="116"/>
      <c r="H46" s="116">
        <v>10</v>
      </c>
      <c r="I46" s="114"/>
      <c r="J46" s="114"/>
      <c r="K46" s="114"/>
      <c r="L46" s="114"/>
      <c r="M46" s="116"/>
      <c r="N46" s="116"/>
      <c r="O46" s="114"/>
      <c r="P46" s="114"/>
      <c r="Q46" s="114"/>
      <c r="R46" s="114"/>
      <c r="S46" s="114" t="s">
        <v>674</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2" t="str">
        <f t="shared" si="0"/>
        <v>Slayer's Mark of the Redemption</v>
      </c>
      <c r="AA46" s="47"/>
    </row>
    <row r="47" spans="1:27">
      <c r="A47" s="10" t="s">
        <v>1701</v>
      </c>
      <c r="B47" s="114">
        <v>32497</v>
      </c>
      <c r="C47" s="114">
        <v>3</v>
      </c>
      <c r="D47" s="114"/>
      <c r="E47" s="114"/>
      <c r="F47" s="114">
        <v>66</v>
      </c>
      <c r="G47" s="116"/>
      <c r="H47" s="116">
        <v>30</v>
      </c>
      <c r="I47" s="114"/>
      <c r="J47" s="114">
        <v>126</v>
      </c>
      <c r="K47" s="114"/>
      <c r="L47" s="114">
        <v>33</v>
      </c>
      <c r="M47" s="116"/>
      <c r="N47" s="116"/>
      <c r="O47" s="114"/>
      <c r="P47" s="114"/>
      <c r="Q47" s="114"/>
      <c r="R47" s="114"/>
      <c r="S47" s="114" t="s">
        <v>682</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2" t="str">
        <f t="shared" si="0"/>
        <v>Stormrage Signet Ring</v>
      </c>
      <c r="AA47" s="47"/>
    </row>
    <row r="48" spans="1:27">
      <c r="A48" s="130" t="s">
        <v>2383</v>
      </c>
      <c r="B48" s="116">
        <v>31326</v>
      </c>
      <c r="C48" s="116">
        <v>1</v>
      </c>
      <c r="D48" s="114"/>
      <c r="E48" s="114">
        <v>21</v>
      </c>
      <c r="F48" s="114">
        <v>40</v>
      </c>
      <c r="G48" s="116"/>
      <c r="H48" s="116"/>
      <c r="I48" s="116"/>
      <c r="J48" s="114"/>
      <c r="K48" s="116"/>
      <c r="L48" s="114"/>
      <c r="M48" s="116"/>
      <c r="N48" s="116"/>
      <c r="O48" s="116"/>
      <c r="P48" s="114"/>
      <c r="Q48" s="114"/>
      <c r="R48" s="114"/>
      <c r="S48" s="114" t="s">
        <v>673</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2" t="str">
        <f t="shared" si="0"/>
        <v>Truestrike Ring</v>
      </c>
      <c r="AA48" s="47"/>
    </row>
    <row r="49" spans="1:29">
      <c r="A49" s="10" t="s">
        <v>2384</v>
      </c>
      <c r="B49" s="116">
        <v>32335</v>
      </c>
      <c r="C49" s="116">
        <v>3</v>
      </c>
      <c r="D49" s="114">
        <v>36</v>
      </c>
      <c r="E49" s="114"/>
      <c r="F49" s="114"/>
      <c r="G49" s="116">
        <v>30</v>
      </c>
      <c r="H49" s="116"/>
      <c r="I49" s="116"/>
      <c r="J49" s="114"/>
      <c r="K49" s="116"/>
      <c r="L49" s="114">
        <v>28</v>
      </c>
      <c r="M49" s="116"/>
      <c r="N49" s="116"/>
      <c r="O49" s="116"/>
      <c r="P49" s="114"/>
      <c r="Q49" s="114"/>
      <c r="R49" s="114"/>
      <c r="S49" s="114" t="s">
        <v>682</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2" t="str">
        <f t="shared" si="0"/>
        <v>Unstoppable Aggressor's Ring</v>
      </c>
      <c r="AA49" s="47"/>
    </row>
    <row r="50" spans="1:29">
      <c r="A50" s="10" t="s">
        <v>2468</v>
      </c>
      <c r="B50" s="116">
        <v>33057</v>
      </c>
      <c r="C50" s="116">
        <v>2</v>
      </c>
      <c r="D50" s="114"/>
      <c r="E50" s="114"/>
      <c r="F50" s="114">
        <v>42</v>
      </c>
      <c r="G50" s="116">
        <v>22</v>
      </c>
      <c r="H50" s="116"/>
      <c r="I50" s="116"/>
      <c r="J50" s="114"/>
      <c r="K50" s="116"/>
      <c r="L50" s="114">
        <v>30</v>
      </c>
      <c r="M50" s="116"/>
      <c r="N50" s="116">
        <v>22</v>
      </c>
      <c r="O50" s="116"/>
      <c r="P50" s="114"/>
      <c r="Q50" s="114"/>
      <c r="R50" s="114"/>
      <c r="S50" s="114" t="s">
        <v>676</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2"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676</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2" t="str">
        <f t="shared" si="0"/>
        <v>Vindicator's Band of Triumph</v>
      </c>
      <c r="AA51" s="47"/>
    </row>
    <row r="52" spans="1:29">
      <c r="A52" s="10" t="s">
        <v>2393</v>
      </c>
      <c r="B52" s="116">
        <v>29280</v>
      </c>
      <c r="C52" s="116">
        <v>1</v>
      </c>
      <c r="D52" s="114"/>
      <c r="E52" s="114"/>
      <c r="F52" s="114">
        <v>42</v>
      </c>
      <c r="G52" s="116"/>
      <c r="H52" s="116">
        <v>18</v>
      </c>
      <c r="I52" s="116"/>
      <c r="J52" s="114"/>
      <c r="K52" s="116"/>
      <c r="L52" s="114">
        <v>19</v>
      </c>
      <c r="M52" s="116"/>
      <c r="N52" s="116"/>
      <c r="O52" s="116"/>
      <c r="P52" s="114"/>
      <c r="Q52" s="114"/>
      <c r="R52" s="114"/>
      <c r="S52" s="114" t="s">
        <v>675</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2" t="str">
        <f t="shared" si="0"/>
        <v>Violet Signet (Friendly)</v>
      </c>
      <c r="AA52" s="114"/>
      <c r="AB52" s="129"/>
      <c r="AC52" s="129"/>
    </row>
    <row r="53" spans="1:29">
      <c r="A53" s="10" t="s">
        <v>2394</v>
      </c>
      <c r="B53" s="116">
        <v>29281</v>
      </c>
      <c r="C53" s="116">
        <v>1</v>
      </c>
      <c r="D53" s="114"/>
      <c r="E53" s="114"/>
      <c r="F53" s="114">
        <v>50</v>
      </c>
      <c r="G53" s="116"/>
      <c r="H53" s="116">
        <v>22</v>
      </c>
      <c r="I53" s="116"/>
      <c r="J53" s="114"/>
      <c r="K53" s="116"/>
      <c r="L53" s="114">
        <v>24</v>
      </c>
      <c r="M53" s="116"/>
      <c r="N53" s="116"/>
      <c r="O53" s="116"/>
      <c r="P53" s="114"/>
      <c r="Q53" s="114"/>
      <c r="R53" s="114"/>
      <c r="S53" s="114" t="s">
        <v>675</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2" t="str">
        <f t="shared" si="0"/>
        <v>Violet Signet (Honored)</v>
      </c>
      <c r="AA53" s="114"/>
      <c r="AB53" s="129"/>
      <c r="AC53" s="129"/>
    </row>
    <row r="54" spans="1:29">
      <c r="A54" s="10" t="s">
        <v>2395</v>
      </c>
      <c r="B54" s="116">
        <v>29282</v>
      </c>
      <c r="C54" s="116">
        <v>1</v>
      </c>
      <c r="D54" s="114"/>
      <c r="E54" s="114"/>
      <c r="F54" s="114">
        <v>52</v>
      </c>
      <c r="G54" s="116"/>
      <c r="H54" s="116">
        <v>24</v>
      </c>
      <c r="I54" s="116"/>
      <c r="J54" s="114"/>
      <c r="K54" s="116"/>
      <c r="L54" s="114">
        <v>27</v>
      </c>
      <c r="M54" s="116"/>
      <c r="N54" s="116"/>
      <c r="O54" s="116"/>
      <c r="P54" s="114"/>
      <c r="Q54" s="114"/>
      <c r="R54" s="114"/>
      <c r="S54" s="114" t="s">
        <v>675</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2" t="str">
        <f t="shared" si="0"/>
        <v>Violet Signet (Revered)</v>
      </c>
      <c r="AA54" s="114"/>
      <c r="AB54" s="129"/>
      <c r="AC54" s="129"/>
    </row>
    <row r="55" spans="1:29">
      <c r="A55" s="10" t="s">
        <v>1702</v>
      </c>
      <c r="B55" s="116">
        <v>29283</v>
      </c>
      <c r="C55" s="116">
        <v>1</v>
      </c>
      <c r="D55" s="114"/>
      <c r="E55" s="114"/>
      <c r="F55" s="114">
        <v>56</v>
      </c>
      <c r="G55" s="116"/>
      <c r="H55" s="116">
        <v>25</v>
      </c>
      <c r="I55" s="116"/>
      <c r="J55" s="114"/>
      <c r="K55" s="116"/>
      <c r="L55" s="114">
        <v>28</v>
      </c>
      <c r="M55" s="116"/>
      <c r="N55" s="116"/>
      <c r="O55" s="116"/>
      <c r="P55" s="114"/>
      <c r="Q55" s="114"/>
      <c r="R55" s="114"/>
      <c r="S55" s="114" t="s">
        <v>675</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2"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2206</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1703</v>
      </c>
      <c r="B60" s="729" t="s">
        <v>1933</v>
      </c>
      <c r="C60" s="729" t="s">
        <v>2795</v>
      </c>
      <c r="D60" s="730" t="s">
        <v>1213</v>
      </c>
      <c r="E60" s="730" t="s">
        <v>1214</v>
      </c>
      <c r="F60" s="730" t="s">
        <v>767</v>
      </c>
      <c r="G60" s="729" t="s">
        <v>2139</v>
      </c>
      <c r="H60" s="729" t="s">
        <v>2138</v>
      </c>
      <c r="I60" s="729" t="s">
        <v>770</v>
      </c>
      <c r="J60" s="731" t="s">
        <v>769</v>
      </c>
      <c r="K60" s="729" t="s">
        <v>759</v>
      </c>
      <c r="L60" s="730" t="s">
        <v>1215</v>
      </c>
      <c r="M60" s="729" t="s">
        <v>264</v>
      </c>
      <c r="N60" s="729" t="s">
        <v>1216</v>
      </c>
      <c r="O60" s="729" t="s">
        <v>1286</v>
      </c>
      <c r="P60" s="729" t="s">
        <v>1045</v>
      </c>
      <c r="Q60" s="730" t="s">
        <v>1046</v>
      </c>
      <c r="R60" s="730" t="s">
        <v>1940</v>
      </c>
      <c r="S60" s="730" t="s">
        <v>665</v>
      </c>
      <c r="T60" s="729" t="s">
        <v>920</v>
      </c>
      <c r="U60" s="730" t="s">
        <v>1221</v>
      </c>
      <c r="V60" s="753" t="s">
        <v>1704</v>
      </c>
      <c r="W60" s="743">
        <v>0</v>
      </c>
      <c r="X60" s="740"/>
      <c r="Y60" s="741" t="s">
        <v>1688</v>
      </c>
    </row>
    <row r="61" spans="1:29">
      <c r="A61" s="735" t="s">
        <v>1705</v>
      </c>
      <c r="B61" s="696">
        <v>2931</v>
      </c>
      <c r="C61" s="696">
        <v>3</v>
      </c>
      <c r="D61" s="695">
        <v>4</v>
      </c>
      <c r="E61" s="695">
        <v>4</v>
      </c>
      <c r="F61" s="695"/>
      <c r="G61" s="696"/>
      <c r="H61" s="696"/>
      <c r="I61" s="696"/>
      <c r="J61" s="696"/>
      <c r="K61" s="696"/>
      <c r="L61" s="695">
        <v>4</v>
      </c>
      <c r="M61" s="696"/>
      <c r="N61" s="696"/>
      <c r="O61" s="696"/>
      <c r="P61" s="696"/>
      <c r="Q61" s="696"/>
      <c r="R61" s="696"/>
      <c r="S61" s="696" t="s">
        <v>805</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t="str">
        <f>" "</f>
        <v xml:space="preserve"> </v>
      </c>
    </row>
    <row r="62" spans="1:29">
      <c r="A62" s="676" t="s">
        <v>1563</v>
      </c>
      <c r="B62" s="678">
        <v>2929</v>
      </c>
      <c r="C62" s="678">
        <v>1</v>
      </c>
      <c r="D62" s="677"/>
      <c r="E62" s="677"/>
      <c r="F62" s="677"/>
      <c r="G62" s="678"/>
      <c r="H62" s="678"/>
      <c r="I62" s="678"/>
      <c r="J62" s="678"/>
      <c r="K62" s="678"/>
      <c r="L62" s="677"/>
      <c r="M62" s="678"/>
      <c r="N62" s="678"/>
      <c r="O62" s="678"/>
      <c r="P62" s="678"/>
      <c r="Q62" s="678"/>
      <c r="R62" s="678"/>
      <c r="S62" s="678" t="s">
        <v>805</v>
      </c>
      <c r="T62" s="678" t="b">
        <v>0</v>
      </c>
      <c r="U62" s="678"/>
      <c r="V62" s="717">
        <v>2</v>
      </c>
      <c r="W62" s="220">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1</v>
      </c>
      <c r="X62" s="737">
        <v>1</v>
      </c>
      <c r="Y62" s="751" t="str">
        <f>IF(ISNA(INDEX($A$61:$A$62,MATCH(X62,W$61:W$62,0))), "", INDEX($A$61:$A$62,MATCH(X62,W$61:W$62,0)))</f>
        <v>Striking (+2dmg)</v>
      </c>
    </row>
    <row r="63" spans="1:29">
      <c r="A63" s="676" t="s">
        <v>2206</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topLeftCell="A3" workbookViewId="0">
      <selection activeCell="AA4" sqref="AA4:AA40"/>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1933</v>
      </c>
      <c r="C1" s="699" t="s">
        <v>2795</v>
      </c>
      <c r="D1" s="699" t="s">
        <v>1213</v>
      </c>
      <c r="E1" s="699" t="s">
        <v>1214</v>
      </c>
      <c r="F1" s="699" t="s">
        <v>767</v>
      </c>
      <c r="G1" s="704" t="s">
        <v>2139</v>
      </c>
      <c r="H1" s="704" t="s">
        <v>2138</v>
      </c>
      <c r="I1" s="699" t="s">
        <v>770</v>
      </c>
      <c r="J1" s="699" t="s">
        <v>1218</v>
      </c>
      <c r="K1" s="704" t="s">
        <v>759</v>
      </c>
      <c r="L1" s="699" t="s">
        <v>1215</v>
      </c>
      <c r="M1" s="704" t="s">
        <v>264</v>
      </c>
      <c r="N1" s="704" t="s">
        <v>1216</v>
      </c>
      <c r="O1" s="704" t="s">
        <v>1286</v>
      </c>
      <c r="P1" s="705" t="s">
        <v>1220</v>
      </c>
      <c r="Q1" s="703" t="s">
        <v>1046</v>
      </c>
      <c r="R1" s="703" t="s">
        <v>1940</v>
      </c>
      <c r="S1" s="703" t="s">
        <v>665</v>
      </c>
      <c r="T1" s="848" t="s">
        <v>1706</v>
      </c>
      <c r="U1" s="699" t="s">
        <v>1707</v>
      </c>
      <c r="V1" s="704"/>
      <c r="W1" s="703" t="s">
        <v>709</v>
      </c>
      <c r="X1" s="703" t="s">
        <v>710</v>
      </c>
      <c r="Y1" s="703" t="s">
        <v>711</v>
      </c>
      <c r="Z1" s="742">
        <v>0</v>
      </c>
      <c r="AA1" s="742"/>
      <c r="AB1" s="699" t="s">
        <v>670</v>
      </c>
    </row>
    <row r="2" spans="1:36" ht="12" customHeight="1">
      <c r="A2" s="10" t="s">
        <v>2289</v>
      </c>
      <c r="B2" s="116">
        <v>28288</v>
      </c>
      <c r="C2" s="116">
        <v>1</v>
      </c>
      <c r="D2" s="114"/>
      <c r="E2" s="114"/>
      <c r="F2" s="115">
        <v>64</v>
      </c>
      <c r="G2" s="116"/>
      <c r="H2" s="116"/>
      <c r="I2" s="115">
        <f>IF(time=0, 260*10/120, 0)</f>
        <v>0</v>
      </c>
      <c r="J2" s="114"/>
      <c r="K2" s="116"/>
      <c r="L2" s="114"/>
      <c r="M2" s="116"/>
      <c r="N2" s="114"/>
      <c r="O2" s="116"/>
      <c r="P2" s="114"/>
      <c r="Q2" s="114"/>
      <c r="R2" s="114"/>
      <c r="S2" s="114" t="s">
        <v>672</v>
      </c>
      <c r="T2" s="10" t="s">
        <v>2290</v>
      </c>
      <c r="U2" s="114" t="s">
        <v>2291</v>
      </c>
      <c r="V2" s="116" t="s">
        <v>1108</v>
      </c>
      <c r="W2" s="776"/>
      <c r="X2" s="890">
        <f>($D2*dpsStr+$E2*dpsAgi+$G2*dpsCrit+$H2*dpsHit+$F2*dpsAP+$I2*dpsHaste+$J2*dpsArmor+$K2*dpsExp)+$W2-'Gear &amp; Buffs'!$AF$70</f>
        <v>-358.28304712042586</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1688</v>
      </c>
      <c r="AC2" s="1391" t="str">
        <f>HYPERLINK("https://tbc.wowhead.com/item="&amp;B2,A2)</f>
        <v>Abacus of Violent Odds</v>
      </c>
    </row>
    <row r="3" spans="1:36" ht="12" customHeight="1">
      <c r="A3" s="10" t="s">
        <v>2396</v>
      </c>
      <c r="B3" s="116">
        <v>31617</v>
      </c>
      <c r="C3" s="116">
        <v>1</v>
      </c>
      <c r="D3" s="114"/>
      <c r="E3" s="114"/>
      <c r="F3" s="115">
        <f>IF(time=0, 200*15/90, 0)</f>
        <v>0</v>
      </c>
      <c r="G3" s="116">
        <v>21</v>
      </c>
      <c r="H3" s="116"/>
      <c r="I3" s="115"/>
      <c r="J3" s="114"/>
      <c r="K3" s="116"/>
      <c r="L3" s="114"/>
      <c r="M3" s="116"/>
      <c r="N3" s="114"/>
      <c r="O3" s="116"/>
      <c r="P3" s="114"/>
      <c r="Q3" s="114"/>
      <c r="R3" s="114"/>
      <c r="S3" s="114" t="s">
        <v>674</v>
      </c>
      <c r="T3" s="10" t="s">
        <v>2397</v>
      </c>
      <c r="U3" s="114" t="s">
        <v>2293</v>
      </c>
      <c r="V3" s="116" t="s">
        <v>1108</v>
      </c>
      <c r="W3" s="776"/>
      <c r="X3" s="890">
        <f>($D3*dpsStr+$E3*dpsAgi+$G3*dpsCrit+$H3*dpsHit+$F3*dpsAP+$I3*dpsHaste+$J3*dpsArmor+$K3*dpsExp)+$W3-'Gear &amp; Buffs'!$AF$70</f>
        <v>-366.7504463594571</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1" t="str">
        <f t="shared" ref="AC3:AC37" si="0">HYPERLINK("https://tbc.wowhead.com/item="&amp;B3,A3)</f>
        <v>Ancient Draenei War Talisman</v>
      </c>
    </row>
    <row r="4" spans="1:36" ht="12" customHeight="1">
      <c r="A4" s="130" t="s">
        <v>2294</v>
      </c>
      <c r="B4" s="116">
        <v>32492</v>
      </c>
      <c r="C4" s="116">
        <v>3</v>
      </c>
      <c r="D4" s="114"/>
      <c r="E4" s="114"/>
      <c r="F4" s="115"/>
      <c r="G4" s="124">
        <f>145*itAToLup</f>
        <v>87.000000000000014</v>
      </c>
      <c r="H4" s="116"/>
      <c r="I4" s="115"/>
      <c r="J4" s="114"/>
      <c r="K4" s="116"/>
      <c r="L4" s="114"/>
      <c r="M4" s="116"/>
      <c r="N4" s="114"/>
      <c r="O4" s="116"/>
      <c r="P4" s="114"/>
      <c r="Q4" s="114"/>
      <c r="R4" s="114"/>
      <c r="S4" s="114" t="s">
        <v>675</v>
      </c>
      <c r="T4" s="10" t="s">
        <v>183</v>
      </c>
      <c r="U4" s="114"/>
      <c r="V4" s="116" t="s">
        <v>1108</v>
      </c>
      <c r="W4" s="776"/>
      <c r="X4" s="890">
        <f>($D4*dpsStr+$E4*dpsAgi+$G4*dpsCrit+$H4*dpsHit+$F4*dpsAP+$I4*dpsHaste+$J4*dpsArmor+$K4*dpsExp)+$W4-'Gear &amp; Buffs'!$AF$70</f>
        <v>-321.48789019583114</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1" t="str">
        <f t="shared" si="0"/>
        <v>Ashtongue Talisman of Lethality</v>
      </c>
      <c r="AE4" s="851"/>
      <c r="AF4" s="851"/>
      <c r="AG4" s="851"/>
      <c r="AH4" s="851"/>
      <c r="AI4" s="851" t="s">
        <v>2847</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1108</v>
      </c>
      <c r="W5" s="776"/>
      <c r="X5" s="890">
        <f>($D5*dpsStr+$E5*dpsAgi+$G5*dpsCrit+$H5*dpsHit+$F5*dpsAP+$I5*dpsHaste+$J5*dpsArmor+$K5*dpsExp)+$W5-'Gear &amp; Buffs'!$AF$70</f>
        <v>-342.56052598279871</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1" t="str">
        <f t="shared" si="0"/>
        <v>Assassin's Alchemist Stone</v>
      </c>
      <c r="AE5" s="851"/>
      <c r="AF5" s="852" t="s">
        <v>2848</v>
      </c>
      <c r="AG5" s="853">
        <f>Optimize!C54</f>
        <v>0.33374978855287174</v>
      </c>
      <c r="AH5" s="853">
        <f>IF(AI5*AG5&gt;0, AI5*AG5, 1)</f>
        <v>22.60196166079864</v>
      </c>
      <c r="AI5" s="853">
        <f>Optimize!C55</f>
        <v>67.721276345372416</v>
      </c>
      <c r="AJ5" s="851"/>
    </row>
    <row r="6" spans="1:36" ht="12" customHeight="1">
      <c r="A6" s="130" t="s">
        <v>2831</v>
      </c>
      <c r="B6" s="116">
        <v>32658</v>
      </c>
      <c r="C6" s="116">
        <v>1</v>
      </c>
      <c r="D6" s="114"/>
      <c r="E6" s="114">
        <f>IF(time=0, 150*20/120, 0)</f>
        <v>0</v>
      </c>
      <c r="F6" s="115"/>
      <c r="G6" s="116"/>
      <c r="H6" s="116"/>
      <c r="I6" s="115"/>
      <c r="J6" s="114"/>
      <c r="K6" s="116"/>
      <c r="L6" s="114"/>
      <c r="M6" s="116"/>
      <c r="N6" s="114"/>
      <c r="O6" s="116"/>
      <c r="P6" s="114"/>
      <c r="Q6" s="114"/>
      <c r="R6" s="114"/>
      <c r="S6" s="114" t="s">
        <v>673</v>
      </c>
      <c r="T6" s="10" t="s">
        <v>2832</v>
      </c>
      <c r="U6" s="114" t="s">
        <v>2291</v>
      </c>
      <c r="V6" s="116" t="s">
        <v>1108</v>
      </c>
      <c r="W6" s="776"/>
      <c r="X6" s="890">
        <f>($D6*dpsStr+$E6*dpsAgi+$G6*dpsCrit+$H6*dpsHit+$F6*dpsAP+$I6*dpsHaste+$J6*dpsArmor+$K6*dpsExp)+$W6-'Gear &amp; Buffs'!$AF$70</f>
        <v>-381.15216877515627</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1" t="str">
        <f t="shared" si="0"/>
        <v>Badge of Tenacity</v>
      </c>
      <c r="AE6" s="851"/>
      <c r="AF6" s="851" t="s">
        <v>2849</v>
      </c>
      <c r="AG6" s="851" t="s">
        <v>2850</v>
      </c>
      <c r="AH6" s="851" t="s">
        <v>2851</v>
      </c>
      <c r="AI6" s="851" t="s">
        <v>2852</v>
      </c>
      <c r="AJ6" s="851" t="s">
        <v>2853</v>
      </c>
    </row>
    <row r="7" spans="1:36" ht="12" customHeight="1">
      <c r="A7" s="10" t="s">
        <v>2845</v>
      </c>
      <c r="B7" s="116">
        <v>21670</v>
      </c>
      <c r="C7" s="116">
        <v>1</v>
      </c>
      <c r="D7" s="114"/>
      <c r="E7" s="114"/>
      <c r="F7" s="115"/>
      <c r="G7" s="116"/>
      <c r="H7" s="116"/>
      <c r="I7" s="115"/>
      <c r="J7" s="114">
        <f>IF(time=0, MIN(AG16*200, AF17)/180*30, 0)</f>
        <v>0</v>
      </c>
      <c r="K7" s="116"/>
      <c r="L7" s="114"/>
      <c r="M7" s="116"/>
      <c r="N7" s="114"/>
      <c r="O7" s="116"/>
      <c r="P7" s="114"/>
      <c r="Q7" s="114"/>
      <c r="R7" s="114"/>
      <c r="S7" s="114" t="s">
        <v>667</v>
      </c>
      <c r="T7" s="10" t="s">
        <v>2846</v>
      </c>
      <c r="U7" s="114" t="s">
        <v>1718</v>
      </c>
      <c r="V7" s="116" t="s">
        <v>1108</v>
      </c>
      <c r="W7" s="776"/>
      <c r="X7" s="890">
        <f>($D7*dpsStr+$E7*dpsAgi+$G7*dpsCrit+$H7*dpsHit+$F7*dpsAP+$I7*dpsHaste+$J7*dpsArmor+$K7*dpsExp)+$W7-'Gear &amp; Buffs'!$AF$70</f>
        <v>-381.15216877515627</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1" t="str">
        <f t="shared" si="0"/>
        <v>Badge of the Swarmguard</v>
      </c>
      <c r="AE7" s="851" t="s">
        <v>2854</v>
      </c>
      <c r="AF7" s="854">
        <f>30/BotSprocs</f>
        <v>1.3273184182075968</v>
      </c>
      <c r="AG7" s="854">
        <v>1</v>
      </c>
      <c r="AH7" s="854">
        <v>0</v>
      </c>
      <c r="AI7" s="854">
        <v>0</v>
      </c>
      <c r="AJ7" s="851">
        <v>0</v>
      </c>
    </row>
    <row r="8" spans="1:36" ht="12" customHeight="1">
      <c r="A8" s="10" t="s">
        <v>1759</v>
      </c>
      <c r="B8" s="116">
        <v>33831</v>
      </c>
      <c r="C8" s="116">
        <v>4</v>
      </c>
      <c r="D8" s="114"/>
      <c r="E8" s="114"/>
      <c r="F8" s="115">
        <f>90+IF(time=0, 360*20/120, 0)</f>
        <v>90</v>
      </c>
      <c r="G8" s="116"/>
      <c r="H8" s="116"/>
      <c r="I8" s="115"/>
      <c r="J8" s="114"/>
      <c r="K8" s="116"/>
      <c r="L8" s="114"/>
      <c r="M8" s="116"/>
      <c r="N8" s="114"/>
      <c r="O8" s="116"/>
      <c r="P8" s="114"/>
      <c r="Q8" s="114"/>
      <c r="R8" s="114"/>
      <c r="S8" s="114" t="s">
        <v>663</v>
      </c>
      <c r="T8" s="10" t="s">
        <v>1231</v>
      </c>
      <c r="U8" s="114" t="s">
        <v>2291</v>
      </c>
      <c r="V8" s="116" t="s">
        <v>1108</v>
      </c>
      <c r="W8" s="776"/>
      <c r="X8" s="890">
        <f>($D8*dpsStr+$E8*dpsAgi+$G8*dpsCrit+$H8*dpsHit+$F8*dpsAP+$I8*dpsHaste+$J8*dpsArmor+$K8*dpsExp)+$W8-'Gear &amp; Buffs'!$AF$70</f>
        <v>-348.99246644819164</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1" t="str">
        <f t="shared" si="0"/>
        <v>Berserker's Call</v>
      </c>
      <c r="AE8" s="851" t="s">
        <v>1273</v>
      </c>
      <c r="AF8" s="854">
        <f>30/(1+BotSprocs/(1-EXP(-BotSprocs)))</f>
        <v>1.2710807867059044</v>
      </c>
      <c r="AG8" s="854">
        <f>(1-EXP(-$AI$5*BotSrate))</f>
        <v>0.99999999984721077</v>
      </c>
      <c r="AH8" s="854">
        <v>30</v>
      </c>
      <c r="AI8" s="854">
        <f>AG7-AG8</f>
        <v>1.5278922571582143E-10</v>
      </c>
      <c r="AJ8" s="851">
        <v>1</v>
      </c>
    </row>
    <row r="9" spans="1:36" ht="12" customHeight="1">
      <c r="A9" s="10" t="s">
        <v>989</v>
      </c>
      <c r="B9" s="116">
        <v>34427</v>
      </c>
      <c r="C9" s="116">
        <v>5</v>
      </c>
      <c r="D9" s="114"/>
      <c r="E9" s="114"/>
      <c r="F9" s="115">
        <f>Optimize!C28*Optimize!C29</f>
        <v>161.37802140020659</v>
      </c>
      <c r="G9" s="116"/>
      <c r="H9" s="116"/>
      <c r="I9" s="115">
        <v>54</v>
      </c>
      <c r="J9" s="114"/>
      <c r="K9" s="116"/>
      <c r="L9" s="114"/>
      <c r="M9" s="116"/>
      <c r="N9" s="114"/>
      <c r="O9" s="116"/>
      <c r="P9" s="114"/>
      <c r="Q9" s="114"/>
      <c r="R9" s="114"/>
      <c r="S9" s="114" t="s">
        <v>870</v>
      </c>
      <c r="T9" s="10"/>
      <c r="U9" s="114"/>
      <c r="V9" s="116" t="s">
        <v>1108</v>
      </c>
      <c r="W9" s="776"/>
      <c r="X9" s="890">
        <f>($D9*dpsStr+$E9*dpsAgi+$G9*dpsCrit+$H9*dpsHit+$F9*dpsAP+$I9*dpsHaste+$J9*dpsArmor+$K9*dpsExp)+$W9-'Gear &amp; Buffs'!$AF$70</f>
        <v>-125.23218030867787</v>
      </c>
      <c r="Y9" s="890">
        <f>($D9*dpsStr+$E9*dpsAgi+$G9*dpsCrit+$H9*dpsHit+$F9*dpsAP+$I9*dpsHaste+$J9*dpsArmor+$K9*dpsExp)+$W9-'Gear &amp; Buffs'!$AF$71</f>
        <v>230.19222660490669</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1" t="str">
        <f t="shared" si="0"/>
        <v>Blackened Naaru Sliver</v>
      </c>
      <c r="AE9" s="851" t="s">
        <v>1276</v>
      </c>
      <c r="AF9" s="854">
        <f>30/(1+BotSprocs/(1-EXP(-BotSprocs)))</f>
        <v>1.2710807867059044</v>
      </c>
      <c r="AG9" s="854">
        <f>(1-EXP(-$AI$5*BotSrate))^2</f>
        <v>0.99999999969442155</v>
      </c>
      <c r="AH9" s="854">
        <v>30</v>
      </c>
      <c r="AI9" s="854">
        <f>AG8-AG9</f>
        <v>1.5278922571582143E-10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674</v>
      </c>
      <c r="T10" s="10" t="s">
        <v>2292</v>
      </c>
      <c r="U10" s="114" t="s">
        <v>2293</v>
      </c>
      <c r="V10" s="116" t="s">
        <v>1108</v>
      </c>
      <c r="W10" s="776"/>
      <c r="X10" s="890">
        <f>($D10*dpsStr+$E10*dpsAgi+$G10*dpsCrit+$H10*dpsHit+$F10*dpsAP+$I10*dpsHaste+$J10*dpsArmor+$K10*dpsExp)+$W10-'Gear &amp; Buffs'!$AF$70</f>
        <v>-363.32146483190968</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1" t="str">
        <f t="shared" si="0"/>
        <v>Bladefist's Breadth</v>
      </c>
      <c r="AE10" s="851" t="s">
        <v>1279</v>
      </c>
      <c r="AF10" s="854">
        <f>30/(1+BotSprocs/(1-EXP(-BotSprocs)))</f>
        <v>1.2710807867059044</v>
      </c>
      <c r="AG10" s="854">
        <f>(1-EXP(-$AI$5*BotSrate))^3</f>
        <v>0.99999999954163232</v>
      </c>
      <c r="AH10" s="854">
        <v>30</v>
      </c>
      <c r="AI10" s="854">
        <f>AG9-AG10</f>
        <v>1.5278922571582143E-10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690</v>
      </c>
      <c r="T11" s="10" t="s">
        <v>186</v>
      </c>
      <c r="U11" s="114" t="s">
        <v>2291</v>
      </c>
      <c r="V11" s="116" t="s">
        <v>1108</v>
      </c>
      <c r="W11" s="776"/>
      <c r="X11" s="890">
        <f>($D11*dpsStr+$E11*dpsAgi+$G11*dpsCrit+$H11*dpsHit+$F11*dpsAP+$I11*dpsHaste+$J11*dpsArmor+$K11*dpsExp)+$W11-'Gear &amp; Buffs'!$AF$70</f>
        <v>-355.42440691358456</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Figurine - Nightseye Panther</v>
      </c>
      <c r="AC11" s="1391" t="str">
        <f t="shared" si="0"/>
        <v>Bloodlust Brooch</v>
      </c>
      <c r="AE11" s="851" t="s">
        <v>1281</v>
      </c>
      <c r="AF11" s="854">
        <f>30/(1+BotSprocs/(1-EXP(-BotSprocs)))</f>
        <v>1.2710807867059044</v>
      </c>
      <c r="AG11" s="854">
        <f>(1-EXP(-$AI$5*BotSrate))^4</f>
        <v>0.9999999993888431</v>
      </c>
      <c r="AH11" s="854">
        <v>30</v>
      </c>
      <c r="AI11" s="854">
        <f>AG10-AG11</f>
        <v>1.5278922571582143E-10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674</v>
      </c>
      <c r="T12" s="10" t="s">
        <v>1653</v>
      </c>
      <c r="U12" s="114" t="s">
        <v>2291</v>
      </c>
      <c r="V12" s="116" t="s">
        <v>1108</v>
      </c>
      <c r="W12" s="776"/>
      <c r="X12" s="890">
        <f>($D12*dpsStr+$E12*dpsAgi+$G12*dpsCrit+$H12*dpsHit+$F12*dpsAP+$I12*dpsHaste+$J12*dpsArmor+$K12*dpsExp)+$W12-'Gear &amp; Buffs'!$AF$70</f>
        <v>-362.57100743068781</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Hand of Justice</v>
      </c>
      <c r="AC12" s="1391" t="str">
        <f t="shared" si="0"/>
        <v>Core of Ar'kelos</v>
      </c>
      <c r="AE12" s="851" t="s">
        <v>1283</v>
      </c>
      <c r="AF12" s="854">
        <f>30/(1+BotSprocs/(1-EXP(-BotSprocs)))</f>
        <v>1.2710807867059044</v>
      </c>
      <c r="AG12" s="854">
        <f>(1-EXP(-$AI$5*BotSrate))^5</f>
        <v>0.99999999923605387</v>
      </c>
      <c r="AH12" s="854">
        <v>30</v>
      </c>
      <c r="AI12" s="854">
        <f>AG11-AG12</f>
        <v>1.5278922571582143E-10</v>
      </c>
      <c r="AJ12" s="851">
        <v>5</v>
      </c>
    </row>
    <row r="13" spans="1:36" ht="12" customHeight="1">
      <c r="A13" s="10" t="s">
        <v>1654</v>
      </c>
      <c r="B13" s="116">
        <v>32654</v>
      </c>
      <c r="C13" s="116">
        <v>3</v>
      </c>
      <c r="D13" s="114"/>
      <c r="E13" s="114"/>
      <c r="F13" s="115">
        <f>IF(time=0, 216*10/60, 0)</f>
        <v>0</v>
      </c>
      <c r="G13" s="116"/>
      <c r="H13" s="116"/>
      <c r="I13" s="115"/>
      <c r="J13" s="114"/>
      <c r="K13" s="116"/>
      <c r="L13" s="114"/>
      <c r="M13" s="116"/>
      <c r="N13" s="114"/>
      <c r="O13" s="116"/>
      <c r="P13" s="114"/>
      <c r="Q13" s="114"/>
      <c r="R13" s="114"/>
      <c r="S13" s="114" t="s">
        <v>675</v>
      </c>
      <c r="T13" s="10" t="s">
        <v>2240</v>
      </c>
      <c r="U13" s="114" t="s">
        <v>1655</v>
      </c>
      <c r="V13" s="116" t="s">
        <v>1108</v>
      </c>
      <c r="W13" s="776"/>
      <c r="X13" s="890">
        <f>($D13*dpsStr+$E13*dpsAgi+$G13*dpsCrit+$H13*dpsHit+$F13*dpsAP+$I13*dpsHaste+$J13*dpsArmor+$K13*dpsExp)+$W13-'Gear &amp; Buffs'!$AF$70</f>
        <v>-381.15216877515627</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Hourglass of the Unraveller</v>
      </c>
      <c r="AC13" s="1391" t="str">
        <f t="shared" si="0"/>
        <v>Crystalforged Trinket</v>
      </c>
      <c r="AE13" s="851" t="s">
        <v>2855</v>
      </c>
      <c r="AF13" s="854">
        <f>MIN(AF12/EXP(-AI5*BotSrate),IF(time=0,30,MIN(30,time))-SUMPRODUCT(AF7:AF12,AG7:AG12))</f>
        <v>22.317277651175992</v>
      </c>
      <c r="AG13" s="854">
        <f>(1-EXP(-$AI$5*BotSrate))^6</f>
        <v>0.99999999908326465</v>
      </c>
      <c r="AH13" s="854">
        <v>0</v>
      </c>
      <c r="AI13" s="854">
        <v>0</v>
      </c>
      <c r="AJ13" s="851">
        <v>6</v>
      </c>
    </row>
    <row r="14" spans="1:36" ht="12" customHeight="1">
      <c r="A14" s="126" t="s">
        <v>1656</v>
      </c>
      <c r="B14" s="116">
        <v>31856</v>
      </c>
      <c r="C14" s="116">
        <v>2</v>
      </c>
      <c r="D14" s="114"/>
      <c r="E14" s="114"/>
      <c r="F14" s="115">
        <f>itDMCCap</f>
        <v>118.4203190369889</v>
      </c>
      <c r="G14" s="116"/>
      <c r="H14" s="116"/>
      <c r="I14" s="115"/>
      <c r="J14" s="114"/>
      <c r="K14" s="116"/>
      <c r="L14" s="114"/>
      <c r="M14" s="116"/>
      <c r="N14" s="114"/>
      <c r="O14" s="116"/>
      <c r="P14" s="114"/>
      <c r="Q14" s="114"/>
      <c r="R14" s="114"/>
      <c r="S14" s="114" t="s">
        <v>674</v>
      </c>
      <c r="T14" s="10" t="s">
        <v>1294</v>
      </c>
      <c r="U14" s="114"/>
      <c r="V14" s="116" t="s">
        <v>1108</v>
      </c>
      <c r="W14" s="776"/>
      <c r="X14" s="890">
        <f>($D14*dpsStr+$E14*dpsAgi+$G14*dpsCrit+$H14*dpsHit+$F14*dpsAP+$I14*dpsHaste+$J14*dpsArmor+$K14*dpsExp)+$W14-'Gear &amp; Buffs'!$AF$70</f>
        <v>-338.83703311189242</v>
      </c>
      <c r="Y14" s="890">
        <f>($D14*dpsStr+$E14*dpsAgi+$G14*dpsCrit+$H14*dpsHit+$F14*dpsAP+$I14*dpsHaste+$J14*dpsArmor+$K14*dpsExp)+$W14-'Gear &amp; Buffs'!$AF$71</f>
        <v>16.587373801692138</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Icon of Unyielding Courage</v>
      </c>
      <c r="AC14" s="1391" t="str">
        <f t="shared" si="0"/>
        <v>Darkmoon Card: Crusade</v>
      </c>
      <c r="AE14" s="851"/>
      <c r="AF14" s="854">
        <f>SUMPRODUCT(AF7:AF13,AG7:AG13)</f>
        <v>29.999999979540959</v>
      </c>
      <c r="AG14" s="854"/>
      <c r="AH14" s="854">
        <f>SUMPRODUCT(AH7:AH13,AI7:AI13)</f>
        <v>2.2918383857373215E-8</v>
      </c>
      <c r="AI14" s="854"/>
      <c r="AJ14" s="851"/>
    </row>
    <row r="15" spans="1:36" ht="12" customHeight="1">
      <c r="A15" s="130" t="s">
        <v>1657</v>
      </c>
      <c r="B15" s="116">
        <v>31857</v>
      </c>
      <c r="C15" s="116">
        <v>2</v>
      </c>
      <c r="D15" s="114"/>
      <c r="E15" s="114"/>
      <c r="F15" s="115"/>
      <c r="G15" s="116"/>
      <c r="H15" s="116"/>
      <c r="I15" s="115"/>
      <c r="J15" s="114"/>
      <c r="K15" s="116"/>
      <c r="L15" s="114"/>
      <c r="M15" s="116"/>
      <c r="N15" s="114"/>
      <c r="O15" s="116"/>
      <c r="P15" s="114"/>
      <c r="Q15" s="114"/>
      <c r="R15" s="114"/>
      <c r="S15" s="114" t="s">
        <v>674</v>
      </c>
      <c r="T15" s="10" t="s">
        <v>708</v>
      </c>
      <c r="U15" s="114"/>
      <c r="V15" s="116" t="s">
        <v>1108</v>
      </c>
      <c r="W15" s="776"/>
      <c r="X15" s="890">
        <f>($D15*dpsStr+$E15*dpsAgi+$G15*dpsCrit+$H15*dpsHit+$F15*dpsAP+$I15*dpsHaste+$J15*dpsArmor+$K15*dpsExp)+$W15-'Gear &amp; Buffs'!$AF$70</f>
        <v>-381.15216877515627</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Jom Gabbar</v>
      </c>
      <c r="AC15" s="1391" t="str">
        <f t="shared" si="0"/>
        <v>Darkmoon Card: Wrath</v>
      </c>
      <c r="AE15" s="851"/>
      <c r="AF15" s="854">
        <f>SUMPRODUCT(AF7:AF13,AG7:AG13,AJ7:AJ13)</f>
        <v>152.96987757420888</v>
      </c>
      <c r="AG15" s="854"/>
      <c r="AH15" s="854">
        <f>SUMPRODUCT(AH7:AH13,AI7:AI13,AJ7:AJ13)</f>
        <v>6.8755151572119644E-8</v>
      </c>
      <c r="AI15" s="854"/>
      <c r="AJ15" s="851"/>
    </row>
    <row r="16" spans="1:36" ht="12" customHeight="1">
      <c r="A16" s="10" t="s">
        <v>1937</v>
      </c>
      <c r="B16" s="116">
        <v>28830</v>
      </c>
      <c r="C16" s="116">
        <v>1</v>
      </c>
      <c r="D16" s="114"/>
      <c r="E16" s="114"/>
      <c r="F16" s="115">
        <v>40</v>
      </c>
      <c r="G16" s="116"/>
      <c r="H16" s="116"/>
      <c r="I16" s="115">
        <f>325*itDSTup</f>
        <v>99.923869008308046</v>
      </c>
      <c r="J16" s="114"/>
      <c r="K16" s="116"/>
      <c r="L16" s="114"/>
      <c r="M16" s="116"/>
      <c r="N16" s="114"/>
      <c r="O16" s="116"/>
      <c r="P16" s="114"/>
      <c r="Q16" s="114"/>
      <c r="R16" s="114"/>
      <c r="S16" s="114" t="s">
        <v>677</v>
      </c>
      <c r="T16" s="10" t="s">
        <v>272</v>
      </c>
      <c r="U16" s="114"/>
      <c r="V16" s="116" t="s">
        <v>1108</v>
      </c>
      <c r="W16" s="776"/>
      <c r="X16" s="890">
        <f>($D16*dpsStr+$E16*dpsAgi+$G16*dpsCrit+$H16*dpsHit+$F16*dpsAP+$I16*dpsHaste+$J16*dpsArmor+$K16*dpsExp)+$W16-'Gear &amp; Buffs'!$AF$70</f>
        <v>0</v>
      </c>
      <c r="Y16" s="890">
        <f>($D16*dpsStr+$E16*dpsAgi+$G16*dpsCrit+$H16*dpsHit+$F16*dpsAP+$I16*dpsHaste+$J16*dpsArmor+$K16*dpsExp)+$W16-'Gear &amp; Buffs'!$AF$71</f>
        <v>355.42440691358456</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Kiss of the Spider</v>
      </c>
      <c r="AC16" s="1391" t="str">
        <f t="shared" si="0"/>
        <v>Dragonspine Trophy</v>
      </c>
      <c r="AE16" s="851"/>
      <c r="AF16" s="854"/>
      <c r="AG16" s="854">
        <f>(AF15+AH15)/(AF14+AH14)</f>
        <v>5.0989959210141285</v>
      </c>
      <c r="AH16" s="854"/>
      <c r="AI16" s="854"/>
      <c r="AJ16" s="851"/>
    </row>
    <row r="17" spans="1:53" ht="12" customHeight="1">
      <c r="A17" s="10" t="s">
        <v>1954</v>
      </c>
      <c r="B17" s="116">
        <v>19406</v>
      </c>
      <c r="C17" s="116">
        <v>1</v>
      </c>
      <c r="D17" s="114"/>
      <c r="E17" s="114"/>
      <c r="F17" s="115">
        <v>56</v>
      </c>
      <c r="G17" s="116"/>
      <c r="H17" s="116">
        <v>20</v>
      </c>
      <c r="I17" s="115"/>
      <c r="J17" s="114"/>
      <c r="K17" s="124"/>
      <c r="L17" s="114"/>
      <c r="M17" s="116">
        <v>12</v>
      </c>
      <c r="N17" s="127"/>
      <c r="O17" s="124"/>
      <c r="P17" s="114"/>
      <c r="Q17" s="114"/>
      <c r="R17" s="114"/>
      <c r="S17" s="114" t="s">
        <v>667</v>
      </c>
      <c r="T17" s="10"/>
      <c r="U17" s="114"/>
      <c r="V17" s="116" t="s">
        <v>1108</v>
      </c>
      <c r="W17" s="776"/>
      <c r="X17" s="890">
        <f>($D17*dpsStr+$E17*dpsAgi+$G17*dpsCrit+$H17*dpsHit+$F17*dpsAP+$I17*dpsHaste+$J17*dpsArmor+$K17*dpsExp)+$W17-'Gear &amp; Buffs'!$AF$70</f>
        <v>-250.14105798472406</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Mark of the Champion</v>
      </c>
      <c r="AC17" s="1391" t="str">
        <f t="shared" si="0"/>
        <v>Drake Fang Talisman</v>
      </c>
      <c r="AE17" s="851" t="s">
        <v>2856</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1892</v>
      </c>
      <c r="B18" s="116">
        <v>35694</v>
      </c>
      <c r="C18" s="116">
        <v>5</v>
      </c>
      <c r="D18" s="114"/>
      <c r="E18" s="114"/>
      <c r="F18" s="115">
        <v>84</v>
      </c>
      <c r="G18" s="116"/>
      <c r="H18" s="116"/>
      <c r="I18" s="115"/>
      <c r="J18" s="114"/>
      <c r="K18" s="124"/>
      <c r="L18" s="114"/>
      <c r="M18" s="116"/>
      <c r="N18" s="127"/>
      <c r="O18" s="124"/>
      <c r="P18" s="114"/>
      <c r="Q18" s="114"/>
      <c r="R18" s="114"/>
      <c r="S18" s="114" t="s">
        <v>687</v>
      </c>
      <c r="T18" s="1356" t="s">
        <v>1344</v>
      </c>
      <c r="U18" s="114" t="s">
        <v>1345</v>
      </c>
      <c r="V18" s="116" t="s">
        <v>1108</v>
      </c>
      <c r="W18" s="776"/>
      <c r="X18" s="890">
        <f>($D18*dpsStr+$E18*dpsAgi+$G18*dpsCrit+$H18*dpsHit+$F18*dpsAP+$I18*dpsHaste+$J18*dpsArmor+$K18*dpsExp)+$W18-'Gear &amp; Buffs'!$AF$70</f>
        <v>-351.13644660332261</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Ogre Mauler's Badge</v>
      </c>
      <c r="AC18" s="1391" t="str">
        <f t="shared" si="0"/>
        <v>Figurine - Khorium Boar</v>
      </c>
    </row>
    <row r="19" spans="1:53" ht="12" customHeight="1">
      <c r="A19" s="10" t="s">
        <v>1955</v>
      </c>
      <c r="B19" s="116">
        <v>24128</v>
      </c>
      <c r="C19" s="116">
        <v>1</v>
      </c>
      <c r="D19" s="114"/>
      <c r="E19" s="114"/>
      <c r="F19" s="115">
        <f>54+IF(time=0, 320*12/180, 0)</f>
        <v>54</v>
      </c>
      <c r="G19" s="116"/>
      <c r="H19" s="116"/>
      <c r="I19" s="115"/>
      <c r="J19" s="114"/>
      <c r="K19" s="124"/>
      <c r="L19" s="114"/>
      <c r="M19" s="116"/>
      <c r="N19" s="127"/>
      <c r="O19" s="124"/>
      <c r="P19" s="114"/>
      <c r="Q19" s="114"/>
      <c r="R19" s="114"/>
      <c r="S19" s="114" t="s">
        <v>687</v>
      </c>
      <c r="T19" s="10" t="s">
        <v>2241</v>
      </c>
      <c r="U19" s="114" t="s">
        <v>1718</v>
      </c>
      <c r="V19" s="116" t="s">
        <v>1108</v>
      </c>
      <c r="W19" s="776"/>
      <c r="X19" s="890">
        <f>($D19*dpsStr+$E19*dpsAgi+$G19*dpsCrit+$H19*dpsHit+$F19*dpsAP+$I19*dpsHaste+$J19*dpsArmor+$K19*dpsExp)+$W19-'Gear &amp; Buffs'!$AF$70</f>
        <v>-361.85634737897749</v>
      </c>
      <c r="Y19" s="890">
        <f>($D19*dpsStr+$E19*dpsAgi+$G19*dpsCrit+$H19*dpsHit+$F19*dpsAP+$I19*dpsHaste+$J19*dpsArmor+$K19*dpsExp)+$W19-'Gear &amp; Buffs'!$AF$71</f>
        <v>-6.4319404653929269</v>
      </c>
      <c r="Z19" s="114">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8</v>
      </c>
      <c r="AA19" s="737">
        <v>16</v>
      </c>
      <c r="AB19" s="713" t="str">
        <f t="shared" si="1"/>
        <v>Romulo's Poison Vial</v>
      </c>
      <c r="AC19" s="1391" t="str">
        <f t="shared" si="0"/>
        <v>Figurine - Nightseye Panther</v>
      </c>
    </row>
    <row r="20" spans="1:53" ht="12" customHeight="1">
      <c r="A20" s="10" t="s">
        <v>1346</v>
      </c>
      <c r="B20" s="116">
        <v>35702</v>
      </c>
      <c r="C20" s="116">
        <v>5</v>
      </c>
      <c r="D20" s="114"/>
      <c r="E20" s="114"/>
      <c r="F20" s="115">
        <f>80+IF(time=0, 320*15/90, 0)</f>
        <v>80</v>
      </c>
      <c r="G20" s="116"/>
      <c r="H20" s="116"/>
      <c r="I20" s="115"/>
      <c r="J20" s="114"/>
      <c r="K20" s="124"/>
      <c r="L20" s="114"/>
      <c r="M20" s="116"/>
      <c r="N20" s="127"/>
      <c r="O20" s="124"/>
      <c r="P20" s="114"/>
      <c r="Q20" s="114"/>
      <c r="R20" s="114"/>
      <c r="S20" s="114" t="s">
        <v>687</v>
      </c>
      <c r="T20" s="10" t="s">
        <v>2230</v>
      </c>
      <c r="U20" s="114" t="s">
        <v>2293</v>
      </c>
      <c r="V20" s="116" t="s">
        <v>1108</v>
      </c>
      <c r="W20" s="776"/>
      <c r="X20" s="890">
        <f>($D20*dpsStr+$E20*dpsAgi+$G20*dpsCrit+$H20*dpsHit+$F20*dpsAP+$I20*dpsHaste+$J20*dpsArmor+$K20*dpsExp)+$W20-'Gear &amp; Buffs'!$AF$70</f>
        <v>-352.56576670674326</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Seal of the Dawn</v>
      </c>
      <c r="AC20" s="1391" t="str">
        <f t="shared" si="0"/>
        <v>Figurine - Shadowsong Panther</v>
      </c>
    </row>
    <row r="21" spans="1:53" ht="12" customHeight="1">
      <c r="A21" s="10" t="s">
        <v>2977</v>
      </c>
      <c r="B21" s="116">
        <v>11815</v>
      </c>
      <c r="C21" s="116">
        <v>1</v>
      </c>
      <c r="D21" s="114"/>
      <c r="E21" s="114"/>
      <c r="F21" s="115">
        <v>20</v>
      </c>
      <c r="G21" s="116"/>
      <c r="H21" s="116"/>
      <c r="I21" s="115"/>
      <c r="J21" s="114"/>
      <c r="K21" s="124"/>
      <c r="L21" s="114"/>
      <c r="M21" s="116"/>
      <c r="N21" s="127"/>
      <c r="O21" s="124"/>
      <c r="P21" s="114"/>
      <c r="Q21" s="114"/>
      <c r="R21" s="114"/>
      <c r="S21" s="114" t="s">
        <v>667</v>
      </c>
      <c r="T21" s="10" t="s">
        <v>3125</v>
      </c>
      <c r="U21" s="114"/>
      <c r="V21" s="116" t="s">
        <v>1108</v>
      </c>
      <c r="W21" s="776"/>
      <c r="X21" s="890">
        <f>($D21*dpsStr+$E21*dpsAgi+$G21*dpsCrit+$H21*dpsHit+$F21*dpsAP+$I21*dpsHaste+$J21*dpsArmor+$K21*dpsExp)+$W21-'Gear &amp; Buffs'!$AF$70</f>
        <v>-374.00556825805302</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9</v>
      </c>
      <c r="AA21" s="737">
        <v>18</v>
      </c>
      <c r="AB21" s="713" t="str">
        <f t="shared" si="1"/>
        <v>Slayer's Crest</v>
      </c>
      <c r="AC21" s="1391" t="str">
        <f t="shared" si="0"/>
        <v>Hand of Justice</v>
      </c>
      <c r="AE21" s="796"/>
      <c r="AF21" s="1322" t="s">
        <v>1657</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1719</v>
      </c>
      <c r="B22" s="116">
        <v>28034</v>
      </c>
      <c r="C22" s="116">
        <v>1</v>
      </c>
      <c r="D22" s="114"/>
      <c r="E22" s="114"/>
      <c r="F22" s="115">
        <f>300*itHGup</f>
        <v>43.811607007543664</v>
      </c>
      <c r="G22" s="116">
        <v>32</v>
      </c>
      <c r="H22" s="116"/>
      <c r="I22" s="115"/>
      <c r="J22" s="114"/>
      <c r="K22" s="124"/>
      <c r="L22" s="114"/>
      <c r="M22" s="116"/>
      <c r="N22" s="127"/>
      <c r="O22" s="124"/>
      <c r="P22" s="114"/>
      <c r="Q22" s="114"/>
      <c r="R22" s="114"/>
      <c r="S22" s="114" t="s">
        <v>672</v>
      </c>
      <c r="T22" s="10" t="s">
        <v>783</v>
      </c>
      <c r="U22" s="114"/>
      <c r="V22" s="116" t="s">
        <v>1108</v>
      </c>
      <c r="W22" s="776"/>
      <c r="X22" s="890">
        <f>($D22*dpsStr+$E22*dpsAgi+$G22*dpsCrit+$H22*dpsHit+$F22*dpsAP+$I22*dpsHaste+$J22*dpsArmor+$K22*dpsExp)+$W22-'Gear &amp; Buffs'!$AF$70</f>
        <v>-343.55148433409096</v>
      </c>
      <c r="Y22" s="890">
        <f>($D22*dpsStr+$E22*dpsAgi+$G22*dpsCrit+$H22*dpsHit+$F22*dpsAP+$I22*dpsHaste+$J22*dpsArmor+$K22*dpsExp)+$W22-'Gear &amp; Buffs'!$AF$71</f>
        <v>11.87292257949359</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10</v>
      </c>
      <c r="AA22" s="737">
        <v>19</v>
      </c>
      <c r="AB22" s="713" t="str">
        <f t="shared" si="1"/>
        <v>Terokkar Tablet of Precision</v>
      </c>
      <c r="AC22" s="1391"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784</v>
      </c>
      <c r="B23" s="116">
        <v>28121</v>
      </c>
      <c r="C23" s="116">
        <v>1</v>
      </c>
      <c r="D23" s="114"/>
      <c r="E23" s="114"/>
      <c r="F23" s="115"/>
      <c r="G23" s="116"/>
      <c r="H23" s="116">
        <v>30</v>
      </c>
      <c r="I23" s="115"/>
      <c r="J23" s="114">
        <f>IF(time=0, 600*20/120, 0)</f>
        <v>0</v>
      </c>
      <c r="K23" s="124"/>
      <c r="L23" s="114"/>
      <c r="M23" s="116"/>
      <c r="N23" s="127"/>
      <c r="O23" s="124"/>
      <c r="P23" s="114"/>
      <c r="Q23" s="114"/>
      <c r="R23" s="114"/>
      <c r="S23" s="114" t="s">
        <v>690</v>
      </c>
      <c r="T23" s="10" t="s">
        <v>131</v>
      </c>
      <c r="U23" s="114" t="s">
        <v>2291</v>
      </c>
      <c r="V23" s="116" t="s">
        <v>1108</v>
      </c>
      <c r="W23" s="776"/>
      <c r="X23" s="890">
        <f>($D23*dpsStr+$E23*dpsAgi+$G23*dpsCrit+$H23*dpsHit+$F23*dpsAP+$I23*dpsHaste+$J23*dpsArmor+$K23*dpsExp)+$W23-'Gear &amp; Buffs'!$AF$70</f>
        <v>-214.65122476134161</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11</v>
      </c>
      <c r="AA23" s="737">
        <v>20</v>
      </c>
      <c r="AB23" s="713" t="str">
        <f t="shared" si="1"/>
        <v>Uniting Charm</v>
      </c>
      <c r="AC23" s="1391" t="str">
        <f t="shared" si="0"/>
        <v>Icon of Unyielding Courage</v>
      </c>
      <c r="AE23" s="796"/>
      <c r="AF23" s="1317"/>
      <c r="AG23" s="1317">
        <f t="shared" ref="AG23:AZ23" si="2">POWER((1-$AF$24),AG22)</f>
        <v>0.77888830774793893</v>
      </c>
      <c r="AH23" s="1317">
        <f t="shared" si="2"/>
        <v>0.60666699594644802</v>
      </c>
      <c r="AI23" s="1317">
        <f t="shared" si="2"/>
        <v>0.47252582983925462</v>
      </c>
      <c r="AJ23" s="1317">
        <f t="shared" si="2"/>
        <v>0.3680448439706876</v>
      </c>
      <c r="AK23" s="1317">
        <f t="shared" si="2"/>
        <v>0.28666582569568311</v>
      </c>
      <c r="AL23" s="1317">
        <f t="shared" si="2"/>
        <v>0.22328065986527623</v>
      </c>
      <c r="AM23" s="1317">
        <f t="shared" si="2"/>
        <v>0.17391069531530814</v>
      </c>
      <c r="AN23" s="1317">
        <f t="shared" si="2"/>
        <v>0.13545700717340778</v>
      </c>
      <c r="AO23" s="1317">
        <f t="shared" si="2"/>
        <v>0.105505879089896</v>
      </c>
      <c r="AP23" s="1317">
        <f t="shared" si="2"/>
        <v>8.2177295621787758E-2</v>
      </c>
      <c r="AQ23" s="1317">
        <f t="shared" si="2"/>
        <v>6.4006934722156378E-2</v>
      </c>
      <c r="AR23" s="1317">
        <f t="shared" si="2"/>
        <v>4.9854253069873178E-2</v>
      </c>
      <c r="AS23" s="1317">
        <f t="shared" si="2"/>
        <v>3.8830894807631008E-2</v>
      </c>
      <c r="AT23" s="1317">
        <f t="shared" si="2"/>
        <v>3.0244929945053945E-2</v>
      </c>
      <c r="AU23" s="1317">
        <f t="shared" si="2"/>
        <v>2.3557422302858028E-2</v>
      </c>
      <c r="AV23" s="1317">
        <f t="shared" si="2"/>
        <v>1.8348600792376647E-2</v>
      </c>
      <c r="AW23" s="1317">
        <f t="shared" si="2"/>
        <v>1.4291510620716737E-2</v>
      </c>
      <c r="AX23" s="1317">
        <f t="shared" si="2"/>
        <v>1.1131490522531757E-2</v>
      </c>
      <c r="AY23" s="1317">
        <f t="shared" si="2"/>
        <v>8.6701878158069803E-3</v>
      </c>
      <c r="AZ23" s="1317">
        <f t="shared" si="2"/>
        <v>6.7531079157106978E-3</v>
      </c>
      <c r="BA23" s="47"/>
    </row>
    <row r="24" spans="1:53" ht="12" customHeight="1">
      <c r="A24" s="10" t="s">
        <v>2972</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667</v>
      </c>
      <c r="T24" s="10" t="s">
        <v>2973</v>
      </c>
      <c r="U24" s="114" t="s">
        <v>2291</v>
      </c>
      <c r="V24" s="116" t="s">
        <v>1108</v>
      </c>
      <c r="W24" s="776"/>
      <c r="X24" s="890">
        <f>($D24*dpsStr+$E24*dpsAgi+$G24*dpsCrit+$H24*dpsHit+$F24*dpsAP+$I24*dpsHaste+$J24*dpsArmor+$K24*dpsExp)+$W24-'Gear &amp; Buffs'!$AF$70</f>
        <v>-381.15216877515627</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12</v>
      </c>
      <c r="AA24" s="737">
        <v>21</v>
      </c>
      <c r="AB24" s="713" t="str">
        <f t="shared" si="1"/>
        <v>(Unmodeled)</v>
      </c>
      <c r="AC24" s="1391" t="str">
        <f t="shared" si="0"/>
        <v>Jom Gabbar</v>
      </c>
      <c r="AE24" s="796" t="s">
        <v>915</v>
      </c>
      <c r="AF24" s="1317">
        <f>(('Gear &amp; Buffs'!E143/agicrit+'Gear &amp; Buffs'!G143/crrate)/100)+(CharLevel-BossLevel)*bosscrit*5-IF(BossLevel*5-CharLevel*5&gt;10, 1.8%, 0)</f>
        <v>0.22111169225206101</v>
      </c>
      <c r="AG24" s="1317">
        <f t="shared" ref="AG24:AZ24" si="3">AF24+17/crrate/100</f>
        <v>0.22881204068411676</v>
      </c>
      <c r="AH24" s="1317">
        <f t="shared" si="3"/>
        <v>0.23651238911617251</v>
      </c>
      <c r="AI24" s="1317">
        <f t="shared" si="3"/>
        <v>0.24421273754822825</v>
      </c>
      <c r="AJ24" s="1317">
        <f t="shared" si="3"/>
        <v>0.251913085980284</v>
      </c>
      <c r="AK24" s="1317">
        <f t="shared" si="3"/>
        <v>0.25961343441233975</v>
      </c>
      <c r="AL24" s="1317">
        <f t="shared" si="3"/>
        <v>0.2673137828443955</v>
      </c>
      <c r="AM24" s="1317">
        <f t="shared" si="3"/>
        <v>0.27501413127645125</v>
      </c>
      <c r="AN24" s="1317">
        <f t="shared" si="3"/>
        <v>0.28271447970850699</v>
      </c>
      <c r="AO24" s="1317">
        <f t="shared" si="3"/>
        <v>0.29041482814056274</v>
      </c>
      <c r="AP24" s="1317">
        <f t="shared" si="3"/>
        <v>0.29811517657261849</v>
      </c>
      <c r="AQ24" s="1317">
        <f t="shared" si="3"/>
        <v>0.30581552500467424</v>
      </c>
      <c r="AR24" s="1317">
        <f t="shared" si="3"/>
        <v>0.31351587343672999</v>
      </c>
      <c r="AS24" s="1317">
        <f t="shared" si="3"/>
        <v>0.32121622186878573</v>
      </c>
      <c r="AT24" s="1317">
        <f t="shared" si="3"/>
        <v>0.32891657030084148</v>
      </c>
      <c r="AU24" s="1317">
        <f t="shared" si="3"/>
        <v>0.33661691873289723</v>
      </c>
      <c r="AV24" s="1317">
        <f t="shared" si="3"/>
        <v>0.34431726716495298</v>
      </c>
      <c r="AW24" s="1317">
        <f t="shared" si="3"/>
        <v>0.35201761559700873</v>
      </c>
      <c r="AX24" s="1317">
        <f t="shared" si="3"/>
        <v>0.35971796402906447</v>
      </c>
      <c r="AY24" s="1317">
        <f t="shared" si="3"/>
        <v>0.36741831246112022</v>
      </c>
      <c r="AZ24" s="1317">
        <f t="shared" si="3"/>
        <v>0.37511866089317597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667</v>
      </c>
      <c r="T25" s="10" t="s">
        <v>72</v>
      </c>
      <c r="U25" s="114" t="s">
        <v>2291</v>
      </c>
      <c r="V25" s="116" t="s">
        <v>1108</v>
      </c>
      <c r="W25" s="776"/>
      <c r="X25" s="890">
        <f>($D25*dpsStr+$E25*dpsAgi+$G25*dpsCrit+$H25*dpsHit+$F25*dpsAP+$I25*dpsHaste+$J25*dpsArmor+$K25*dpsExp)+$W25-'Gear &amp; Buffs'!$AF$70</f>
        <v>-316.05070582675194</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13</v>
      </c>
      <c r="AA25" s="737">
        <v>22</v>
      </c>
      <c r="AB25" s="713" t="str">
        <f t="shared" si="1"/>
        <v>(Unmodeled 2)</v>
      </c>
      <c r="AC25" s="1391" t="str">
        <f t="shared" si="0"/>
        <v>Kiss of the Spider</v>
      </c>
      <c r="AE25" s="796"/>
      <c r="AF25" s="1318">
        <f>1-AF24</f>
        <v>0.77888830774793893</v>
      </c>
      <c r="AG25" s="1318">
        <f t="shared" ref="AG25:AZ25" si="4">AF25*(1-AG24)</f>
        <v>0.60066928458713464</v>
      </c>
      <c r="AH25" s="1318">
        <f t="shared" si="4"/>
        <v>0.4586035570207293</v>
      </c>
      <c r="AI25" s="1318">
        <f t="shared" si="4"/>
        <v>0.34660672691134203</v>
      </c>
      <c r="AJ25" s="1318">
        <f t="shared" si="4"/>
        <v>0.2592919567135803</v>
      </c>
      <c r="AK25" s="1318">
        <f t="shared" si="4"/>
        <v>0.19197628131567199</v>
      </c>
      <c r="AL25" s="1318">
        <f t="shared" si="4"/>
        <v>0.14065837534077988</v>
      </c>
      <c r="AM25" s="1318">
        <f t="shared" si="4"/>
        <v>0.10197533443967829</v>
      </c>
      <c r="AN25" s="1318">
        <f t="shared" si="4"/>
        <v>7.3145430820463639E-2</v>
      </c>
      <c r="AO25" s="1318">
        <f t="shared" si="4"/>
        <v>5.1902913099471273E-2</v>
      </c>
      <c r="AP25" s="1318">
        <f t="shared" si="4"/>
        <v>3.6429866996189122E-2</v>
      </c>
      <c r="AQ25" s="1318">
        <f t="shared" si="4"/>
        <v>2.528904809489909E-2</v>
      </c>
      <c r="AR25" s="1318">
        <f t="shared" si="4"/>
        <v>1.7360530093043329E-2</v>
      </c>
      <c r="AS25" s="1318">
        <f t="shared" si="4"/>
        <v>1.1784046206916591E-2</v>
      </c>
      <c r="AT25" s="1318">
        <f t="shared" si="4"/>
        <v>7.9080781442709466E-3</v>
      </c>
      <c r="AU25" s="1318">
        <f t="shared" si="4"/>
        <v>5.2460852462474922E-3</v>
      </c>
      <c r="AV25" s="1318">
        <f t="shared" si="4"/>
        <v>3.4397675109451762E-3</v>
      </c>
      <c r="AW25" s="1318">
        <f t="shared" si="4"/>
        <v>2.2289087535341976E-3</v>
      </c>
      <c r="AX25" s="1318">
        <f t="shared" si="4"/>
        <v>1.4271302347063164E-3</v>
      </c>
      <c r="AY25" s="1318">
        <f t="shared" si="4"/>
        <v>9.0277645220827917E-4</v>
      </c>
      <c r="AZ25" s="1318">
        <f t="shared" si="4"/>
        <v>5.6412815837001719E-4</v>
      </c>
      <c r="BA25" s="1318"/>
    </row>
    <row r="26" spans="1:53" ht="12" customHeight="1">
      <c r="A26" s="10" t="s">
        <v>133</v>
      </c>
      <c r="B26" s="116">
        <v>32505</v>
      </c>
      <c r="C26" s="116">
        <v>3</v>
      </c>
      <c r="D26" s="114"/>
      <c r="E26" s="114"/>
      <c r="F26" s="115">
        <v>84</v>
      </c>
      <c r="G26" s="116"/>
      <c r="H26" s="116">
        <v>20</v>
      </c>
      <c r="I26" s="124"/>
      <c r="J26" s="124">
        <f>300*itMotBup</f>
        <v>167.41523881213857</v>
      </c>
      <c r="K26" s="124"/>
      <c r="L26" s="114"/>
      <c r="M26" s="116"/>
      <c r="N26" s="127"/>
      <c r="O26" s="124"/>
      <c r="P26" s="114"/>
      <c r="Q26" s="114"/>
      <c r="R26" s="114"/>
      <c r="S26" s="114" t="s">
        <v>682</v>
      </c>
      <c r="T26" s="10" t="s">
        <v>137</v>
      </c>
      <c r="U26" s="114"/>
      <c r="V26" s="116" t="s">
        <v>1108</v>
      </c>
      <c r="W26" s="776"/>
      <c r="X26" s="890">
        <f>($D26*dpsStr+$E26*dpsAgi+$G26*dpsCrit+$H26*dpsHit+$F26*dpsAP+$I26*dpsHaste+$J26*dpsArmor+$K26*dpsExp)+$W26-'Gear &amp; Buffs'!$AF$70</f>
        <v>-219.55904441595072</v>
      </c>
      <c r="Y26" s="890">
        <f>($D26*dpsStr+$E26*dpsAgi+$G26*dpsCrit+$H26*dpsHit+$F26*dpsAP+$I26*dpsHaste+$J26*dpsArmor+$K26*dpsExp)+$W26-'Gear &amp; Buffs'!$AF$71</f>
        <v>135.86536249763384</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1" t="str">
        <f t="shared" si="0"/>
        <v>Madness of the Betrayer</v>
      </c>
      <c r="AE26" s="796"/>
      <c r="AF26" s="47"/>
      <c r="AG26" s="1318">
        <f t="shared" ref="AG26:AZ26" si="5">AF25*AG24</f>
        <v>0.17821902316080426</v>
      </c>
      <c r="AH26" s="1318">
        <f t="shared" si="5"/>
        <v>0.14206572756640534</v>
      </c>
      <c r="AI26" s="1318">
        <f t="shared" si="5"/>
        <v>0.1119968301093873</v>
      </c>
      <c r="AJ26" s="1318">
        <f t="shared" si="5"/>
        <v>8.7314770197761724E-2</v>
      </c>
      <c r="AK26" s="1318">
        <f t="shared" si="5"/>
        <v>6.7315675397908309E-2</v>
      </c>
      <c r="AL26" s="1318">
        <f t="shared" si="5"/>
        <v>5.1317905974892122E-2</v>
      </c>
      <c r="AM26" s="1318">
        <f t="shared" si="5"/>
        <v>3.8683040901101591E-2</v>
      </c>
      <c r="AN26" s="1318">
        <f t="shared" si="5"/>
        <v>2.8829903619214645E-2</v>
      </c>
      <c r="AO26" s="1318">
        <f t="shared" si="5"/>
        <v>2.1242517720992369E-2</v>
      </c>
      <c r="AP26" s="1318">
        <f t="shared" si="5"/>
        <v>1.5473046103282153E-2</v>
      </c>
      <c r="AQ26" s="1318">
        <f t="shared" si="5"/>
        <v>1.1140818901290031E-2</v>
      </c>
      <c r="AR26" s="1318">
        <f t="shared" si="5"/>
        <v>7.9285180018557611E-3</v>
      </c>
      <c r="AS26" s="1318">
        <f t="shared" si="5"/>
        <v>5.5764838861267372E-3</v>
      </c>
      <c r="AT26" s="1318">
        <f t="shared" si="5"/>
        <v>3.8759680626456452E-3</v>
      </c>
      <c r="AU26" s="1318">
        <f t="shared" si="5"/>
        <v>2.661992898023454E-3</v>
      </c>
      <c r="AV26" s="1318">
        <f t="shared" si="5"/>
        <v>1.806317735302316E-3</v>
      </c>
      <c r="AW26" s="1318">
        <f t="shared" si="5"/>
        <v>1.2108587574109785E-3</v>
      </c>
      <c r="AX26" s="1318">
        <f t="shared" si="5"/>
        <v>8.0177851882788143E-4</v>
      </c>
      <c r="AY26" s="1318">
        <f t="shared" si="5"/>
        <v>5.2435378249803726E-4</v>
      </c>
      <c r="AZ26" s="1318">
        <f t="shared" si="5"/>
        <v>3.3864829383826198E-4</v>
      </c>
      <c r="BA26" s="1318">
        <f>SUM(AG26:AZ26)+AF24</f>
        <v>0.99943587184163007</v>
      </c>
    </row>
    <row r="27" spans="1:53" ht="12" customHeight="1">
      <c r="A27" s="10" t="s">
        <v>2242</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667</v>
      </c>
      <c r="T27" s="10"/>
      <c r="U27" s="114"/>
      <c r="V27" s="116" t="s">
        <v>1108</v>
      </c>
      <c r="W27" s="776"/>
      <c r="X27" s="890">
        <f>($D27*dpsStr+$E27*dpsAgi+$G27*dpsCrit+$H27*dpsHit+$F27*dpsAP+$I27*dpsHaste+$J27*dpsArmor+$K27*dpsExp)+$W27-'Gear &amp; Buffs'!$AF$70</f>
        <v>-327.55266489688188</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14</v>
      </c>
      <c r="AA27" s="737">
        <v>24</v>
      </c>
      <c r="AB27" s="713" t="str">
        <f t="shared" si="1"/>
        <v/>
      </c>
      <c r="AC27" s="1391"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19"/>
    </row>
    <row r="28" spans="1:53" ht="12" customHeight="1">
      <c r="A28" s="126" t="s">
        <v>2398</v>
      </c>
      <c r="B28" s="116">
        <v>25628</v>
      </c>
      <c r="C28" s="116">
        <v>1</v>
      </c>
      <c r="D28" s="114"/>
      <c r="E28" s="114"/>
      <c r="F28" s="115">
        <f>48+IF(time=0, 185*15/120, 0)</f>
        <v>48</v>
      </c>
      <c r="G28" s="116"/>
      <c r="H28" s="116"/>
      <c r="I28" s="124"/>
      <c r="J28" s="114"/>
      <c r="K28" s="124"/>
      <c r="L28" s="114"/>
      <c r="M28" s="116"/>
      <c r="N28" s="127"/>
      <c r="O28" s="124"/>
      <c r="P28" s="114"/>
      <c r="Q28" s="114"/>
      <c r="R28" s="114"/>
      <c r="S28" s="114" t="s">
        <v>674</v>
      </c>
      <c r="T28" s="10" t="s">
        <v>2400</v>
      </c>
      <c r="U28" s="114" t="s">
        <v>2291</v>
      </c>
      <c r="V28" s="116" t="s">
        <v>1108</v>
      </c>
      <c r="W28" s="776"/>
      <c r="X28" s="890">
        <f>($D28*dpsStr+$E28*dpsAgi+$G28*dpsCrit+$H28*dpsHit+$F28*dpsAP+$I28*dpsHaste+$J28*dpsArmor+$K28*dpsExp)+$W28-'Gear &amp; Buffs'!$AF$70</f>
        <v>-364.00032753410846</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15</v>
      </c>
      <c r="AA28" s="737">
        <v>25</v>
      </c>
      <c r="AB28" s="713" t="str">
        <f t="shared" si="1"/>
        <v/>
      </c>
      <c r="AC28" s="1391" t="str">
        <f t="shared" si="0"/>
        <v>Ogre Mauler's Badge</v>
      </c>
      <c r="AE28" s="796" t="s">
        <v>916</v>
      </c>
      <c r="AF28" s="1320">
        <f>SUM(AG28:AZ28)</f>
        <v>52.775681323559951</v>
      </c>
      <c r="AG28" s="1321">
        <f t="shared" ref="AG28:AZ28" si="7">AG27*AG26</f>
        <v>3.0297233937336725</v>
      </c>
      <c r="AH28" s="1321">
        <f t="shared" si="7"/>
        <v>4.8302347372577819</v>
      </c>
      <c r="AI28" s="1321">
        <f t="shared" si="7"/>
        <v>5.7118383355787525</v>
      </c>
      <c r="AJ28" s="1321">
        <f t="shared" si="7"/>
        <v>5.937404373447797</v>
      </c>
      <c r="AK28" s="1321">
        <f t="shared" si="7"/>
        <v>5.7218324088222063</v>
      </c>
      <c r="AL28" s="1321">
        <f t="shared" si="7"/>
        <v>5.2344264094389965</v>
      </c>
      <c r="AM28" s="1321">
        <f t="shared" si="7"/>
        <v>4.6032818672310896</v>
      </c>
      <c r="AN28" s="1321">
        <f t="shared" si="7"/>
        <v>3.920866892213192</v>
      </c>
      <c r="AO28" s="1321">
        <f t="shared" si="7"/>
        <v>3.2501052113118325</v>
      </c>
      <c r="AP28" s="1321">
        <f t="shared" si="7"/>
        <v>2.6304178375579661</v>
      </c>
      <c r="AQ28" s="1321">
        <f t="shared" si="7"/>
        <v>2.0833331345412356</v>
      </c>
      <c r="AR28" s="1321">
        <f t="shared" si="7"/>
        <v>1.6174176723785751</v>
      </c>
      <c r="AS28" s="1321">
        <f t="shared" si="7"/>
        <v>1.232402938834009</v>
      </c>
      <c r="AT28" s="1321">
        <f t="shared" si="7"/>
        <v>0.9224803989096636</v>
      </c>
      <c r="AU28" s="1321">
        <f t="shared" si="7"/>
        <v>0.67880818899598072</v>
      </c>
      <c r="AV28" s="1321">
        <f t="shared" si="7"/>
        <v>0.49131842400222997</v>
      </c>
      <c r="AW28" s="1321">
        <f t="shared" si="7"/>
        <v>0.34993818089177281</v>
      </c>
      <c r="AX28" s="1321">
        <f t="shared" si="7"/>
        <v>0.24534422676133172</v>
      </c>
      <c r="AY28" s="1321">
        <f t="shared" si="7"/>
        <v>0.16936627174686603</v>
      </c>
      <c r="AZ28" s="1321">
        <f t="shared" si="7"/>
        <v>0.11514041990500908</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671</v>
      </c>
      <c r="T29" s="10" t="s">
        <v>712</v>
      </c>
      <c r="U29" s="114"/>
      <c r="V29" s="116" t="s">
        <v>1108</v>
      </c>
      <c r="W29" s="124">
        <f>0.025*'Damage Calc'!Q20*277*fullresist*(1+(0.01*miseryimp)*misery)</f>
        <v>13.623573813994003</v>
      </c>
      <c r="X29" s="890">
        <f>($D29*dpsStr+$E29*dpsAgi+$G29*dpsCrit+$H29*dpsHit+$F29*dpsAP+$I29*dpsHaste+$J29*dpsArmor+$K29*dpsExp)+$W29-'Gear &amp; Buffs'!$AF$70</f>
        <v>-173.27749361171183</v>
      </c>
      <c r="Y29" s="890">
        <f>($D29*dpsStr+$E29*dpsAgi+$G29*dpsCrit+$H29*dpsHit+$F29*dpsAP+$I29*dpsHaste+$J29*dpsArmor+$K29*dpsExp)+$W29-'Gear &amp; Buffs'!$AF$71</f>
        <v>182.14691330187273</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16</v>
      </c>
      <c r="AA29" s="737">
        <v>26</v>
      </c>
      <c r="AB29" s="713" t="str">
        <f t="shared" si="1"/>
        <v/>
      </c>
      <c r="AC29" s="1391" t="str">
        <f t="shared" si="0"/>
        <v>Romulo's Poison Vial</v>
      </c>
      <c r="AE29" s="796" t="s">
        <v>917</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518</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667</v>
      </c>
      <c r="T30" s="10"/>
      <c r="U30" s="114"/>
      <c r="V30" s="116" t="s">
        <v>1108</v>
      </c>
      <c r="W30" s="776"/>
      <c r="X30" s="890">
        <f>($D30*dpsStr+$E30*dpsAgi+$G30*dpsCrit+$H30*dpsHit+$F30*dpsAP+$I30*dpsHaste+$J30*dpsArmor+$K30*dpsExp)+$W30-'Gear &amp; Buffs'!$AF$70</f>
        <v>-352.2084366808881</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17</v>
      </c>
      <c r="AA30" s="737">
        <v>27</v>
      </c>
      <c r="AB30" s="713" t="str">
        <f t="shared" si="1"/>
        <v/>
      </c>
      <c r="AC30" s="1391" t="str">
        <f t="shared" si="0"/>
        <v>Seal of the Dawn</v>
      </c>
    </row>
    <row r="31" spans="1:53" ht="12" customHeight="1">
      <c r="A31" s="10" t="s">
        <v>990</v>
      </c>
      <c r="B31" s="116">
        <v>34472</v>
      </c>
      <c r="C31" s="116">
        <v>5</v>
      </c>
      <c r="D31" s="114"/>
      <c r="E31" s="114"/>
      <c r="F31" s="115">
        <f>230*itSoCup</f>
        <v>93.061040263323463</v>
      </c>
      <c r="G31" s="116"/>
      <c r="H31" s="116"/>
      <c r="I31" s="115"/>
      <c r="J31" s="114"/>
      <c r="K31" s="116">
        <v>44</v>
      </c>
      <c r="L31" s="114"/>
      <c r="M31" s="116"/>
      <c r="N31" s="114"/>
      <c r="O31" s="116"/>
      <c r="P31" s="114"/>
      <c r="Q31" s="114"/>
      <c r="R31" s="114"/>
      <c r="S31" s="114" t="s">
        <v>690</v>
      </c>
      <c r="T31" s="10"/>
      <c r="U31" s="114"/>
      <c r="V31" s="116" t="s">
        <v>1108</v>
      </c>
      <c r="W31" s="776"/>
      <c r="X31" s="890">
        <f>($D31*dpsStr+$E31*dpsAgi+$G31*dpsCrit+$H31*dpsHit+$F31*dpsAP+$I31*dpsHaste+$J31*dpsArmor+$K31*dpsExp)+$W31-'Gear &amp; Buffs'!$AF$70</f>
        <v>-296.0398184132589</v>
      </c>
      <c r="Y31" s="890">
        <f>($D31*dpsStr+$E31*dpsAgi+$G31*dpsCrit+$H31*dpsHit+$F31*dpsAP+$I31*dpsHaste+$J31*dpsArmor+$K31*dpsExp)+$W31-'Gear &amp; Buffs'!$AF$71</f>
        <v>59.384588500325663</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1"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667</v>
      </c>
      <c r="T32" s="10" t="s">
        <v>517</v>
      </c>
      <c r="U32" s="114" t="s">
        <v>2291</v>
      </c>
      <c r="V32" s="116" t="s">
        <v>1108</v>
      </c>
      <c r="W32" s="776"/>
      <c r="X32" s="890">
        <f>($D32*dpsStr+$E32*dpsAgi+$G32*dpsCrit+$H32*dpsHit+$F32*dpsAP+$I32*dpsHaste+$J32*dpsArmor+$K32*dpsExp)+$W32-'Gear &amp; Buffs'!$AF$70</f>
        <v>-358.28304712042586</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18</v>
      </c>
      <c r="AA32" s="737">
        <v>29</v>
      </c>
      <c r="AB32" s="713" t="str">
        <f t="shared" si="1"/>
        <v/>
      </c>
      <c r="AC32" s="1391" t="str">
        <f t="shared" si="0"/>
        <v>Slayer's Crest</v>
      </c>
      <c r="AF32" s="336" t="s">
        <v>989</v>
      </c>
      <c r="AG32" s="6"/>
    </row>
    <row r="33" spans="1:53" ht="12" customHeight="1">
      <c r="A33" s="10" t="s">
        <v>991</v>
      </c>
      <c r="B33" s="116">
        <v>34428</v>
      </c>
      <c r="C33" s="116">
        <v>5</v>
      </c>
      <c r="D33" s="114"/>
      <c r="E33" s="114"/>
      <c r="F33" s="115"/>
      <c r="G33" s="116"/>
      <c r="H33" s="116"/>
      <c r="I33" s="115"/>
      <c r="J33" s="114"/>
      <c r="K33" s="116">
        <v>54</v>
      </c>
      <c r="L33" s="114"/>
      <c r="M33" s="116"/>
      <c r="N33" s="114"/>
      <c r="O33" s="116"/>
      <c r="P33" s="114"/>
      <c r="Q33" s="114"/>
      <c r="R33" s="114"/>
      <c r="S33" s="114" t="s">
        <v>870</v>
      </c>
      <c r="T33" s="10"/>
      <c r="U33" s="114"/>
      <c r="V33" s="116" t="s">
        <v>1108</v>
      </c>
      <c r="W33" s="776"/>
      <c r="X33" s="890">
        <f>($D33*dpsStr+$E33*dpsAgi+$G33*dpsCrit+$H33*dpsHit+$F33*dpsAP+$I33*dpsHaste+$J33*dpsArmor+$K33*dpsExp)+$W33-'Gear &amp; Buffs'!$AF$70</f>
        <v>-317.50722087336612</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1" t="str">
        <f t="shared" si="0"/>
        <v>Steely Naaru Sliver</v>
      </c>
      <c r="AF33" s="6">
        <v>1</v>
      </c>
      <c r="AG33" s="6">
        <f>'Damage Calc'!J47/'Damage Calc'!H47</f>
        <v>0.41570551658187188</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674</v>
      </c>
      <c r="T34" s="10" t="s">
        <v>141</v>
      </c>
      <c r="U34" s="114" t="s">
        <v>2293</v>
      </c>
      <c r="V34" s="116" t="s">
        <v>1108</v>
      </c>
      <c r="W34" s="776"/>
      <c r="X34" s="890">
        <f>($D34*dpsStr+$E34*dpsAgi+$G34*dpsCrit+$H34*dpsHit+$F34*dpsAP+$I34*dpsHaste+$J34*dpsArmor+$K34*dpsExp)+$W34-'Gear &amp; Buffs'!$AF$70</f>
        <v>-259.05147649835885</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19</v>
      </c>
      <c r="AA34" s="737">
        <v>31</v>
      </c>
      <c r="AB34" s="713" t="str">
        <f t="shared" si="1"/>
        <v/>
      </c>
      <c r="AC34" s="1391" t="str">
        <f t="shared" si="0"/>
        <v>Terokkar Tablet of Precision</v>
      </c>
      <c r="AF34" s="6">
        <v>2</v>
      </c>
      <c r="AG34" s="6">
        <f t="shared" ref="AG34:AG41" si="8">AG33</f>
        <v>0.41570551658187188</v>
      </c>
    </row>
    <row r="35" spans="1:53" ht="12" customHeight="1">
      <c r="A35" s="126" t="s">
        <v>142</v>
      </c>
      <c r="B35" s="116">
        <v>30627</v>
      </c>
      <c r="C35" s="116">
        <v>2</v>
      </c>
      <c r="D35" s="114"/>
      <c r="E35" s="114"/>
      <c r="F35" s="115">
        <f>340*itTTup</f>
        <v>53.564391383359499</v>
      </c>
      <c r="G35" s="116">
        <v>38</v>
      </c>
      <c r="H35" s="116">
        <v>10</v>
      </c>
      <c r="I35" s="124"/>
      <c r="J35" s="114"/>
      <c r="K35" s="124"/>
      <c r="L35" s="114"/>
      <c r="M35" s="116"/>
      <c r="N35" s="127"/>
      <c r="O35" s="124"/>
      <c r="P35" s="114"/>
      <c r="Q35" s="114"/>
      <c r="R35" s="114"/>
      <c r="S35" s="114" t="s">
        <v>666</v>
      </c>
      <c r="T35" s="10" t="s">
        <v>143</v>
      </c>
      <c r="U35" s="114"/>
      <c r="V35" s="116" t="s">
        <v>1108</v>
      </c>
      <c r="W35" s="776"/>
      <c r="X35" s="890">
        <f>($D35*dpsStr+$E35*dpsAgi+$G35*dpsCrit+$H35*dpsHit+$F35*dpsAP+$I35*dpsHaste+$J35*dpsArmor+$K35*dpsExp)+$W35-'Gear &amp; Buffs'!$AF$70</f>
        <v>-280.45142913659242</v>
      </c>
      <c r="Y35" s="890">
        <f>($D35*dpsStr+$E35*dpsAgi+$G35*dpsCrit+$H35*dpsHit+$F35*dpsAP+$I35*dpsHaste+$J35*dpsArmor+$K35*dpsExp)+$W35-'Gear &amp; Buffs'!$AF$71</f>
        <v>74.972977776992138</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1" t="str">
        <f t="shared" si="0"/>
        <v>Tsunami Talisman</v>
      </c>
      <c r="AF35" s="6">
        <v>3</v>
      </c>
      <c r="AG35" s="6">
        <f t="shared" si="8"/>
        <v>0.41570551658187188</v>
      </c>
    </row>
    <row r="36" spans="1:53" ht="12" customHeight="1">
      <c r="A36" s="126" t="s">
        <v>2399</v>
      </c>
      <c r="B36" s="116">
        <v>25633</v>
      </c>
      <c r="C36" s="116">
        <v>1</v>
      </c>
      <c r="D36" s="114"/>
      <c r="E36" s="114"/>
      <c r="F36" s="115">
        <f>48+IF(time=0, 185*15/120, 0)</f>
        <v>48</v>
      </c>
      <c r="G36" s="116"/>
      <c r="H36" s="116"/>
      <c r="I36" s="124"/>
      <c r="J36" s="114"/>
      <c r="K36" s="124"/>
      <c r="L36" s="114"/>
      <c r="M36" s="116"/>
      <c r="N36" s="127"/>
      <c r="O36" s="124"/>
      <c r="P36" s="114"/>
      <c r="Q36" s="114"/>
      <c r="R36" s="114"/>
      <c r="S36" s="114" t="s">
        <v>674</v>
      </c>
      <c r="T36" s="10" t="s">
        <v>2400</v>
      </c>
      <c r="U36" s="114" t="s">
        <v>2291</v>
      </c>
      <c r="V36" s="116" t="s">
        <v>1108</v>
      </c>
      <c r="W36" s="776"/>
      <c r="X36" s="890">
        <f>($D36*dpsStr+$E36*dpsAgi+$G36*dpsCrit+$H36*dpsHit+$F36*dpsAP+$I36*dpsHaste+$J36*dpsArmor+$K36*dpsExp)+$W36-'Gear &amp; Buffs'!$AF$70</f>
        <v>-364.00032753410846</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20</v>
      </c>
      <c r="AA36" s="737">
        <v>33</v>
      </c>
      <c r="AB36" s="713" t="str">
        <f t="shared" si="1"/>
        <v/>
      </c>
      <c r="AC36" s="1391" t="str">
        <f t="shared" si="0"/>
        <v>Uniting Charm</v>
      </c>
      <c r="AF36" s="6">
        <v>4</v>
      </c>
      <c r="AG36" s="6">
        <f t="shared" si="8"/>
        <v>0.41570551658187188</v>
      </c>
    </row>
    <row r="37" spans="1:53" ht="12" customHeight="1">
      <c r="A37" s="126" t="s">
        <v>1939</v>
      </c>
      <c r="B37" s="116">
        <v>30450</v>
      </c>
      <c r="C37" s="116">
        <v>2</v>
      </c>
      <c r="D37" s="114"/>
      <c r="E37" s="114"/>
      <c r="F37" s="115"/>
      <c r="G37" s="127"/>
      <c r="H37" s="115">
        <v>21</v>
      </c>
      <c r="I37" s="124"/>
      <c r="J37" s="124">
        <f>1000*itWSCup</f>
        <v>368.36514501652164</v>
      </c>
      <c r="K37" s="124"/>
      <c r="L37" s="114"/>
      <c r="M37" s="127"/>
      <c r="N37" s="124"/>
      <c r="O37" s="124"/>
      <c r="P37" s="114"/>
      <c r="Q37" s="114"/>
      <c r="R37" s="114"/>
      <c r="S37" s="114" t="s">
        <v>679</v>
      </c>
      <c r="T37" s="10" t="s">
        <v>742</v>
      </c>
      <c r="U37" s="114"/>
      <c r="V37" s="116" t="s">
        <v>1108</v>
      </c>
      <c r="W37" s="776"/>
      <c r="X37" s="890">
        <f>($D37*dpsStr+$E37*dpsAgi+$G37*dpsCrit+$H37*dpsHit+$F37*dpsAP+$I37*dpsHaste+$J37*dpsArmor+$K37*dpsExp)+$W37-'Gear &amp; Buffs'!$AF$70</f>
        <v>-219.32626321036039</v>
      </c>
      <c r="Y37" s="890">
        <f>($D37*dpsStr+$E37*dpsAgi+$G37*dpsCrit+$H37*dpsHit+$F37*dpsAP+$I37*dpsHaste+$J37*dpsArmor+$K37*dpsExp)+$W37-'Gear &amp; Buffs'!$AF$71</f>
        <v>136.09814370322417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1" t="str">
        <f t="shared" si="0"/>
        <v>Warp-Spring Coil</v>
      </c>
      <c r="AF37" s="6">
        <v>5</v>
      </c>
      <c r="AG37" s="6">
        <f t="shared" si="8"/>
        <v>0.41570551658187188</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1108</v>
      </c>
      <c r="W38" s="114"/>
      <c r="X38" s="890">
        <f>($D38*dpsStr+$E38*dpsAgi+$G38*dpsCrit+$H38*dpsHit+$F38*dpsAP+$I38*dpsHaste+$J38*dpsArmor+$K38*dpsExp)+$W38-'Gear &amp; Buffs'!$AF$70</f>
        <v>-381.15216877515627</v>
      </c>
      <c r="Y38" s="890">
        <f>($D38*dpsStr+$E38*dpsAgi+$G38*dpsCrit+$H38*dpsHit+$F38*dpsAP+$I38*dpsHaste+$J38*dpsArmor+$K38*dpsExp)+$W38-'Gear &amp; Buffs'!$AF$71</f>
        <v>-25.727761861571707</v>
      </c>
      <c r="Z38" s="114">
        <f>MAX($Z$1:$Z37)+1</f>
        <v>21</v>
      </c>
      <c r="AA38" s="737">
        <v>35</v>
      </c>
      <c r="AB38" s="713" t="str">
        <f t="shared" si="1"/>
        <v/>
      </c>
      <c r="AF38" s="6">
        <v>6</v>
      </c>
      <c r="AG38" s="6">
        <f t="shared" si="8"/>
        <v>0.41570551658187188</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1108</v>
      </c>
      <c r="W39" s="114"/>
      <c r="X39" s="890">
        <f>($D39*dpsStr+$E39*dpsAgi+$G39*dpsCrit+$H39*dpsHit+$F39*dpsAP+$I39*dpsHaste+$J39*dpsArmor+$K39*dpsExp)+$W39-'Gear &amp; Buffs'!$AF$70</f>
        <v>-381.15216877515627</v>
      </c>
      <c r="Y39" s="890">
        <f>($D39*dpsStr+$E39*dpsAgi+$G39*dpsCrit+$H39*dpsHit+$F39*dpsAP+$I39*dpsHaste+$J39*dpsArmor+$K39*dpsExp)+$W39-'Gear &amp; Buffs'!$AF$71</f>
        <v>-25.727761861571707</v>
      </c>
      <c r="Z39" s="114">
        <f>MAX($Z$1:$Z38)+1</f>
        <v>22</v>
      </c>
      <c r="AA39" s="737">
        <v>36</v>
      </c>
      <c r="AB39" s="713" t="str">
        <f t="shared" si="1"/>
        <v/>
      </c>
      <c r="AF39" s="6">
        <v>7</v>
      </c>
      <c r="AG39" s="6">
        <f t="shared" si="8"/>
        <v>0.41570551658187188</v>
      </c>
    </row>
    <row r="40" spans="1:53" ht="12" customHeight="1">
      <c r="A40" s="126" t="s">
        <v>2206</v>
      </c>
      <c r="B40" s="116"/>
      <c r="C40" s="116"/>
      <c r="D40" s="114"/>
      <c r="E40" s="114"/>
      <c r="F40" s="114"/>
      <c r="G40" s="127"/>
      <c r="H40" s="127"/>
      <c r="I40" s="124"/>
      <c r="J40" s="114"/>
      <c r="K40" s="124"/>
      <c r="L40" s="114"/>
      <c r="M40" s="127"/>
      <c r="N40" s="124"/>
      <c r="O40" s="124"/>
      <c r="P40" s="114"/>
      <c r="Q40" s="114"/>
      <c r="R40" s="114"/>
      <c r="S40" s="114"/>
      <c r="T40" s="10"/>
      <c r="U40" s="114"/>
      <c r="V40" s="116" t="s">
        <v>1108</v>
      </c>
      <c r="W40" s="114"/>
      <c r="X40" s="890"/>
      <c r="Y40" s="890"/>
      <c r="Z40" s="114"/>
      <c r="AA40" s="737">
        <v>37</v>
      </c>
      <c r="AB40" s="713" t="str">
        <f t="shared" si="1"/>
        <v/>
      </c>
      <c r="AF40" s="6">
        <v>8</v>
      </c>
      <c r="AG40" s="6">
        <f t="shared" si="8"/>
        <v>0.41570551658187188</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0.41570551658187188</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16.258650350763155</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398.84515385839478</v>
      </c>
    </row>
    <row r="44" spans="1:53" ht="12" customHeight="1">
      <c r="A44" s="247" t="s">
        <v>3122</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3123</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2" t="s">
        <v>1656</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1894</v>
      </c>
    </row>
    <row r="48" spans="1:53" ht="12" customHeight="1">
      <c r="A48" s="129"/>
      <c r="B48" s="124"/>
      <c r="C48" s="129"/>
      <c r="D48" s="129"/>
      <c r="E48" s="129"/>
      <c r="S48" s="48"/>
      <c r="T48" s="850"/>
      <c r="U48" s="48"/>
      <c r="W48" s="48"/>
      <c r="X48" s="48"/>
      <c r="Y48" s="48"/>
      <c r="AF48" s="48">
        <v>0</v>
      </c>
      <c r="AG48" s="48">
        <f>IF(time=0, 0, 'Damage Calc'!J47/'Damage Calc'!H47/time)</f>
        <v>1.3856850552729063E-3</v>
      </c>
      <c r="AH48" s="48">
        <f t="shared" ref="AH48:AY48" si="9">IF(time=0, 0, AG48)</f>
        <v>1.3856850552729063E-3</v>
      </c>
      <c r="AI48" s="48">
        <f t="shared" si="9"/>
        <v>1.3856850552729063E-3</v>
      </c>
      <c r="AJ48" s="48">
        <f t="shared" si="9"/>
        <v>1.3856850552729063E-3</v>
      </c>
      <c r="AK48" s="48">
        <f t="shared" si="9"/>
        <v>1.3856850552729063E-3</v>
      </c>
      <c r="AL48" s="48">
        <f t="shared" si="9"/>
        <v>1.3856850552729063E-3</v>
      </c>
      <c r="AM48" s="48">
        <f t="shared" si="9"/>
        <v>1.3856850552729063E-3</v>
      </c>
      <c r="AN48" s="48">
        <f t="shared" si="9"/>
        <v>1.3856850552729063E-3</v>
      </c>
      <c r="AO48" s="48">
        <f t="shared" si="9"/>
        <v>1.3856850552729063E-3</v>
      </c>
      <c r="AP48" s="48">
        <f t="shared" si="9"/>
        <v>1.3856850552729063E-3</v>
      </c>
      <c r="AQ48" s="48">
        <f t="shared" si="9"/>
        <v>1.3856850552729063E-3</v>
      </c>
      <c r="AR48" s="48">
        <f t="shared" si="9"/>
        <v>1.3856850552729063E-3</v>
      </c>
      <c r="AS48" s="48">
        <f t="shared" si="9"/>
        <v>1.3856850552729063E-3</v>
      </c>
      <c r="AT48" s="48">
        <f t="shared" si="9"/>
        <v>1.3856850552729063E-3</v>
      </c>
      <c r="AU48" s="48">
        <f t="shared" si="9"/>
        <v>1.3856850552729063E-3</v>
      </c>
      <c r="AV48" s="48">
        <f t="shared" si="9"/>
        <v>1.3856850552729063E-3</v>
      </c>
      <c r="AW48" s="48">
        <f t="shared" si="9"/>
        <v>1.3856850552729063E-3</v>
      </c>
      <c r="AX48" s="48">
        <f t="shared" si="9"/>
        <v>1.3856850552729063E-3</v>
      </c>
      <c r="AY48" s="48">
        <f t="shared" si="9"/>
        <v>1.3856850552729063E-3</v>
      </c>
      <c r="AZ48" s="48">
        <f>1-SUM(AF48:AY48)</f>
        <v>0.9736719839498148</v>
      </c>
      <c r="BA48" s="48">
        <f>SUMPRODUCT(AF47:AZ47,AF48:AZ48)*6</f>
        <v>118.4203190369889</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8" workbookViewId="0">
      <selection activeCell="W4" sqref="W4:W53"/>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1933</v>
      </c>
      <c r="C1" s="703" t="s">
        <v>2795</v>
      </c>
      <c r="D1" s="778" t="s">
        <v>1213</v>
      </c>
      <c r="E1" s="778" t="s">
        <v>1214</v>
      </c>
      <c r="F1" s="778" t="s">
        <v>767</v>
      </c>
      <c r="G1" s="778" t="s">
        <v>2139</v>
      </c>
      <c r="H1" s="778" t="s">
        <v>2138</v>
      </c>
      <c r="I1" s="778" t="s">
        <v>770</v>
      </c>
      <c r="J1" s="778" t="s">
        <v>1218</v>
      </c>
      <c r="K1" s="778" t="s">
        <v>759</v>
      </c>
      <c r="L1" s="778" t="s">
        <v>1215</v>
      </c>
      <c r="M1" s="778" t="s">
        <v>264</v>
      </c>
      <c r="N1" s="778" t="s">
        <v>1216</v>
      </c>
      <c r="O1" s="778" t="s">
        <v>1286</v>
      </c>
      <c r="P1" s="778"/>
      <c r="Q1" s="778" t="s">
        <v>1031</v>
      </c>
      <c r="R1" s="778" t="s">
        <v>1940</v>
      </c>
      <c r="S1" s="778" t="s">
        <v>665</v>
      </c>
      <c r="T1" s="778" t="s">
        <v>265</v>
      </c>
      <c r="U1" s="778"/>
      <c r="V1" s="703">
        <v>0</v>
      </c>
      <c r="W1" s="703"/>
      <c r="X1" s="778" t="s">
        <v>2207</v>
      </c>
    </row>
    <row r="2" spans="1:25">
      <c r="A2" s="10" t="s">
        <v>49</v>
      </c>
      <c r="B2" s="129">
        <v>27507</v>
      </c>
      <c r="C2" s="129">
        <v>1</v>
      </c>
      <c r="D2" s="114"/>
      <c r="E2" s="114">
        <v>15</v>
      </c>
      <c r="F2" s="114"/>
      <c r="G2" s="116"/>
      <c r="H2" s="116">
        <v>10</v>
      </c>
      <c r="I2" s="114"/>
      <c r="J2" s="114"/>
      <c r="K2" s="116"/>
      <c r="L2" s="114"/>
      <c r="M2" s="116"/>
      <c r="N2" s="116"/>
      <c r="O2" s="116"/>
      <c r="P2" s="116"/>
      <c r="Q2" s="114" t="s">
        <v>1032</v>
      </c>
      <c r="R2" s="114"/>
      <c r="S2" s="114" t="s">
        <v>690</v>
      </c>
      <c r="T2" s="1316">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1688</v>
      </c>
      <c r="Y2" s="1391" t="str">
        <f>HYPERLINK("https://tbc.wowhead.com/item="&amp;B2,A2)</f>
        <v>Adamantine Repeater</v>
      </c>
    </row>
    <row r="3" spans="1:25">
      <c r="A3" s="10" t="s">
        <v>2412</v>
      </c>
      <c r="B3" s="129">
        <v>23746</v>
      </c>
      <c r="C3" s="129">
        <v>1</v>
      </c>
      <c r="D3" s="114"/>
      <c r="E3" s="114">
        <v>12</v>
      </c>
      <c r="F3" s="114">
        <v>22</v>
      </c>
      <c r="G3" s="116"/>
      <c r="H3" s="116"/>
      <c r="I3" s="114"/>
      <c r="J3" s="114"/>
      <c r="K3" s="114"/>
      <c r="L3" s="114"/>
      <c r="M3" s="116"/>
      <c r="N3" s="116"/>
      <c r="O3" s="114"/>
      <c r="P3" s="114"/>
      <c r="Q3" s="114" t="s">
        <v>1032</v>
      </c>
      <c r="R3" s="114"/>
      <c r="S3" s="114" t="s">
        <v>684</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1" t="str">
        <f t="shared" ref="Y3:Y50" si="0">HYPERLINK("https://tbc.wowhead.com/item="&amp;B3,A3)</f>
        <v>Adamantite Rifle</v>
      </c>
    </row>
    <row r="4" spans="1:25">
      <c r="A4" s="10" t="s">
        <v>1562</v>
      </c>
      <c r="B4" s="129">
        <v>33474</v>
      </c>
      <c r="C4" s="129">
        <v>4</v>
      </c>
      <c r="D4" s="114"/>
      <c r="E4" s="114"/>
      <c r="F4" s="114">
        <v>38</v>
      </c>
      <c r="G4" s="116"/>
      <c r="H4" s="116"/>
      <c r="I4" s="114"/>
      <c r="J4" s="114">
        <v>126</v>
      </c>
      <c r="K4" s="116"/>
      <c r="L4" s="114"/>
      <c r="M4" s="116"/>
      <c r="N4" s="116"/>
      <c r="O4" s="116"/>
      <c r="P4" s="116"/>
      <c r="Q4" s="114" t="s">
        <v>1032</v>
      </c>
      <c r="R4" s="114"/>
      <c r="S4" s="114" t="s">
        <v>663</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1" t="str">
        <f t="shared" si="0"/>
        <v>Ancient Amani Longbow</v>
      </c>
    </row>
    <row r="5" spans="1:25">
      <c r="A5" s="10" t="s">
        <v>1627</v>
      </c>
      <c r="B5" s="129">
        <v>29949</v>
      </c>
      <c r="C5" s="129">
        <v>2</v>
      </c>
      <c r="D5" s="114"/>
      <c r="E5" s="114">
        <v>20</v>
      </c>
      <c r="F5" s="114"/>
      <c r="G5" s="116"/>
      <c r="H5" s="116">
        <v>19</v>
      </c>
      <c r="I5" s="114"/>
      <c r="J5" s="114"/>
      <c r="K5" s="116"/>
      <c r="L5" s="114"/>
      <c r="M5" s="116"/>
      <c r="N5" s="116"/>
      <c r="O5" s="116"/>
      <c r="P5" s="116"/>
      <c r="Q5" s="114" t="s">
        <v>1032</v>
      </c>
      <c r="R5" s="114"/>
      <c r="S5" s="114" t="s">
        <v>679</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1" t="str">
        <f t="shared" si="0"/>
        <v>Arcanite Steam-Pistol</v>
      </c>
    </row>
    <row r="6" spans="1:25">
      <c r="A6" s="10" t="s">
        <v>2208</v>
      </c>
      <c r="B6" s="129">
        <v>30724</v>
      </c>
      <c r="C6" s="129">
        <v>1</v>
      </c>
      <c r="D6" s="114"/>
      <c r="E6" s="114">
        <v>16</v>
      </c>
      <c r="F6" s="114"/>
      <c r="G6" s="116"/>
      <c r="H6" s="116"/>
      <c r="I6" s="114"/>
      <c r="J6" s="114"/>
      <c r="K6" s="116"/>
      <c r="L6" s="114"/>
      <c r="M6" s="116"/>
      <c r="N6" s="116"/>
      <c r="O6" s="116"/>
      <c r="P6" s="116"/>
      <c r="Q6" s="114" t="s">
        <v>1453</v>
      </c>
      <c r="R6" s="114" t="s">
        <v>1448</v>
      </c>
      <c r="S6" s="114" t="s">
        <v>680</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1" t="str">
        <f t="shared" si="0"/>
        <v>Barrel-Blade Longrifle</v>
      </c>
    </row>
    <row r="7" spans="1:25">
      <c r="A7" s="10" t="s">
        <v>1634</v>
      </c>
      <c r="B7" s="129">
        <v>34349</v>
      </c>
      <c r="C7" s="129">
        <v>5</v>
      </c>
      <c r="D7" s="114"/>
      <c r="E7" s="114"/>
      <c r="F7" s="114">
        <v>36</v>
      </c>
      <c r="G7" s="116"/>
      <c r="H7" s="116"/>
      <c r="I7" s="114">
        <v>16</v>
      </c>
      <c r="J7" s="114"/>
      <c r="K7" s="116"/>
      <c r="L7" s="114">
        <v>19</v>
      </c>
      <c r="M7" s="116"/>
      <c r="N7" s="116"/>
      <c r="O7" s="116"/>
      <c r="P7" s="116"/>
      <c r="Q7" s="114" t="s">
        <v>1042</v>
      </c>
      <c r="R7" s="114" t="s">
        <v>1065</v>
      </c>
      <c r="S7" s="114" t="s">
        <v>870</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1" t="str">
        <f t="shared" si="0"/>
        <v>Blade of Life's Inevitability</v>
      </c>
    </row>
    <row r="8" spans="1:25">
      <c r="A8" s="10" t="s">
        <v>2413</v>
      </c>
      <c r="B8" s="129">
        <v>31000</v>
      </c>
      <c r="C8" s="129">
        <v>1</v>
      </c>
      <c r="D8" s="114"/>
      <c r="E8" s="114">
        <v>8</v>
      </c>
      <c r="F8" s="114">
        <v>30</v>
      </c>
      <c r="G8" s="116"/>
      <c r="H8" s="116"/>
      <c r="I8" s="114"/>
      <c r="J8" s="114"/>
      <c r="K8" s="116"/>
      <c r="L8" s="114">
        <v>7</v>
      </c>
      <c r="M8" s="116"/>
      <c r="N8" s="116"/>
      <c r="O8" s="116"/>
      <c r="P8" s="116"/>
      <c r="Q8" s="114" t="s">
        <v>1032</v>
      </c>
      <c r="R8" s="114"/>
      <c r="S8" s="114" t="s">
        <v>674</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1" t="str">
        <f t="shared" si="0"/>
        <v>Bloodwarder's Rifle</v>
      </c>
    </row>
    <row r="9" spans="1:25">
      <c r="A9" s="10" t="s">
        <v>2414</v>
      </c>
      <c r="B9" s="129">
        <v>30906</v>
      </c>
      <c r="C9" s="129">
        <v>3</v>
      </c>
      <c r="D9" s="114"/>
      <c r="E9" s="114"/>
      <c r="F9" s="114"/>
      <c r="G9" s="116">
        <v>25</v>
      </c>
      <c r="H9" s="116"/>
      <c r="I9" s="114"/>
      <c r="J9" s="114"/>
      <c r="K9" s="116"/>
      <c r="L9" s="114">
        <v>28</v>
      </c>
      <c r="M9" s="116"/>
      <c r="N9" s="116"/>
      <c r="O9" s="116"/>
      <c r="P9" s="116"/>
      <c r="Q9" s="114" t="s">
        <v>1032</v>
      </c>
      <c r="R9" s="114"/>
      <c r="S9" s="114" t="s">
        <v>683</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1" t="str">
        <f t="shared" si="0"/>
        <v>Bristleblitz Striker</v>
      </c>
    </row>
    <row r="10" spans="1:25">
      <c r="A10" s="10" t="s">
        <v>2003</v>
      </c>
      <c r="B10" s="129">
        <v>35108</v>
      </c>
      <c r="C10" s="129">
        <v>5</v>
      </c>
      <c r="D10" s="114"/>
      <c r="E10" s="114"/>
      <c r="F10" s="114">
        <v>34</v>
      </c>
      <c r="G10" s="116">
        <v>18</v>
      </c>
      <c r="H10" s="116"/>
      <c r="I10" s="114"/>
      <c r="J10" s="114"/>
      <c r="K10" s="114"/>
      <c r="L10" s="114">
        <v>27</v>
      </c>
      <c r="M10" s="116"/>
      <c r="N10" s="116">
        <v>12</v>
      </c>
      <c r="O10" s="114"/>
      <c r="P10" s="114"/>
      <c r="Q10" s="114" t="s">
        <v>1032</v>
      </c>
      <c r="R10" s="114"/>
      <c r="S10" s="114" t="s">
        <v>676</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1" t="str">
        <f t="shared" si="0"/>
        <v>Brutal Gladiator's War Edge</v>
      </c>
    </row>
    <row r="11" spans="1:25">
      <c r="A11" s="10" t="s">
        <v>2415</v>
      </c>
      <c r="B11" s="129">
        <v>24381</v>
      </c>
      <c r="C11" s="129">
        <v>1</v>
      </c>
      <c r="D11" s="114"/>
      <c r="E11" s="114">
        <v>12</v>
      </c>
      <c r="F11" s="114">
        <v>22</v>
      </c>
      <c r="G11" s="116"/>
      <c r="H11" s="116"/>
      <c r="I11" s="114"/>
      <c r="J11" s="114"/>
      <c r="K11" s="116"/>
      <c r="L11" s="114"/>
      <c r="M11" s="116"/>
      <c r="N11" s="116"/>
      <c r="O11" s="116"/>
      <c r="P11" s="116"/>
      <c r="Q11" s="114" t="s">
        <v>1032</v>
      </c>
      <c r="R11" s="114"/>
      <c r="S11" s="114" t="s">
        <v>672</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1" t="str">
        <f t="shared" si="0"/>
        <v>Coilfang Needler</v>
      </c>
    </row>
    <row r="12" spans="1:25">
      <c r="A12" s="10" t="s">
        <v>2833</v>
      </c>
      <c r="B12" s="129">
        <v>29115</v>
      </c>
      <c r="C12" s="129">
        <v>1</v>
      </c>
      <c r="D12" s="114"/>
      <c r="E12" s="114"/>
      <c r="F12" s="114">
        <v>28</v>
      </c>
      <c r="G12" s="116">
        <v>7</v>
      </c>
      <c r="H12" s="116"/>
      <c r="I12" s="114"/>
      <c r="J12" s="114"/>
      <c r="K12" s="116"/>
      <c r="L12" s="114">
        <v>15</v>
      </c>
      <c r="M12" s="116"/>
      <c r="N12" s="116"/>
      <c r="O12" s="116"/>
      <c r="P12" s="116"/>
      <c r="Q12" s="114" t="s">
        <v>1032</v>
      </c>
      <c r="R12" s="114"/>
      <c r="S12" s="114" t="s">
        <v>675</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1"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1032</v>
      </c>
      <c r="R13" s="114"/>
      <c r="S13" s="114" t="s">
        <v>690</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1"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1032</v>
      </c>
      <c r="R14" s="114"/>
      <c r="S14" s="114" t="s">
        <v>675</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1" t="str">
        <f t="shared" si="0"/>
        <v>Crystalline Crossbow</v>
      </c>
    </row>
    <row r="15" spans="1:25">
      <c r="A15" s="10" t="s">
        <v>1140</v>
      </c>
      <c r="B15" s="129">
        <v>34603</v>
      </c>
      <c r="C15" s="129">
        <v>5</v>
      </c>
      <c r="D15" s="114"/>
      <c r="E15" s="114">
        <v>14</v>
      </c>
      <c r="F15" s="114">
        <v>26</v>
      </c>
      <c r="G15" s="116"/>
      <c r="H15" s="116"/>
      <c r="I15" s="114">
        <v>10</v>
      </c>
      <c r="J15" s="114"/>
      <c r="K15" s="116"/>
      <c r="L15" s="114"/>
      <c r="M15" s="116"/>
      <c r="N15" s="116"/>
      <c r="O15" s="116"/>
      <c r="P15" s="116"/>
      <c r="Q15" s="114" t="s">
        <v>1032</v>
      </c>
      <c r="R15" s="114"/>
      <c r="S15" s="114" t="s">
        <v>690</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1" t="str">
        <f t="shared" si="0"/>
        <v>Distracting Blades</v>
      </c>
    </row>
    <row r="16" spans="1:25">
      <c r="A16" s="10" t="s">
        <v>2416</v>
      </c>
      <c r="B16" s="129">
        <v>28397</v>
      </c>
      <c r="C16" s="129">
        <v>1</v>
      </c>
      <c r="D16" s="114"/>
      <c r="E16" s="114"/>
      <c r="F16" s="114">
        <v>14</v>
      </c>
      <c r="G16" s="116">
        <v>18</v>
      </c>
      <c r="H16" s="116"/>
      <c r="I16" s="114"/>
      <c r="J16" s="114"/>
      <c r="K16" s="116"/>
      <c r="L16" s="114"/>
      <c r="M16" s="116"/>
      <c r="N16" s="116"/>
      <c r="O16" s="116"/>
      <c r="P16" s="116"/>
      <c r="Q16" s="114" t="s">
        <v>1032</v>
      </c>
      <c r="R16" s="114"/>
      <c r="S16" s="114" t="s">
        <v>672</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1" t="str">
        <f t="shared" si="0"/>
        <v>Emberhawk Crossbow</v>
      </c>
    </row>
    <row r="17" spans="1:25">
      <c r="A17" s="130" t="s">
        <v>1628</v>
      </c>
      <c r="B17" s="129">
        <v>29204</v>
      </c>
      <c r="C17" s="129">
        <v>1</v>
      </c>
      <c r="D17" s="114"/>
      <c r="E17" s="114"/>
      <c r="F17" s="114">
        <v>20</v>
      </c>
      <c r="G17" s="116">
        <v>10</v>
      </c>
      <c r="H17" s="116">
        <v>10</v>
      </c>
      <c r="I17" s="114"/>
      <c r="J17" s="114"/>
      <c r="K17" s="116"/>
      <c r="L17" s="114"/>
      <c r="M17" s="116"/>
      <c r="N17" s="116"/>
      <c r="O17" s="116"/>
      <c r="P17" s="116"/>
      <c r="Q17" s="114" t="s">
        <v>1032</v>
      </c>
      <c r="R17" s="114"/>
      <c r="S17" s="114" t="s">
        <v>684</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1" t="str">
        <f t="shared" si="0"/>
        <v>Felsteel Whisper Knives</v>
      </c>
    </row>
    <row r="18" spans="1:25">
      <c r="A18" s="130" t="s">
        <v>1629</v>
      </c>
      <c r="B18" s="129">
        <v>29211</v>
      </c>
      <c r="C18" s="129">
        <v>1</v>
      </c>
      <c r="D18" s="114"/>
      <c r="E18" s="114">
        <v>12</v>
      </c>
      <c r="F18" s="114"/>
      <c r="G18" s="116"/>
      <c r="H18" s="116">
        <v>12</v>
      </c>
      <c r="I18" s="114"/>
      <c r="J18" s="114"/>
      <c r="K18" s="116"/>
      <c r="L18" s="114"/>
      <c r="M18" s="116"/>
      <c r="N18" s="116"/>
      <c r="O18" s="116"/>
      <c r="P18" s="116"/>
      <c r="Q18" s="114" t="s">
        <v>1032</v>
      </c>
      <c r="R18" s="114"/>
      <c r="S18" s="114" t="s">
        <v>674</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1" t="str">
        <f t="shared" si="0"/>
        <v>Fitz's Throwing Axe</v>
      </c>
    </row>
    <row r="19" spans="1:25">
      <c r="A19" s="10" t="s">
        <v>1930</v>
      </c>
      <c r="B19" s="129">
        <v>28319</v>
      </c>
      <c r="C19" s="129">
        <v>1</v>
      </c>
      <c r="D19" s="114"/>
      <c r="E19" s="114"/>
      <c r="F19" s="114">
        <v>24</v>
      </c>
      <c r="G19" s="116">
        <v>11</v>
      </c>
      <c r="H19" s="116"/>
      <c r="I19" s="114"/>
      <c r="J19" s="114"/>
      <c r="K19" s="116"/>
      <c r="L19" s="114">
        <v>15</v>
      </c>
      <c r="M19" s="116"/>
      <c r="N19" s="116">
        <v>12</v>
      </c>
      <c r="O19" s="116"/>
      <c r="P19" s="116"/>
      <c r="Q19" s="114" t="s">
        <v>1032</v>
      </c>
      <c r="R19" s="114"/>
      <c r="S19" s="114" t="s">
        <v>676</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1" t="str">
        <f t="shared" si="0"/>
        <v>Gladiator's War Edge</v>
      </c>
    </row>
    <row r="20" spans="1:25">
      <c r="A20" s="10" t="s">
        <v>629</v>
      </c>
      <c r="B20" s="129">
        <v>34196</v>
      </c>
      <c r="C20" s="129">
        <v>5</v>
      </c>
      <c r="D20" s="114"/>
      <c r="E20" s="114">
        <v>18</v>
      </c>
      <c r="F20" s="114">
        <v>34</v>
      </c>
      <c r="G20" s="116"/>
      <c r="H20" s="116"/>
      <c r="I20" s="114"/>
      <c r="J20" s="114">
        <v>175</v>
      </c>
      <c r="K20" s="116"/>
      <c r="L20" s="114"/>
      <c r="M20" s="116"/>
      <c r="N20" s="116"/>
      <c r="O20" s="116"/>
      <c r="P20" s="116"/>
      <c r="Q20" s="114" t="s">
        <v>1032</v>
      </c>
      <c r="R20" s="114"/>
      <c r="S20" s="114" t="s">
        <v>870</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1" t="str">
        <f t="shared" si="0"/>
        <v>Golden Bow of Quel'Thalas</v>
      </c>
    </row>
    <row r="21" spans="1:25">
      <c r="A21" s="10" t="s">
        <v>2420</v>
      </c>
      <c r="B21" s="129">
        <v>25639</v>
      </c>
      <c r="C21" s="129">
        <v>1</v>
      </c>
      <c r="D21" s="114"/>
      <c r="E21" s="114"/>
      <c r="F21" s="114">
        <v>24</v>
      </c>
      <c r="G21" s="116">
        <v>12</v>
      </c>
      <c r="H21" s="116"/>
      <c r="I21" s="114"/>
      <c r="J21" s="114"/>
      <c r="K21" s="116"/>
      <c r="L21" s="114"/>
      <c r="M21" s="116"/>
      <c r="N21" s="116"/>
      <c r="O21" s="116"/>
      <c r="P21" s="116"/>
      <c r="Q21" s="114" t="s">
        <v>1032</v>
      </c>
      <c r="R21" s="114"/>
      <c r="S21" s="114" t="s">
        <v>674</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1" t="str">
        <f t="shared" si="0"/>
        <v>Hemet's Elekk Gun</v>
      </c>
    </row>
    <row r="22" spans="1:25">
      <c r="A22" s="10" t="s">
        <v>858</v>
      </c>
      <c r="B22" s="129">
        <v>32253</v>
      </c>
      <c r="C22" s="129">
        <v>3</v>
      </c>
      <c r="D22" s="114"/>
      <c r="E22" s="114">
        <v>21</v>
      </c>
      <c r="F22" s="114"/>
      <c r="G22" s="116"/>
      <c r="H22" s="116"/>
      <c r="I22" s="114"/>
      <c r="J22" s="114"/>
      <c r="K22" s="116"/>
      <c r="L22" s="114">
        <v>30</v>
      </c>
      <c r="M22" s="116"/>
      <c r="N22" s="116"/>
      <c r="O22" s="116"/>
      <c r="P22" s="116"/>
      <c r="Q22" s="114" t="s">
        <v>1032</v>
      </c>
      <c r="R22" s="114"/>
      <c r="S22" s="114" t="s">
        <v>682</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1" t="str">
        <f t="shared" si="0"/>
        <v>Legionkiller</v>
      </c>
    </row>
    <row r="23" spans="1:25">
      <c r="A23" s="130" t="s">
        <v>2417</v>
      </c>
      <c r="B23" s="129">
        <v>31072</v>
      </c>
      <c r="C23" s="129">
        <v>1</v>
      </c>
      <c r="D23" s="114"/>
      <c r="E23" s="114">
        <v>12</v>
      </c>
      <c r="F23" s="114">
        <v>26</v>
      </c>
      <c r="G23" s="116"/>
      <c r="H23" s="116"/>
      <c r="I23" s="114"/>
      <c r="J23" s="114"/>
      <c r="K23" s="116"/>
      <c r="L23" s="114"/>
      <c r="M23" s="116"/>
      <c r="N23" s="116"/>
      <c r="O23" s="116"/>
      <c r="P23" s="116"/>
      <c r="Q23" s="114" t="s">
        <v>1032</v>
      </c>
      <c r="R23" s="114"/>
      <c r="S23" s="114" t="s">
        <v>674</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1" t="str">
        <f t="shared" si="0"/>
        <v>Lohn'goron, Bow of the Torn-heart</v>
      </c>
    </row>
    <row r="24" spans="1:25">
      <c r="A24" s="10" t="s">
        <v>1931</v>
      </c>
      <c r="B24" s="129">
        <v>30279</v>
      </c>
      <c r="C24" s="129">
        <v>1</v>
      </c>
      <c r="D24" s="114"/>
      <c r="E24" s="114">
        <v>10</v>
      </c>
      <c r="F24" s="114">
        <v>32</v>
      </c>
      <c r="G24" s="116">
        <v>6</v>
      </c>
      <c r="H24" s="116"/>
      <c r="I24" s="114"/>
      <c r="J24" s="114"/>
      <c r="K24" s="114"/>
      <c r="L24" s="114"/>
      <c r="M24" s="116"/>
      <c r="N24" s="116"/>
      <c r="O24" s="114"/>
      <c r="P24" s="114"/>
      <c r="Q24" s="114" t="s">
        <v>1032</v>
      </c>
      <c r="R24" s="114"/>
      <c r="S24" s="114" t="s">
        <v>674</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1" t="str">
        <f t="shared" si="0"/>
        <v>Mama's Insurance</v>
      </c>
    </row>
    <row r="25" spans="1:25">
      <c r="A25" s="130" t="s">
        <v>2834</v>
      </c>
      <c r="B25" s="129">
        <v>30227</v>
      </c>
      <c r="C25" s="129">
        <v>1</v>
      </c>
      <c r="D25" s="114"/>
      <c r="E25" s="114">
        <v>7</v>
      </c>
      <c r="F25" s="114">
        <v>14</v>
      </c>
      <c r="G25" s="116"/>
      <c r="H25" s="116">
        <v>7</v>
      </c>
      <c r="I25" s="114"/>
      <c r="J25" s="114"/>
      <c r="K25" s="114"/>
      <c r="L25" s="114">
        <v>10</v>
      </c>
      <c r="M25" s="116"/>
      <c r="N25" s="116"/>
      <c r="O25" s="114"/>
      <c r="P25" s="114"/>
      <c r="Q25" s="114" t="s">
        <v>1032</v>
      </c>
      <c r="R25" s="114"/>
      <c r="S25" s="114" t="s">
        <v>674</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1" t="str">
        <f t="shared" si="0"/>
        <v>Mark V's Throwing Star</v>
      </c>
    </row>
    <row r="26" spans="1:25">
      <c r="A26" s="10" t="s">
        <v>1932</v>
      </c>
      <c r="B26" s="129">
        <v>29152</v>
      </c>
      <c r="C26" s="129">
        <v>1</v>
      </c>
      <c r="D26" s="114"/>
      <c r="E26" s="114">
        <v>12</v>
      </c>
      <c r="F26" s="114">
        <v>22</v>
      </c>
      <c r="G26" s="116"/>
      <c r="H26" s="116">
        <v>11</v>
      </c>
      <c r="I26" s="114"/>
      <c r="J26" s="114"/>
      <c r="K26" s="114"/>
      <c r="L26" s="114"/>
      <c r="M26" s="116"/>
      <c r="N26" s="116"/>
      <c r="O26" s="114"/>
      <c r="P26" s="114"/>
      <c r="Q26" s="114" t="s">
        <v>1032</v>
      </c>
      <c r="R26" s="114"/>
      <c r="S26" s="114" t="s">
        <v>675</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1" t="str">
        <f t="shared" si="0"/>
        <v>Marksman's Bow</v>
      </c>
    </row>
    <row r="27" spans="1:25">
      <c r="A27" s="10" t="s">
        <v>1146</v>
      </c>
      <c r="B27" s="129">
        <v>32054</v>
      </c>
      <c r="C27" s="129">
        <v>2</v>
      </c>
      <c r="D27" s="114"/>
      <c r="E27" s="114"/>
      <c r="F27" s="114">
        <v>28</v>
      </c>
      <c r="G27" s="116">
        <v>16</v>
      </c>
      <c r="H27" s="116"/>
      <c r="I27" s="114"/>
      <c r="J27" s="114"/>
      <c r="K27" s="114"/>
      <c r="L27" s="114">
        <v>21</v>
      </c>
      <c r="M27" s="116"/>
      <c r="N27" s="116">
        <v>12</v>
      </c>
      <c r="O27" s="114"/>
      <c r="P27" s="114"/>
      <c r="Q27" s="114" t="s">
        <v>1032</v>
      </c>
      <c r="R27" s="114"/>
      <c r="S27" s="114" t="s">
        <v>676</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1" t="str">
        <f t="shared" si="0"/>
        <v>Merciless Gladiator's War Edge</v>
      </c>
    </row>
    <row r="28" spans="1:25">
      <c r="A28" s="10" t="s">
        <v>2418</v>
      </c>
      <c r="B28" s="129">
        <v>27631</v>
      </c>
      <c r="C28" s="129">
        <v>1</v>
      </c>
      <c r="D28" s="114"/>
      <c r="E28" s="114"/>
      <c r="F28" s="114">
        <v>24</v>
      </c>
      <c r="G28" s="116"/>
      <c r="H28" s="116">
        <v>11</v>
      </c>
      <c r="I28" s="114"/>
      <c r="J28" s="114"/>
      <c r="K28" s="116"/>
      <c r="L28" s="114"/>
      <c r="M28" s="116"/>
      <c r="N28" s="116"/>
      <c r="O28" s="116"/>
      <c r="P28" s="116"/>
      <c r="Q28" s="114" t="s">
        <v>1032</v>
      </c>
      <c r="R28" s="114"/>
      <c r="S28" s="114" t="s">
        <v>672</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1" t="str">
        <f t="shared" si="0"/>
        <v>Needle Shrike</v>
      </c>
    </row>
    <row r="29" spans="1:25">
      <c r="A29" s="10" t="s">
        <v>2403</v>
      </c>
      <c r="B29" s="129">
        <v>22812</v>
      </c>
      <c r="C29" s="129">
        <v>1</v>
      </c>
      <c r="D29" s="114"/>
      <c r="E29" s="114"/>
      <c r="F29" s="114">
        <v>24</v>
      </c>
      <c r="G29" s="116">
        <v>14</v>
      </c>
      <c r="H29" s="116"/>
      <c r="I29" s="114"/>
      <c r="J29" s="114"/>
      <c r="K29" s="114"/>
      <c r="L29" s="114"/>
      <c r="M29" s="116"/>
      <c r="N29" s="116"/>
      <c r="O29" s="114"/>
      <c r="P29" s="114"/>
      <c r="Q29" s="114" t="s">
        <v>1032</v>
      </c>
      <c r="R29" s="114"/>
      <c r="S29" s="114" t="s">
        <v>667</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1" t="str">
        <f t="shared" si="0"/>
        <v>Nerubian Slavemaker</v>
      </c>
    </row>
    <row r="30" spans="1:25">
      <c r="A30" s="10" t="s">
        <v>1027</v>
      </c>
      <c r="B30" s="129">
        <v>34783</v>
      </c>
      <c r="C30" s="129">
        <v>5</v>
      </c>
      <c r="D30" s="114"/>
      <c r="E30" s="114"/>
      <c r="F30" s="114"/>
      <c r="G30" s="116"/>
      <c r="H30" s="116">
        <v>10</v>
      </c>
      <c r="I30" s="114"/>
      <c r="J30" s="114"/>
      <c r="K30" s="114">
        <v>10</v>
      </c>
      <c r="L30" s="114">
        <v>16</v>
      </c>
      <c r="M30" s="116"/>
      <c r="N30" s="116"/>
      <c r="O30" s="114"/>
      <c r="P30" s="114"/>
      <c r="Q30" s="114" t="s">
        <v>1032</v>
      </c>
      <c r="R30" s="114"/>
      <c r="S30" s="114" t="s">
        <v>672</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1" t="str">
        <f t="shared" si="0"/>
        <v>Nightstrike</v>
      </c>
    </row>
    <row r="31" spans="1:25">
      <c r="A31" s="10" t="s">
        <v>1147</v>
      </c>
      <c r="B31" s="129">
        <v>23748</v>
      </c>
      <c r="C31" s="129">
        <v>1</v>
      </c>
      <c r="D31" s="114"/>
      <c r="E31" s="114">
        <v>14</v>
      </c>
      <c r="F31" s="114"/>
      <c r="G31" s="116"/>
      <c r="H31" s="116">
        <v>13</v>
      </c>
      <c r="I31" s="114"/>
      <c r="J31" s="114"/>
      <c r="K31" s="114"/>
      <c r="L31" s="114"/>
      <c r="M31" s="116"/>
      <c r="N31" s="116"/>
      <c r="O31" s="114"/>
      <c r="P31" s="114"/>
      <c r="Q31" s="114" t="s">
        <v>1032</v>
      </c>
      <c r="R31" s="114"/>
      <c r="S31" s="114" t="s">
        <v>684</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1" t="str">
        <f t="shared" si="0"/>
        <v>Ornate Khorium Rifle</v>
      </c>
    </row>
    <row r="32" spans="1:25">
      <c r="A32" s="10" t="s">
        <v>691</v>
      </c>
      <c r="B32" s="129">
        <v>30105</v>
      </c>
      <c r="C32" s="129">
        <v>2</v>
      </c>
      <c r="D32" s="114"/>
      <c r="E32" s="114"/>
      <c r="F32" s="114">
        <v>38</v>
      </c>
      <c r="G32" s="116">
        <v>16</v>
      </c>
      <c r="H32" s="116"/>
      <c r="I32" s="114"/>
      <c r="J32" s="114"/>
      <c r="K32" s="114"/>
      <c r="L32" s="114">
        <v>17</v>
      </c>
      <c r="M32" s="116"/>
      <c r="N32" s="116"/>
      <c r="O32" s="114"/>
      <c r="P32" s="114"/>
      <c r="Q32" s="114" t="s">
        <v>1032</v>
      </c>
      <c r="R32" s="114"/>
      <c r="S32" s="114" t="s">
        <v>666</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1" t="str">
        <f t="shared" si="0"/>
        <v>Serpent Spine Longbow</v>
      </c>
    </row>
    <row r="33" spans="1:25">
      <c r="A33" s="10" t="s">
        <v>1148</v>
      </c>
      <c r="B33" s="129">
        <v>30025</v>
      </c>
      <c r="C33" s="129">
        <v>2</v>
      </c>
      <c r="D33" s="114"/>
      <c r="E33" s="114"/>
      <c r="F33" s="114"/>
      <c r="G33" s="116">
        <v>20</v>
      </c>
      <c r="H33" s="116">
        <v>12</v>
      </c>
      <c r="I33" s="114"/>
      <c r="J33" s="114"/>
      <c r="K33" s="114"/>
      <c r="L33" s="114">
        <v>14</v>
      </c>
      <c r="M33" s="116"/>
      <c r="N33" s="116"/>
      <c r="O33" s="114"/>
      <c r="P33" s="114"/>
      <c r="Q33" s="114" t="s">
        <v>1032</v>
      </c>
      <c r="R33" s="114"/>
      <c r="S33" s="114" t="s">
        <v>666</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1" t="str">
        <f t="shared" si="0"/>
        <v>Serpentshrine Shuriken</v>
      </c>
    </row>
    <row r="34" spans="1:25">
      <c r="A34" s="10" t="s">
        <v>1149</v>
      </c>
      <c r="B34" s="129">
        <v>27916</v>
      </c>
      <c r="C34" s="129">
        <v>1</v>
      </c>
      <c r="D34" s="114"/>
      <c r="E34" s="114">
        <v>15</v>
      </c>
      <c r="F34" s="114">
        <v>22</v>
      </c>
      <c r="G34" s="116"/>
      <c r="H34" s="116"/>
      <c r="I34" s="114"/>
      <c r="J34" s="114"/>
      <c r="K34" s="114"/>
      <c r="L34" s="114"/>
      <c r="M34" s="116"/>
      <c r="N34" s="116"/>
      <c r="O34" s="114"/>
      <c r="P34" s="114"/>
      <c r="Q34" s="114" t="s">
        <v>1032</v>
      </c>
      <c r="R34" s="114"/>
      <c r="S34" s="114" t="s">
        <v>672</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1" t="str">
        <f t="shared" si="0"/>
        <v>Sethekk Feather-Darts</v>
      </c>
    </row>
    <row r="35" spans="1:25">
      <c r="A35" s="10" t="s">
        <v>1150</v>
      </c>
      <c r="B35" s="129">
        <v>28826</v>
      </c>
      <c r="C35" s="129">
        <v>1</v>
      </c>
      <c r="D35" s="114"/>
      <c r="E35" s="114"/>
      <c r="F35" s="114">
        <v>42</v>
      </c>
      <c r="G35" s="116"/>
      <c r="H35" s="116"/>
      <c r="I35" s="114"/>
      <c r="J35" s="114"/>
      <c r="K35" s="114"/>
      <c r="L35" s="114">
        <v>19</v>
      </c>
      <c r="M35" s="116"/>
      <c r="N35" s="116"/>
      <c r="O35" s="114"/>
      <c r="P35" s="114"/>
      <c r="Q35" s="114" t="s">
        <v>1032</v>
      </c>
      <c r="R35" s="114"/>
      <c r="S35" s="114" t="s">
        <v>677</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1" t="str">
        <f t="shared" si="0"/>
        <v>Shuriken of Negation</v>
      </c>
    </row>
    <row r="36" spans="1:25">
      <c r="A36" s="10" t="s">
        <v>550</v>
      </c>
      <c r="B36" s="129">
        <v>27526</v>
      </c>
      <c r="C36" s="129">
        <v>1</v>
      </c>
      <c r="D36" s="114"/>
      <c r="E36" s="114"/>
      <c r="F36" s="114">
        <v>26</v>
      </c>
      <c r="G36" s="116"/>
      <c r="H36" s="116">
        <v>14</v>
      </c>
      <c r="I36" s="114"/>
      <c r="J36" s="114"/>
      <c r="K36" s="114"/>
      <c r="L36" s="114"/>
      <c r="M36" s="116"/>
      <c r="N36" s="116"/>
      <c r="O36" s="114"/>
      <c r="P36" s="114"/>
      <c r="Q36" s="114" t="s">
        <v>1032</v>
      </c>
      <c r="R36" s="114"/>
      <c r="S36" s="114" t="s">
        <v>672</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1"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1032</v>
      </c>
      <c r="R37" s="114"/>
      <c r="S37" s="129" t="s">
        <v>673</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1" t="str">
        <f t="shared" si="0"/>
        <v>Spinesever</v>
      </c>
    </row>
    <row r="38" spans="1:25">
      <c r="A38" s="10" t="s">
        <v>551</v>
      </c>
      <c r="B38" s="129">
        <v>28504</v>
      </c>
      <c r="C38" s="129">
        <v>1</v>
      </c>
      <c r="D38" s="114"/>
      <c r="E38" s="114"/>
      <c r="F38" s="114">
        <v>30</v>
      </c>
      <c r="G38" s="116"/>
      <c r="H38" s="116">
        <v>16</v>
      </c>
      <c r="I38" s="114"/>
      <c r="J38" s="114"/>
      <c r="K38" s="114"/>
      <c r="L38" s="114"/>
      <c r="M38" s="116"/>
      <c r="N38" s="116"/>
      <c r="O38" s="114"/>
      <c r="P38" s="114"/>
      <c r="Q38" s="114" t="s">
        <v>1032</v>
      </c>
      <c r="R38" s="114"/>
      <c r="S38" s="114" t="s">
        <v>671</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1" t="str">
        <f t="shared" si="0"/>
        <v>Steelhawk Crossbow</v>
      </c>
    </row>
    <row r="39" spans="1:25">
      <c r="A39" s="10" t="s">
        <v>2402</v>
      </c>
      <c r="B39" s="129">
        <v>17069</v>
      </c>
      <c r="C39" s="129">
        <v>1</v>
      </c>
      <c r="D39" s="114"/>
      <c r="E39" s="114"/>
      <c r="F39" s="114">
        <v>22</v>
      </c>
      <c r="G39" s="116"/>
      <c r="H39" s="116">
        <v>10</v>
      </c>
      <c r="I39" s="114"/>
      <c r="J39" s="114"/>
      <c r="K39" s="114"/>
      <c r="L39" s="114"/>
      <c r="M39" s="116"/>
      <c r="N39" s="116"/>
      <c r="O39" s="114"/>
      <c r="P39" s="114"/>
      <c r="Q39" s="114" t="s">
        <v>1032</v>
      </c>
      <c r="R39" s="114"/>
      <c r="S39" s="114" t="s">
        <v>667</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1" t="str">
        <f t="shared" si="0"/>
        <v>Striker's Mark</v>
      </c>
    </row>
    <row r="40" spans="1:25">
      <c r="A40" s="10" t="s">
        <v>552</v>
      </c>
      <c r="B40" s="129">
        <v>28772</v>
      </c>
      <c r="C40" s="129">
        <v>1</v>
      </c>
      <c r="D40" s="114"/>
      <c r="E40" s="114">
        <v>19</v>
      </c>
      <c r="F40" s="114">
        <v>34</v>
      </c>
      <c r="G40" s="116"/>
      <c r="H40" s="116"/>
      <c r="I40" s="114"/>
      <c r="J40" s="114"/>
      <c r="K40" s="116"/>
      <c r="L40" s="114"/>
      <c r="M40" s="116"/>
      <c r="N40" s="116"/>
      <c r="O40" s="114"/>
      <c r="P40" s="114"/>
      <c r="Q40" s="114" t="s">
        <v>1032</v>
      </c>
      <c r="R40" s="114"/>
      <c r="S40" s="114" t="s">
        <v>671</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1" t="str">
        <f t="shared" si="0"/>
        <v>Sunfury Bow of the Phoenix</v>
      </c>
    </row>
    <row r="41" spans="1:25">
      <c r="A41" s="10" t="s">
        <v>2065</v>
      </c>
      <c r="B41" s="114">
        <v>28286</v>
      </c>
      <c r="C41" s="114">
        <v>1</v>
      </c>
      <c r="D41" s="114"/>
      <c r="E41" s="114">
        <v>13</v>
      </c>
      <c r="F41" s="114">
        <v>28</v>
      </c>
      <c r="G41" s="116"/>
      <c r="H41" s="116"/>
      <c r="I41" s="114"/>
      <c r="J41" s="114"/>
      <c r="K41" s="116"/>
      <c r="L41" s="114"/>
      <c r="M41" s="116"/>
      <c r="N41" s="116"/>
      <c r="O41" s="114"/>
      <c r="P41" s="114"/>
      <c r="Q41" s="114" t="s">
        <v>1032</v>
      </c>
      <c r="R41" s="114"/>
      <c r="S41" s="114" t="s">
        <v>672</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1" t="str">
        <f t="shared" si="0"/>
        <v>Telescopic Sharprifle</v>
      </c>
    </row>
    <row r="42" spans="1:25">
      <c r="A42" s="10" t="s">
        <v>983</v>
      </c>
      <c r="B42" s="114">
        <v>34334</v>
      </c>
      <c r="C42" s="114">
        <v>5</v>
      </c>
      <c r="D42" s="114"/>
      <c r="E42" s="114">
        <v>17</v>
      </c>
      <c r="F42" s="114">
        <v>34</v>
      </c>
      <c r="G42" s="116">
        <v>16</v>
      </c>
      <c r="H42" s="116"/>
      <c r="I42" s="114"/>
      <c r="J42" s="114">
        <v>112</v>
      </c>
      <c r="K42" s="116"/>
      <c r="L42" s="114"/>
      <c r="M42" s="116"/>
      <c r="N42" s="116"/>
      <c r="O42" s="114"/>
      <c r="P42" s="114"/>
      <c r="Q42" s="114" t="s">
        <v>1032</v>
      </c>
      <c r="R42" s="114"/>
      <c r="S42" s="114" t="s">
        <v>870</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1" t="str">
        <f t="shared" si="0"/>
        <v>Thori'dal, the Stars' Fury</v>
      </c>
    </row>
    <row r="43" spans="1:25">
      <c r="A43" s="10" t="s">
        <v>1434</v>
      </c>
      <c r="B43" s="114">
        <v>33491</v>
      </c>
      <c r="C43" s="114">
        <v>4</v>
      </c>
      <c r="D43" s="114"/>
      <c r="E43" s="114"/>
      <c r="F43" s="114">
        <v>38</v>
      </c>
      <c r="G43" s="116"/>
      <c r="H43" s="116"/>
      <c r="I43" s="114">
        <v>18</v>
      </c>
      <c r="J43" s="114"/>
      <c r="K43" s="114"/>
      <c r="L43" s="114"/>
      <c r="M43" s="116"/>
      <c r="N43" s="116"/>
      <c r="O43" s="114"/>
      <c r="P43" s="114"/>
      <c r="Q43" s="114" t="s">
        <v>1032</v>
      </c>
      <c r="R43" s="114"/>
      <c r="S43" s="114" t="s">
        <v>663</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1" t="str">
        <f t="shared" si="0"/>
        <v>Tuskbreaker</v>
      </c>
    </row>
    <row r="44" spans="1:25">
      <c r="A44" s="10" t="s">
        <v>2066</v>
      </c>
      <c r="B44" s="114">
        <v>32326</v>
      </c>
      <c r="C44" s="114">
        <v>3</v>
      </c>
      <c r="D44" s="114"/>
      <c r="E44" s="114">
        <v>23</v>
      </c>
      <c r="F44" s="114"/>
      <c r="G44" s="116">
        <v>16</v>
      </c>
      <c r="H44" s="116"/>
      <c r="I44" s="114"/>
      <c r="J44" s="114"/>
      <c r="K44" s="116"/>
      <c r="L44" s="114"/>
      <c r="M44" s="116"/>
      <c r="N44" s="116"/>
      <c r="O44" s="114"/>
      <c r="P44" s="114"/>
      <c r="Q44" s="114" t="s">
        <v>1032</v>
      </c>
      <c r="R44" s="114"/>
      <c r="S44" s="114" t="s">
        <v>682</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1" t="str">
        <f t="shared" si="0"/>
        <v>Twisted Blades of Zarak</v>
      </c>
    </row>
    <row r="45" spans="1:25">
      <c r="A45" s="10" t="s">
        <v>546</v>
      </c>
      <c r="B45" s="114">
        <v>33765</v>
      </c>
      <c r="C45" s="114">
        <v>3</v>
      </c>
      <c r="D45" s="114"/>
      <c r="E45" s="114"/>
      <c r="F45" s="114">
        <v>30</v>
      </c>
      <c r="G45" s="116">
        <v>17</v>
      </c>
      <c r="H45" s="116"/>
      <c r="I45" s="114"/>
      <c r="J45" s="114"/>
      <c r="K45" s="114"/>
      <c r="L45" s="114">
        <v>24</v>
      </c>
      <c r="M45" s="116"/>
      <c r="N45" s="116">
        <v>12</v>
      </c>
      <c r="O45" s="114"/>
      <c r="P45" s="114"/>
      <c r="Q45" s="114" t="s">
        <v>1032</v>
      </c>
      <c r="R45" s="114"/>
      <c r="S45" s="114" t="s">
        <v>676</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1" t="str">
        <f t="shared" si="0"/>
        <v>Vengeful Gladiator's War Edge</v>
      </c>
    </row>
    <row r="46" spans="1:25">
      <c r="A46" s="10" t="s">
        <v>2067</v>
      </c>
      <c r="B46" s="114">
        <v>29151</v>
      </c>
      <c r="C46" s="114">
        <v>1</v>
      </c>
      <c r="D46" s="114"/>
      <c r="E46" s="114">
        <v>12</v>
      </c>
      <c r="F46" s="114">
        <v>22</v>
      </c>
      <c r="G46" s="116"/>
      <c r="H46" s="116">
        <v>11</v>
      </c>
      <c r="I46" s="114"/>
      <c r="J46" s="114"/>
      <c r="K46" s="116"/>
      <c r="L46" s="114"/>
      <c r="M46" s="116"/>
      <c r="N46" s="116"/>
      <c r="O46" s="114"/>
      <c r="P46" s="114"/>
      <c r="Q46" s="114" t="s">
        <v>1032</v>
      </c>
      <c r="R46" s="114"/>
      <c r="S46" s="114" t="s">
        <v>675</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1" t="str">
        <f t="shared" si="0"/>
        <v>Veteran's Musket</v>
      </c>
    </row>
    <row r="47" spans="1:25">
      <c r="A47" s="10" t="s">
        <v>2223</v>
      </c>
      <c r="B47" s="114">
        <v>28581</v>
      </c>
      <c r="C47" s="114">
        <v>1</v>
      </c>
      <c r="D47" s="114"/>
      <c r="E47" s="114">
        <v>15</v>
      </c>
      <c r="F47" s="114">
        <v>32</v>
      </c>
      <c r="G47" s="116"/>
      <c r="H47" s="116"/>
      <c r="I47" s="114"/>
      <c r="J47" s="114"/>
      <c r="K47" s="116"/>
      <c r="L47" s="114"/>
      <c r="M47" s="116"/>
      <c r="N47" s="116"/>
      <c r="O47" s="114"/>
      <c r="P47" s="114"/>
      <c r="Q47" s="114" t="s">
        <v>1032</v>
      </c>
      <c r="R47" s="114"/>
      <c r="S47" s="114" t="s">
        <v>671</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1" t="str">
        <f t="shared" si="0"/>
        <v>Wolfslayer Sniper Rifle</v>
      </c>
    </row>
    <row r="48" spans="1:25">
      <c r="A48" s="10" t="s">
        <v>2419</v>
      </c>
      <c r="B48" s="114">
        <v>27898</v>
      </c>
      <c r="C48" s="114">
        <v>1</v>
      </c>
      <c r="D48" s="114"/>
      <c r="E48" s="114"/>
      <c r="F48" s="114">
        <v>30</v>
      </c>
      <c r="G48" s="116">
        <v>10</v>
      </c>
      <c r="H48" s="116"/>
      <c r="I48" s="114"/>
      <c r="J48" s="114"/>
      <c r="K48" s="116"/>
      <c r="L48" s="114"/>
      <c r="M48" s="116"/>
      <c r="N48" s="116"/>
      <c r="O48" s="114"/>
      <c r="P48" s="114"/>
      <c r="Q48" s="114" t="s">
        <v>1032</v>
      </c>
      <c r="R48" s="114"/>
      <c r="S48" s="114" t="s">
        <v>672</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1" t="str">
        <f t="shared" si="0"/>
        <v>Wrathfire Hand-Cannon</v>
      </c>
    </row>
    <row r="49" spans="1:25">
      <c r="A49" s="10" t="s">
        <v>2224</v>
      </c>
      <c r="B49" s="114">
        <v>29351</v>
      </c>
      <c r="C49" s="114">
        <v>1</v>
      </c>
      <c r="D49" s="114"/>
      <c r="E49" s="114">
        <v>14</v>
      </c>
      <c r="F49" s="114">
        <v>28</v>
      </c>
      <c r="G49" s="116"/>
      <c r="H49" s="116"/>
      <c r="I49" s="114"/>
      <c r="J49" s="114"/>
      <c r="K49" s="114"/>
      <c r="L49" s="114"/>
      <c r="M49" s="116"/>
      <c r="N49" s="116"/>
      <c r="O49" s="114"/>
      <c r="P49" s="114"/>
      <c r="Q49" s="114" t="s">
        <v>1032</v>
      </c>
      <c r="R49" s="114"/>
      <c r="S49" s="114" t="s">
        <v>690</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1" t="str">
        <f t="shared" si="0"/>
        <v>Wrathtide Longbow</v>
      </c>
    </row>
    <row r="50" spans="1:25">
      <c r="A50" s="10" t="s">
        <v>2225</v>
      </c>
      <c r="B50" s="114">
        <v>28659</v>
      </c>
      <c r="C50" s="114">
        <v>1</v>
      </c>
      <c r="D50" s="114"/>
      <c r="E50" s="114"/>
      <c r="F50" s="114"/>
      <c r="G50" s="116">
        <v>20</v>
      </c>
      <c r="H50" s="116">
        <v>12</v>
      </c>
      <c r="I50" s="114"/>
      <c r="J50" s="114"/>
      <c r="K50" s="114"/>
      <c r="L50" s="114"/>
      <c r="M50" s="116"/>
      <c r="N50" s="116"/>
      <c r="O50" s="114"/>
      <c r="P50" s="114"/>
      <c r="Q50" s="114" t="s">
        <v>1032</v>
      </c>
      <c r="R50" s="114"/>
      <c r="S50" s="114" t="s">
        <v>671</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1"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2206</v>
      </c>
      <c r="B52" s="10"/>
      <c r="C52" s="10"/>
      <c r="D52" s="114"/>
      <c r="E52" s="114"/>
      <c r="F52" s="114"/>
      <c r="G52" s="116"/>
      <c r="H52" s="116"/>
      <c r="I52" s="114"/>
      <c r="J52" s="114"/>
      <c r="K52" s="116"/>
      <c r="L52" s="114"/>
      <c r="M52" s="116"/>
      <c r="N52" s="116"/>
      <c r="O52" s="116"/>
      <c r="P52" s="116"/>
      <c r="Q52" s="114" t="s">
        <v>1032</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topLeftCell="C280" workbookViewId="0">
      <selection activeCell="Z327" sqref="Z32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1933</v>
      </c>
      <c r="C1" s="819" t="s">
        <v>2795</v>
      </c>
      <c r="D1" s="819" t="s">
        <v>1213</v>
      </c>
      <c r="E1" s="819" t="s">
        <v>1214</v>
      </c>
      <c r="F1" s="819" t="s">
        <v>767</v>
      </c>
      <c r="G1" s="820" t="s">
        <v>2139</v>
      </c>
      <c r="H1" s="820" t="s">
        <v>2138</v>
      </c>
      <c r="I1" s="821" t="s">
        <v>770</v>
      </c>
      <c r="J1" s="822" t="s">
        <v>1738</v>
      </c>
      <c r="K1" s="820" t="s">
        <v>759</v>
      </c>
      <c r="L1" s="819" t="s">
        <v>1215</v>
      </c>
      <c r="M1" s="820" t="s">
        <v>264</v>
      </c>
      <c r="N1" s="820" t="s">
        <v>1216</v>
      </c>
      <c r="O1" s="820" t="s">
        <v>1286</v>
      </c>
      <c r="P1" s="819" t="s">
        <v>1220</v>
      </c>
      <c r="Q1" s="823" t="s">
        <v>1031</v>
      </c>
      <c r="R1" s="823" t="s">
        <v>1940</v>
      </c>
      <c r="S1" s="819" t="s">
        <v>665</v>
      </c>
      <c r="T1" s="824" t="s">
        <v>1221</v>
      </c>
      <c r="U1" s="820" t="s">
        <v>1222</v>
      </c>
      <c r="V1" s="824" t="s">
        <v>1704</v>
      </c>
      <c r="W1" s="824" t="s">
        <v>146</v>
      </c>
      <c r="X1" s="819" t="s">
        <v>1537</v>
      </c>
      <c r="Y1" s="819" t="s">
        <v>1224</v>
      </c>
      <c r="Z1" s="819" t="s">
        <v>563</v>
      </c>
      <c r="AA1" s="819" t="s">
        <v>564</v>
      </c>
      <c r="AB1" s="819" t="s">
        <v>565</v>
      </c>
      <c r="AC1" s="825" t="s">
        <v>566</v>
      </c>
      <c r="AD1" s="824"/>
      <c r="AE1" s="826">
        <v>0</v>
      </c>
      <c r="AF1" s="871">
        <v>0</v>
      </c>
      <c r="AG1" s="871"/>
    </row>
    <row r="2" spans="1:48" ht="12" thickBot="1">
      <c r="A2" s="827" t="s">
        <v>2056</v>
      </c>
      <c r="B2" s="828"/>
      <c r="C2" s="828"/>
      <c r="D2" s="743"/>
      <c r="E2" s="743"/>
      <c r="F2" s="743"/>
      <c r="G2" s="743"/>
      <c r="H2" s="743"/>
      <c r="I2" s="829"/>
      <c r="J2" s="743"/>
      <c r="K2" s="828"/>
      <c r="L2" s="743"/>
      <c r="M2" s="828"/>
      <c r="N2" s="743"/>
      <c r="O2" s="828"/>
      <c r="P2" s="743"/>
      <c r="Q2" s="743" t="s">
        <v>1032</v>
      </c>
      <c r="R2" s="743"/>
      <c r="S2" s="743"/>
      <c r="T2" s="830"/>
      <c r="U2" s="828"/>
      <c r="V2" s="830"/>
      <c r="W2" s="830"/>
      <c r="X2" s="743"/>
      <c r="Y2" s="743"/>
      <c r="Z2" s="743"/>
      <c r="AA2" s="743"/>
      <c r="AB2" s="743"/>
      <c r="AC2" s="831"/>
      <c r="AD2" s="830"/>
      <c r="AE2" s="743">
        <v>1</v>
      </c>
      <c r="AF2" s="114">
        <f>MAX(AF$1:AF1)+1</f>
        <v>1</v>
      </c>
      <c r="AG2" s="114"/>
      <c r="AH2" s="1389"/>
      <c r="AK2" s="48"/>
      <c r="AL2" s="137" t="s">
        <v>1691</v>
      </c>
    </row>
    <row r="3" spans="1:48">
      <c r="A3" s="10" t="s">
        <v>2841</v>
      </c>
      <c r="B3" s="114">
        <v>30999</v>
      </c>
      <c r="C3" s="114">
        <v>1</v>
      </c>
      <c r="D3" s="114"/>
      <c r="E3" s="114">
        <v>11</v>
      </c>
      <c r="F3" s="114">
        <v>40</v>
      </c>
      <c r="G3" s="115"/>
      <c r="H3" s="115"/>
      <c r="I3" s="115"/>
      <c r="J3" s="114"/>
      <c r="K3" s="116"/>
      <c r="L3" s="114">
        <v>10</v>
      </c>
      <c r="M3" s="116"/>
      <c r="N3" s="114"/>
      <c r="O3" s="116"/>
      <c r="P3" s="114"/>
      <c r="Q3" s="114" t="s">
        <v>1032</v>
      </c>
      <c r="R3" s="114"/>
      <c r="S3" s="114" t="s">
        <v>674</v>
      </c>
      <c r="T3" s="114">
        <v>65</v>
      </c>
      <c r="U3" s="116">
        <v>122</v>
      </c>
      <c r="V3" s="155">
        <f>(U3+T3)/2</f>
        <v>93.5</v>
      </c>
      <c r="W3" s="155">
        <v>1.4</v>
      </c>
      <c r="X3" s="124">
        <f>V3/W3</f>
        <v>66.785714285714292</v>
      </c>
      <c r="Y3" s="114" t="s">
        <v>2268</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89"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1032</v>
      </c>
      <c r="R4" s="114"/>
      <c r="S4" s="114" t="s">
        <v>690</v>
      </c>
      <c r="T4" s="114">
        <v>130</v>
      </c>
      <c r="U4" s="116">
        <v>241</v>
      </c>
      <c r="V4" s="155">
        <f>(U4+T4)/2</f>
        <v>185.5</v>
      </c>
      <c r="W4" s="155">
        <v>1.8</v>
      </c>
      <c r="X4" s="124">
        <f>V4/W4</f>
        <v>103.05555555555556</v>
      </c>
      <c r="Y4" s="114" t="s">
        <v>2268</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89"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2270</v>
      </c>
      <c r="B5" s="114">
        <v>28572</v>
      </c>
      <c r="C5" s="114">
        <v>1</v>
      </c>
      <c r="D5" s="114"/>
      <c r="E5" s="114"/>
      <c r="F5" s="114">
        <v>18</v>
      </c>
      <c r="G5" s="115">
        <v>9</v>
      </c>
      <c r="H5" s="115"/>
      <c r="I5" s="115"/>
      <c r="J5" s="114"/>
      <c r="K5" s="116"/>
      <c r="L5" s="114">
        <v>13</v>
      </c>
      <c r="M5" s="116"/>
      <c r="N5" s="114"/>
      <c r="O5" s="116"/>
      <c r="P5" s="114"/>
      <c r="Q5" s="114" t="s">
        <v>2092</v>
      </c>
      <c r="R5" s="114" t="s">
        <v>1064</v>
      </c>
      <c r="S5" s="114" t="s">
        <v>671</v>
      </c>
      <c r="T5" s="114">
        <v>112</v>
      </c>
      <c r="U5" s="116">
        <v>168</v>
      </c>
      <c r="V5" s="155">
        <f>(U5+T5)/2</f>
        <v>140</v>
      </c>
      <c r="W5" s="155">
        <v>1.6</v>
      </c>
      <c r="X5" s="124">
        <f>V5/W5</f>
        <v>87.5</v>
      </c>
      <c r="Y5" s="114" t="s">
        <v>2268</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89"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970</v>
      </c>
      <c r="B6" s="114">
        <v>34665</v>
      </c>
      <c r="C6" s="114">
        <v>5</v>
      </c>
      <c r="D6" s="114"/>
      <c r="E6" s="114">
        <v>14</v>
      </c>
      <c r="F6" s="114">
        <v>26</v>
      </c>
      <c r="G6" s="114"/>
      <c r="H6" s="114">
        <v>11</v>
      </c>
      <c r="I6" s="846"/>
      <c r="J6" s="114"/>
      <c r="K6" s="116"/>
      <c r="L6" s="114">
        <v>12</v>
      </c>
      <c r="M6" s="116"/>
      <c r="N6" s="114"/>
      <c r="O6" s="116"/>
      <c r="P6" s="114"/>
      <c r="Q6" s="114" t="s">
        <v>1032</v>
      </c>
      <c r="R6" s="114"/>
      <c r="S6" s="114" t="s">
        <v>675</v>
      </c>
      <c r="T6" s="114">
        <v>90</v>
      </c>
      <c r="U6" s="116">
        <v>168</v>
      </c>
      <c r="V6" s="155">
        <f t="shared" ref="V6:V54" si="1">(U6+T6)/2</f>
        <v>129</v>
      </c>
      <c r="W6" s="155">
        <v>1.8</v>
      </c>
      <c r="X6" s="124">
        <f t="shared" ref="X6:X54" si="2">V6/W6</f>
        <v>71.666666666666671</v>
      </c>
      <c r="Y6" s="124" t="s">
        <v>2268</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89"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2842</v>
      </c>
      <c r="B7" s="114">
        <v>31073</v>
      </c>
      <c r="C7" s="114">
        <v>1</v>
      </c>
      <c r="D7" s="114"/>
      <c r="E7" s="114">
        <v>11</v>
      </c>
      <c r="F7" s="114">
        <v>40</v>
      </c>
      <c r="G7" s="114"/>
      <c r="H7" s="114">
        <v>7</v>
      </c>
      <c r="I7" s="846"/>
      <c r="J7" s="114"/>
      <c r="K7" s="116"/>
      <c r="L7" s="114"/>
      <c r="M7" s="116"/>
      <c r="N7" s="114"/>
      <c r="O7" s="116"/>
      <c r="P7" s="114"/>
      <c r="Q7" s="114" t="s">
        <v>1032</v>
      </c>
      <c r="R7" s="114"/>
      <c r="S7" s="114" t="s">
        <v>674</v>
      </c>
      <c r="T7" s="114">
        <v>84</v>
      </c>
      <c r="U7" s="116">
        <v>157</v>
      </c>
      <c r="V7" s="155">
        <f t="shared" ref="V7" si="3">(U7+T7)/2</f>
        <v>120.5</v>
      </c>
      <c r="W7" s="155">
        <v>1.8</v>
      </c>
      <c r="X7" s="124">
        <f t="shared" ref="X7" si="4">V7/W7</f>
        <v>66.944444444444443</v>
      </c>
      <c r="Y7" s="124" t="s">
        <v>2268</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89"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2278</v>
      </c>
      <c r="B8" s="114">
        <v>30901</v>
      </c>
      <c r="C8" s="114">
        <v>3</v>
      </c>
      <c r="D8" s="114"/>
      <c r="E8" s="114"/>
      <c r="F8" s="114"/>
      <c r="G8" s="114">
        <v>24</v>
      </c>
      <c r="H8" s="114"/>
      <c r="I8" s="846"/>
      <c r="J8" s="114">
        <v>210</v>
      </c>
      <c r="K8" s="116"/>
      <c r="L8" s="114"/>
      <c r="M8" s="116"/>
      <c r="N8" s="114"/>
      <c r="O8" s="116"/>
      <c r="P8" s="114"/>
      <c r="Q8" s="114" t="s">
        <v>1032</v>
      </c>
      <c r="R8" s="114"/>
      <c r="S8" s="114" t="s">
        <v>683</v>
      </c>
      <c r="T8" s="114">
        <v>144</v>
      </c>
      <c r="U8" s="116">
        <v>217</v>
      </c>
      <c r="V8" s="155">
        <f t="shared" si="1"/>
        <v>180.5</v>
      </c>
      <c r="W8" s="155">
        <v>1.8</v>
      </c>
      <c r="X8" s="124">
        <f t="shared" si="2"/>
        <v>100.27777777777777</v>
      </c>
      <c r="Y8" s="124" t="s">
        <v>2268</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89"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1997</v>
      </c>
      <c r="B9" s="114">
        <v>35093</v>
      </c>
      <c r="C9" s="114">
        <v>5</v>
      </c>
      <c r="D9" s="114"/>
      <c r="E9" s="114"/>
      <c r="F9" s="114">
        <v>38</v>
      </c>
      <c r="G9" s="115">
        <v>22</v>
      </c>
      <c r="H9" s="115">
        <v>9</v>
      </c>
      <c r="I9" s="846"/>
      <c r="J9" s="114">
        <v>49</v>
      </c>
      <c r="K9" s="116"/>
      <c r="L9" s="114">
        <v>31</v>
      </c>
      <c r="M9" s="116"/>
      <c r="N9" s="114">
        <v>12</v>
      </c>
      <c r="O9" s="116"/>
      <c r="P9" s="114"/>
      <c r="Q9" s="114" t="s">
        <v>1032</v>
      </c>
      <c r="R9" s="114"/>
      <c r="S9" s="114" t="s">
        <v>676</v>
      </c>
      <c r="T9" s="114">
        <v>155</v>
      </c>
      <c r="U9" s="116">
        <v>233</v>
      </c>
      <c r="V9" s="155">
        <f t="shared" si="1"/>
        <v>194</v>
      </c>
      <c r="W9" s="155">
        <v>1.8</v>
      </c>
      <c r="X9" s="124">
        <f t="shared" si="2"/>
        <v>107.77777777777777</v>
      </c>
      <c r="Y9" s="114" t="s">
        <v>2268</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89"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2867</v>
      </c>
    </row>
    <row r="10" spans="1:48">
      <c r="A10" s="10" t="s">
        <v>2280</v>
      </c>
      <c r="B10" s="114">
        <v>31305</v>
      </c>
      <c r="C10" s="114">
        <v>1</v>
      </c>
      <c r="D10" s="114"/>
      <c r="E10" s="114"/>
      <c r="F10" s="114">
        <v>30</v>
      </c>
      <c r="G10" s="115">
        <v>16</v>
      </c>
      <c r="H10" s="115"/>
      <c r="I10" s="115"/>
      <c r="J10" s="114"/>
      <c r="K10" s="116"/>
      <c r="L10" s="114">
        <v>13</v>
      </c>
      <c r="M10" s="116"/>
      <c r="N10" s="114"/>
      <c r="O10" s="116"/>
      <c r="P10" s="114"/>
      <c r="Q10" s="114" t="s">
        <v>1032</v>
      </c>
      <c r="R10" s="114"/>
      <c r="S10" s="114" t="s">
        <v>673</v>
      </c>
      <c r="T10" s="114">
        <v>103</v>
      </c>
      <c r="U10" s="116">
        <v>155</v>
      </c>
      <c r="V10" s="155">
        <f t="shared" ref="V10:V11" si="5">(U10+T10)/2</f>
        <v>129</v>
      </c>
      <c r="W10" s="155">
        <v>1.8</v>
      </c>
      <c r="X10" s="124">
        <f t="shared" ref="X10:X11" si="6">V10/W10</f>
        <v>71.666666666666671</v>
      </c>
      <c r="Y10" s="114" t="s">
        <v>2268</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89"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2268</v>
      </c>
    </row>
    <row r="11" spans="1:48">
      <c r="A11" s="10" t="s">
        <v>2844</v>
      </c>
      <c r="B11" s="114">
        <v>25763</v>
      </c>
      <c r="C11" s="114">
        <v>1</v>
      </c>
      <c r="D11" s="114"/>
      <c r="E11" s="114">
        <v>13</v>
      </c>
      <c r="F11" s="114">
        <v>26</v>
      </c>
      <c r="G11" s="115"/>
      <c r="H11" s="115"/>
      <c r="I11" s="115"/>
      <c r="J11" s="114"/>
      <c r="K11" s="116"/>
      <c r="L11" s="114">
        <v>19</v>
      </c>
      <c r="M11" s="116"/>
      <c r="N11" s="114"/>
      <c r="O11" s="116"/>
      <c r="P11" s="114"/>
      <c r="Q11" s="114" t="s">
        <v>1032</v>
      </c>
      <c r="R11" s="114"/>
      <c r="S11" s="114" t="s">
        <v>674</v>
      </c>
      <c r="T11" s="114">
        <v>74</v>
      </c>
      <c r="U11" s="116">
        <v>139</v>
      </c>
      <c r="V11" s="155">
        <f t="shared" si="5"/>
        <v>106.5</v>
      </c>
      <c r="W11" s="155">
        <v>1.7</v>
      </c>
      <c r="X11" s="124">
        <f t="shared" si="6"/>
        <v>62.647058823529413</v>
      </c>
      <c r="Y11" s="114" t="s">
        <v>2268</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89"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1376</v>
      </c>
    </row>
    <row r="12" spans="1:48">
      <c r="A12" s="10" t="s">
        <v>2843</v>
      </c>
      <c r="B12" s="114">
        <v>31492</v>
      </c>
      <c r="C12" s="114">
        <v>3</v>
      </c>
      <c r="D12" s="114"/>
      <c r="E12" s="114">
        <v>15</v>
      </c>
      <c r="F12" s="114">
        <v>30</v>
      </c>
      <c r="G12" s="115">
        <v>15</v>
      </c>
      <c r="H12" s="115"/>
      <c r="I12" s="115"/>
      <c r="J12" s="114"/>
      <c r="K12" s="116">
        <v>15</v>
      </c>
      <c r="L12" s="114"/>
      <c r="M12" s="116"/>
      <c r="N12" s="114"/>
      <c r="O12" s="116"/>
      <c r="P12" s="114"/>
      <c r="Q12" s="114" t="s">
        <v>1032</v>
      </c>
      <c r="R12" s="114"/>
      <c r="S12" s="114" t="s">
        <v>674</v>
      </c>
      <c r="T12" s="114">
        <v>83</v>
      </c>
      <c r="U12" s="116">
        <v>156</v>
      </c>
      <c r="V12" s="155">
        <f t="shared" si="1"/>
        <v>119.5</v>
      </c>
      <c r="W12" s="155">
        <v>1.8</v>
      </c>
      <c r="X12" s="124">
        <f t="shared" si="2"/>
        <v>66.388888888888886</v>
      </c>
      <c r="Y12" s="114" t="s">
        <v>2268</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89"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987</v>
      </c>
      <c r="B13" s="114">
        <v>34329</v>
      </c>
      <c r="C13" s="114">
        <v>5</v>
      </c>
      <c r="D13" s="114"/>
      <c r="E13" s="114">
        <v>18</v>
      </c>
      <c r="F13" s="114">
        <v>56</v>
      </c>
      <c r="G13" s="115"/>
      <c r="H13" s="115"/>
      <c r="I13" s="115">
        <v>27</v>
      </c>
      <c r="J13" s="114"/>
      <c r="K13" s="116"/>
      <c r="L13" s="114">
        <v>15</v>
      </c>
      <c r="M13" s="116"/>
      <c r="N13" s="114"/>
      <c r="O13" s="116"/>
      <c r="P13" s="114"/>
      <c r="Q13" s="114" t="s">
        <v>1034</v>
      </c>
      <c r="R13" s="114" t="s">
        <v>1065</v>
      </c>
      <c r="S13" s="114" t="s">
        <v>870</v>
      </c>
      <c r="T13" s="114">
        <v>164</v>
      </c>
      <c r="U13" s="116">
        <v>247</v>
      </c>
      <c r="V13" s="155">
        <f t="shared" si="1"/>
        <v>205.5</v>
      </c>
      <c r="W13" s="155">
        <v>1.8</v>
      </c>
      <c r="X13" s="124">
        <f t="shared" si="2"/>
        <v>114.16666666666666</v>
      </c>
      <c r="Y13" s="114" t="s">
        <v>2268</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89"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910</v>
      </c>
      <c r="AR13" s="114"/>
    </row>
    <row r="14" spans="1:48">
      <c r="A14" s="10" t="s">
        <v>645</v>
      </c>
      <c r="B14" s="114">
        <v>32659</v>
      </c>
      <c r="C14" s="114">
        <v>3</v>
      </c>
      <c r="D14" s="114"/>
      <c r="E14" s="114">
        <v>11</v>
      </c>
      <c r="F14" s="114">
        <v>40</v>
      </c>
      <c r="G14" s="115"/>
      <c r="H14" s="115"/>
      <c r="I14" s="115"/>
      <c r="J14" s="114"/>
      <c r="K14" s="116"/>
      <c r="L14" s="114">
        <v>12</v>
      </c>
      <c r="M14" s="116"/>
      <c r="N14" s="114"/>
      <c r="O14" s="116"/>
      <c r="P14" s="114"/>
      <c r="Q14" s="114" t="s">
        <v>1032</v>
      </c>
      <c r="R14" s="114"/>
      <c r="S14" s="114" t="s">
        <v>673</v>
      </c>
      <c r="T14" s="114">
        <v>103</v>
      </c>
      <c r="U14" s="116">
        <v>155</v>
      </c>
      <c r="V14" s="155">
        <f t="shared" si="1"/>
        <v>129</v>
      </c>
      <c r="W14" s="155">
        <v>1.8</v>
      </c>
      <c r="X14" s="124">
        <f t="shared" si="2"/>
        <v>71.666666666666671</v>
      </c>
      <c r="Y14" s="114" t="s">
        <v>2268</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89"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2300</v>
      </c>
      <c r="AS14" s="114"/>
      <c r="AT14" s="114"/>
      <c r="AU14" s="114"/>
      <c r="AV14" s="114"/>
    </row>
    <row r="15" spans="1:48" s="114" customFormat="1">
      <c r="A15" s="10" t="s">
        <v>1662</v>
      </c>
      <c r="B15" s="114">
        <v>33389</v>
      </c>
      <c r="C15" s="114">
        <v>4</v>
      </c>
      <c r="E15" s="114">
        <v>21</v>
      </c>
      <c r="F15" s="114">
        <v>40</v>
      </c>
      <c r="G15" s="115"/>
      <c r="H15" s="115"/>
      <c r="I15" s="115"/>
      <c r="J15" s="114">
        <v>140</v>
      </c>
      <c r="K15" s="116"/>
      <c r="M15" s="116"/>
      <c r="O15" s="116"/>
      <c r="Q15" s="114" t="s">
        <v>1032</v>
      </c>
      <c r="S15" s="114" t="s">
        <v>663</v>
      </c>
      <c r="T15" s="114">
        <v>137</v>
      </c>
      <c r="U15" s="116">
        <v>207</v>
      </c>
      <c r="V15" s="155">
        <f t="shared" si="1"/>
        <v>172</v>
      </c>
      <c r="W15" s="155">
        <v>1.8</v>
      </c>
      <c r="X15" s="124">
        <f t="shared" si="2"/>
        <v>95.555555555555557</v>
      </c>
      <c r="Y15" s="114" t="s">
        <v>2268</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89"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2404</v>
      </c>
      <c r="B16" s="114">
        <v>21126</v>
      </c>
      <c r="C16" s="114">
        <v>1</v>
      </c>
      <c r="D16" s="114"/>
      <c r="E16" s="114"/>
      <c r="F16" s="114">
        <v>38</v>
      </c>
      <c r="G16" s="115"/>
      <c r="H16" s="115"/>
      <c r="I16" s="115"/>
      <c r="J16" s="114"/>
      <c r="K16" s="116">
        <v>7</v>
      </c>
      <c r="L16" s="114">
        <v>10</v>
      </c>
      <c r="M16" s="116"/>
      <c r="N16" s="114"/>
      <c r="O16" s="116"/>
      <c r="P16" s="114"/>
      <c r="Q16" s="114" t="s">
        <v>1032</v>
      </c>
      <c r="R16" s="114"/>
      <c r="S16" s="114" t="s">
        <v>667</v>
      </c>
      <c r="T16" s="114">
        <v>95</v>
      </c>
      <c r="U16" s="116">
        <v>144</v>
      </c>
      <c r="V16" s="155">
        <f t="shared" si="1"/>
        <v>119.5</v>
      </c>
      <c r="W16" s="155">
        <v>1.8</v>
      </c>
      <c r="X16" s="124">
        <f t="shared" si="2"/>
        <v>66.388888888888886</v>
      </c>
      <c r="Y16" s="114" t="s">
        <v>2268</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89"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1032</v>
      </c>
      <c r="R17" s="114"/>
      <c r="S17" s="114" t="s">
        <v>684</v>
      </c>
      <c r="T17" s="114">
        <v>81</v>
      </c>
      <c r="U17" s="116">
        <v>152</v>
      </c>
      <c r="V17" s="155">
        <f t="shared" si="1"/>
        <v>116.5</v>
      </c>
      <c r="W17" s="155">
        <v>1.4</v>
      </c>
      <c r="X17" s="124">
        <f t="shared" si="2"/>
        <v>83.214285714285722</v>
      </c>
      <c r="Y17" s="114" t="s">
        <v>2268</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89"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1141</v>
      </c>
      <c r="B18" s="114">
        <v>34606</v>
      </c>
      <c r="C18" s="114">
        <v>5</v>
      </c>
      <c r="D18" s="114"/>
      <c r="E18" s="114"/>
      <c r="F18" s="114">
        <v>36</v>
      </c>
      <c r="G18" s="115"/>
      <c r="H18" s="115"/>
      <c r="I18" s="115">
        <v>17</v>
      </c>
      <c r="J18" s="114"/>
      <c r="K18" s="116"/>
      <c r="L18" s="114">
        <v>25</v>
      </c>
      <c r="M18" s="116"/>
      <c r="N18" s="114"/>
      <c r="O18" s="116"/>
      <c r="P18" s="114"/>
      <c r="Q18" s="114" t="s">
        <v>1032</v>
      </c>
      <c r="R18" s="114"/>
      <c r="S18" s="114" t="s">
        <v>690</v>
      </c>
      <c r="T18" s="114">
        <v>79</v>
      </c>
      <c r="U18" s="116">
        <v>148</v>
      </c>
      <c r="V18" s="155">
        <f>(U18+T18)/2</f>
        <v>113.5</v>
      </c>
      <c r="W18" s="155">
        <v>1.3</v>
      </c>
      <c r="X18" s="124">
        <f>V18/W18</f>
        <v>87.307692307692307</v>
      </c>
      <c r="Y18" s="114" t="s">
        <v>2268</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89"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1032</v>
      </c>
      <c r="R19" s="114"/>
      <c r="S19" s="114" t="s">
        <v>671</v>
      </c>
      <c r="T19" s="114">
        <v>126</v>
      </c>
      <c r="U19" s="116">
        <v>189</v>
      </c>
      <c r="V19" s="155">
        <f t="shared" si="1"/>
        <v>157.5</v>
      </c>
      <c r="W19" s="155">
        <v>1.8</v>
      </c>
      <c r="X19" s="124">
        <f t="shared" si="2"/>
        <v>87.5</v>
      </c>
      <c r="Y19" s="114" t="s">
        <v>2268</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89"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3"/>
      <c r="AR19" s="1323"/>
      <c r="AS19" s="1323"/>
    </row>
    <row r="20" spans="1:52">
      <c r="A20" s="10" t="s">
        <v>986</v>
      </c>
      <c r="B20" s="114">
        <v>34165</v>
      </c>
      <c r="C20" s="114">
        <v>5</v>
      </c>
      <c r="D20" s="114"/>
      <c r="E20" s="114">
        <v>25</v>
      </c>
      <c r="F20" s="114">
        <v>48</v>
      </c>
      <c r="G20" s="115"/>
      <c r="H20" s="115"/>
      <c r="I20" s="115">
        <v>25</v>
      </c>
      <c r="J20" s="114"/>
      <c r="K20" s="116"/>
      <c r="L20" s="114"/>
      <c r="M20" s="116"/>
      <c r="N20" s="114"/>
      <c r="O20" s="116"/>
      <c r="P20" s="114"/>
      <c r="Q20" s="114" t="s">
        <v>1032</v>
      </c>
      <c r="R20" s="114"/>
      <c r="S20" s="114" t="s">
        <v>870</v>
      </c>
      <c r="T20" s="114">
        <v>113</v>
      </c>
      <c r="U20" s="116">
        <v>211</v>
      </c>
      <c r="V20" s="155">
        <f t="shared" si="1"/>
        <v>162</v>
      </c>
      <c r="W20" s="155">
        <v>1.5</v>
      </c>
      <c r="X20" s="124">
        <f t="shared" si="2"/>
        <v>108</v>
      </c>
      <c r="Y20" s="114" t="s">
        <v>2268</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89"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3"/>
      <c r="AR20" s="1329" t="s">
        <v>921</v>
      </c>
      <c r="AS20" s="1323"/>
      <c r="AT20" s="1323"/>
      <c r="AU20" s="1323"/>
      <c r="AV20" s="1323"/>
      <c r="AW20" s="1323" t="s">
        <v>1025</v>
      </c>
      <c r="AX20" s="1323" t="s">
        <v>1646</v>
      </c>
      <c r="AY20" s="1323" t="s">
        <v>1647</v>
      </c>
      <c r="AZ20" s="1323" t="s">
        <v>1648</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1032</v>
      </c>
      <c r="R21" s="114"/>
      <c r="S21" s="114" t="s">
        <v>666</v>
      </c>
      <c r="T21" s="114">
        <v>144</v>
      </c>
      <c r="U21" s="116">
        <v>217</v>
      </c>
      <c r="V21" s="155">
        <f t="shared" si="1"/>
        <v>180.5</v>
      </c>
      <c r="W21" s="155">
        <v>1.8</v>
      </c>
      <c r="X21" s="124">
        <f t="shared" si="2"/>
        <v>100.27777777777777</v>
      </c>
      <c r="Y21" s="114" t="s">
        <v>2268</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89"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7" t="s">
        <v>923</v>
      </c>
      <c r="AR21" s="1326">
        <f>IF(mh="The Night Blade",Optimize!C46,IF(oh="The Night Blade",Optimize!C47,10))</f>
        <v>10</v>
      </c>
      <c r="AS21" s="1323"/>
      <c r="AT21" s="1323" t="s">
        <v>924</v>
      </c>
      <c r="AU21" s="1323"/>
      <c r="AV21" s="1323">
        <v>0</v>
      </c>
      <c r="AW21" s="1324">
        <f>10/($AR$24)</f>
        <v>16.666666666666664</v>
      </c>
      <c r="AX21" s="1325">
        <v>1</v>
      </c>
      <c r="AY21" s="1324">
        <v>0</v>
      </c>
      <c r="AZ21" s="1325">
        <v>0</v>
      </c>
    </row>
    <row r="22" spans="1:52">
      <c r="A22" s="10" t="s">
        <v>1734</v>
      </c>
      <c r="B22" s="114">
        <v>29346</v>
      </c>
      <c r="C22" s="114">
        <v>1</v>
      </c>
      <c r="D22" s="114"/>
      <c r="E22" s="114"/>
      <c r="F22" s="114">
        <v>34</v>
      </c>
      <c r="G22" s="115">
        <v>22</v>
      </c>
      <c r="H22" s="115"/>
      <c r="I22" s="115"/>
      <c r="J22" s="114"/>
      <c r="K22" s="116"/>
      <c r="L22" s="114"/>
      <c r="M22" s="116"/>
      <c r="N22" s="114"/>
      <c r="O22" s="116"/>
      <c r="P22" s="114"/>
      <c r="Q22" s="114" t="s">
        <v>1032</v>
      </c>
      <c r="R22" s="114"/>
      <c r="S22" s="114" t="s">
        <v>690</v>
      </c>
      <c r="T22" s="114">
        <v>83</v>
      </c>
      <c r="U22" s="116">
        <v>156</v>
      </c>
      <c r="V22" s="155">
        <f t="shared" si="1"/>
        <v>119.5</v>
      </c>
      <c r="W22" s="155">
        <v>1.4</v>
      </c>
      <c r="X22" s="124">
        <f t="shared" si="2"/>
        <v>85.357142857142861</v>
      </c>
      <c r="Y22" s="114" t="s">
        <v>2268</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89"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7"/>
      <c r="AR22" s="1326"/>
      <c r="AS22" s="1323"/>
      <c r="AT22" s="1323" t="s">
        <v>925</v>
      </c>
      <c r="AU22" s="1323"/>
      <c r="AV22" s="1323">
        <v>1</v>
      </c>
      <c r="AW22" s="1324">
        <f>10/(1+$AR$24/(1-EXP(-$AR$24)))</f>
        <v>4.2921742610378759</v>
      </c>
      <c r="AX22" s="1325">
        <f>1-EXP(-$AR$21*tnbproc)</f>
        <v>0.45118836390597361</v>
      </c>
      <c r="AY22" s="1324">
        <v>10</v>
      </c>
      <c r="AZ22" s="1325">
        <f>EXP(-$AR$21*tnbproc)</f>
        <v>0.54881163609402639</v>
      </c>
    </row>
    <row r="23" spans="1:52">
      <c r="A23" s="10" t="s">
        <v>1736</v>
      </c>
      <c r="B23" s="114">
        <v>28312</v>
      </c>
      <c r="C23" s="114">
        <v>1</v>
      </c>
      <c r="D23" s="114"/>
      <c r="E23" s="114"/>
      <c r="F23" s="114">
        <v>28</v>
      </c>
      <c r="G23" s="115">
        <v>15</v>
      </c>
      <c r="H23" s="115">
        <v>9</v>
      </c>
      <c r="I23" s="115"/>
      <c r="J23" s="114"/>
      <c r="K23" s="116"/>
      <c r="L23" s="114">
        <v>21</v>
      </c>
      <c r="M23" s="116"/>
      <c r="N23" s="114">
        <v>10</v>
      </c>
      <c r="O23" s="116"/>
      <c r="P23" s="114"/>
      <c r="Q23" s="114" t="s">
        <v>1032</v>
      </c>
      <c r="R23" s="114"/>
      <c r="S23" s="114" t="s">
        <v>676</v>
      </c>
      <c r="T23" s="114">
        <v>131</v>
      </c>
      <c r="U23" s="116">
        <v>197</v>
      </c>
      <c r="V23" s="155">
        <f t="shared" si="1"/>
        <v>164</v>
      </c>
      <c r="W23" s="155">
        <v>1.8</v>
      </c>
      <c r="X23" s="124">
        <f t="shared" si="2"/>
        <v>91.111111111111114</v>
      </c>
      <c r="Y23" s="114" t="s">
        <v>2268</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89"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7" t="s">
        <v>3010</v>
      </c>
      <c r="AR23" s="1325">
        <f>1.8/60*2</f>
        <v>6.0000000000000005E-2</v>
      </c>
      <c r="AS23" s="1323"/>
      <c r="AT23" s="1323" t="s">
        <v>926</v>
      </c>
      <c r="AU23" s="1323"/>
      <c r="AV23" s="1323">
        <v>2</v>
      </c>
      <c r="AW23" s="1324">
        <f>10/(1+$AR$24/(1-EXP(-$AR$24)))</f>
        <v>4.2921742610378759</v>
      </c>
      <c r="AX23" s="1325">
        <f>(1-EXP(-$AR$21*tnbproc))^2</f>
        <v>0.20357093972414927</v>
      </c>
      <c r="AY23" s="1324">
        <v>10</v>
      </c>
      <c r="AZ23" s="1325">
        <f>AX22-AX23</f>
        <v>0.24761742418182434</v>
      </c>
    </row>
    <row r="24" spans="1:52">
      <c r="A24" s="10" t="s">
        <v>939</v>
      </c>
      <c r="B24" s="114">
        <v>28954</v>
      </c>
      <c r="C24" s="114">
        <v>1</v>
      </c>
      <c r="D24" s="114"/>
      <c r="E24" s="114"/>
      <c r="F24" s="114">
        <v>26</v>
      </c>
      <c r="G24" s="115">
        <v>13</v>
      </c>
      <c r="H24" s="115">
        <v>8</v>
      </c>
      <c r="I24" s="115"/>
      <c r="J24" s="114"/>
      <c r="K24" s="116"/>
      <c r="L24" s="114">
        <v>18</v>
      </c>
      <c r="M24" s="116"/>
      <c r="N24" s="114">
        <v>9</v>
      </c>
      <c r="O24" s="116"/>
      <c r="P24" s="114"/>
      <c r="Q24" s="114" t="s">
        <v>1032</v>
      </c>
      <c r="R24" s="114"/>
      <c r="S24" s="114" t="s">
        <v>676</v>
      </c>
      <c r="T24" s="114">
        <v>103</v>
      </c>
      <c r="U24" s="116">
        <v>155</v>
      </c>
      <c r="V24" s="155">
        <f t="shared" si="1"/>
        <v>129</v>
      </c>
      <c r="W24" s="155">
        <v>1.8</v>
      </c>
      <c r="X24" s="124">
        <f t="shared" si="2"/>
        <v>71.666666666666671</v>
      </c>
      <c r="Y24" s="114" t="s">
        <v>2268</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89"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7" t="s">
        <v>1643</v>
      </c>
      <c r="AR24" s="1326">
        <f>IF($AR$21*tnbproc&gt;0, $AR$21*tnbproc, 1)</f>
        <v>0.60000000000000009</v>
      </c>
      <c r="AS24" s="1323"/>
      <c r="AT24" s="1323" t="s">
        <v>927</v>
      </c>
      <c r="AU24" s="1323"/>
      <c r="AV24" s="1323">
        <v>3</v>
      </c>
      <c r="AW24" s="1324">
        <f>IF(time=0, AW23/EXP(-$AR$21*tnbproc), MIN(AW23/EXP(-$AR$21*tnbproc),time-SUMPRODUCT(AW21:AW23,AX21:AX23)))</f>
        <v>7.8208514155893543</v>
      </c>
      <c r="AX24" s="1325">
        <f>AX23</f>
        <v>0.20357093972414927</v>
      </c>
      <c r="AY24" s="1324">
        <v>0</v>
      </c>
      <c r="AZ24" s="1325">
        <v>0</v>
      </c>
    </row>
    <row r="25" spans="1:52">
      <c r="A25" s="10" t="s">
        <v>940</v>
      </c>
      <c r="B25" s="114">
        <v>28955</v>
      </c>
      <c r="C25" s="114">
        <v>1</v>
      </c>
      <c r="D25" s="114"/>
      <c r="E25" s="114"/>
      <c r="F25" s="114">
        <v>26</v>
      </c>
      <c r="G25" s="116">
        <v>13</v>
      </c>
      <c r="H25" s="116">
        <v>8</v>
      </c>
      <c r="I25" s="115"/>
      <c r="J25" s="114"/>
      <c r="K25" s="116"/>
      <c r="L25" s="114">
        <v>18</v>
      </c>
      <c r="M25" s="114"/>
      <c r="N25" s="114">
        <v>9</v>
      </c>
      <c r="O25" s="116"/>
      <c r="P25" s="114"/>
      <c r="Q25" s="114" t="s">
        <v>1032</v>
      </c>
      <c r="R25" s="114"/>
      <c r="S25" s="114" t="s">
        <v>676</v>
      </c>
      <c r="T25" s="116">
        <v>80</v>
      </c>
      <c r="U25" s="116">
        <v>121</v>
      </c>
      <c r="V25" s="155">
        <f t="shared" si="1"/>
        <v>100.5</v>
      </c>
      <c r="W25" s="155">
        <v>1.4</v>
      </c>
      <c r="X25" s="124">
        <f t="shared" si="2"/>
        <v>71.785714285714292</v>
      </c>
      <c r="Y25" s="124" t="s">
        <v>2268</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89"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7" t="s">
        <v>928</v>
      </c>
      <c r="AR25" s="1326">
        <f>(Cycles!$I$1)*0.3</f>
        <v>0.77354193647919856</v>
      </c>
      <c r="AS25" s="1323"/>
      <c r="AT25" s="1323"/>
      <c r="AU25" s="1323"/>
      <c r="AV25" s="1323"/>
      <c r="AW25" s="1324">
        <f>SUMPRODUCT(AX21:AX24,AW21:AW24)</f>
        <v>21.069105768997428</v>
      </c>
      <c r="AX25" s="1323"/>
      <c r="AY25" s="1324">
        <f>SUMPRODUCT(AZ21:AZ24,AY21:AY24)</f>
        <v>7.9642906027585081</v>
      </c>
      <c r="AZ25" s="1323"/>
    </row>
    <row r="26" spans="1:52">
      <c r="A26" s="10" t="s">
        <v>1737</v>
      </c>
      <c r="B26" s="114">
        <v>29121</v>
      </c>
      <c r="C26" s="114">
        <v>1</v>
      </c>
      <c r="D26" s="114"/>
      <c r="E26" s="114">
        <v>19</v>
      </c>
      <c r="F26" s="114">
        <v>38</v>
      </c>
      <c r="G26" s="115"/>
      <c r="H26" s="115"/>
      <c r="I26" s="115"/>
      <c r="J26" s="114"/>
      <c r="K26" s="116"/>
      <c r="L26" s="114"/>
      <c r="M26" s="116"/>
      <c r="N26" s="114"/>
      <c r="O26" s="116"/>
      <c r="P26" s="114"/>
      <c r="Q26" s="114" t="s">
        <v>1032</v>
      </c>
      <c r="R26" s="114"/>
      <c r="S26" s="114" t="s">
        <v>675</v>
      </c>
      <c r="T26" s="114">
        <v>104</v>
      </c>
      <c r="U26" s="116">
        <v>156</v>
      </c>
      <c r="V26" s="155">
        <f t="shared" si="1"/>
        <v>130</v>
      </c>
      <c r="W26" s="155">
        <v>1.6</v>
      </c>
      <c r="X26" s="124">
        <f t="shared" si="2"/>
        <v>81.25</v>
      </c>
      <c r="Y26" s="114" t="s">
        <v>2268</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89"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3"/>
      <c r="AR26" s="1323"/>
      <c r="AS26" s="1323"/>
      <c r="AT26" s="1323"/>
      <c r="AU26" s="1323"/>
      <c r="AV26" s="1323"/>
      <c r="AW26" s="1324">
        <f>SUMPRODUCT(AX21:AX24,AW21:AW24,$AV21:$AV24)</f>
        <v>8.460397194338988</v>
      </c>
      <c r="AX26" s="1323"/>
      <c r="AY26" s="1324">
        <f>SUMPRODUCT(AZ21:AZ24,AY21:AY24,$AV21:$AV24)</f>
        <v>10.440464844576752</v>
      </c>
      <c r="AZ26" s="1323"/>
    </row>
    <row r="27" spans="1:52">
      <c r="A27" s="10" t="s">
        <v>2411</v>
      </c>
      <c r="B27" s="114">
        <v>23044</v>
      </c>
      <c r="C27" s="114">
        <v>1</v>
      </c>
      <c r="D27" s="114"/>
      <c r="E27" s="114">
        <v>8</v>
      </c>
      <c r="F27" s="114"/>
      <c r="G27" s="115">
        <v>14</v>
      </c>
      <c r="H27" s="115">
        <v>10</v>
      </c>
      <c r="I27" s="115"/>
      <c r="J27" s="114"/>
      <c r="K27" s="116"/>
      <c r="L27" s="114">
        <v>8</v>
      </c>
      <c r="M27" s="116"/>
      <c r="N27" s="114"/>
      <c r="O27" s="116"/>
      <c r="P27" s="114"/>
      <c r="Q27" s="114" t="s">
        <v>1032</v>
      </c>
      <c r="R27" s="114"/>
      <c r="S27" s="114" t="s">
        <v>667</v>
      </c>
      <c r="T27" s="114">
        <v>83</v>
      </c>
      <c r="U27" s="116">
        <v>126</v>
      </c>
      <c r="V27" s="155">
        <f t="shared" si="1"/>
        <v>104.5</v>
      </c>
      <c r="W27" s="155">
        <v>1.6</v>
      </c>
      <c r="X27" s="124">
        <f t="shared" si="2"/>
        <v>65.3125</v>
      </c>
      <c r="Y27" s="114" t="s">
        <v>2268</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89"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8"/>
      <c r="AR27" s="1328"/>
      <c r="AS27" s="1328"/>
      <c r="AT27" s="1323"/>
      <c r="AU27" s="1323"/>
      <c r="AV27" s="1323"/>
      <c r="AW27" s="1323"/>
      <c r="AX27" s="1324">
        <f>IF(OR(mh="The Night Blade",oh="The Night Blade"),(AW26+AY26)/(AW25+AY25),0)</f>
        <v>0</v>
      </c>
      <c r="AY27" s="1323"/>
      <c r="AZ27" s="1323"/>
    </row>
    <row r="28" spans="1:52">
      <c r="A28" s="10" t="s">
        <v>647</v>
      </c>
      <c r="B28" s="114">
        <v>29962</v>
      </c>
      <c r="C28" s="114">
        <v>2</v>
      </c>
      <c r="D28" s="114"/>
      <c r="E28" s="114">
        <v>20</v>
      </c>
      <c r="F28" s="124">
        <f>270*itHRmhUP</f>
        <v>114.88947681036424</v>
      </c>
      <c r="G28" s="115"/>
      <c r="H28" s="115"/>
      <c r="I28" s="115"/>
      <c r="J28" s="114"/>
      <c r="K28" s="116"/>
      <c r="L28" s="114">
        <v>30</v>
      </c>
      <c r="M28" s="116"/>
      <c r="N28" s="114"/>
      <c r="O28" s="116"/>
      <c r="P28" s="114"/>
      <c r="Q28" s="114" t="s">
        <v>1032</v>
      </c>
      <c r="R28" s="114"/>
      <c r="S28" s="114" t="s">
        <v>679</v>
      </c>
      <c r="T28" s="114">
        <v>121</v>
      </c>
      <c r="U28" s="116">
        <v>226</v>
      </c>
      <c r="V28" s="155">
        <f t="shared" si="1"/>
        <v>173.5</v>
      </c>
      <c r="W28" s="155">
        <v>1.8</v>
      </c>
      <c r="X28" s="124">
        <f t="shared" si="2"/>
        <v>96.388888888888886</v>
      </c>
      <c r="Y28" s="114" t="s">
        <v>2268</v>
      </c>
      <c r="Z28" s="114"/>
      <c r="AA28" s="114"/>
      <c r="AB28" s="114"/>
      <c r="AC28" s="288" t="s">
        <v>643</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89"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0" t="s">
        <v>1398</v>
      </c>
      <c r="AS28" s="1357">
        <f>75%/(BossLevel)*5/25</f>
        <v>2.054794520547945E-3</v>
      </c>
      <c r="AT28" s="1328"/>
      <c r="AU28" s="1328"/>
      <c r="AV28" s="1328"/>
      <c r="AW28" s="1328"/>
      <c r="AX28" s="1328"/>
      <c r="AY28" s="1328"/>
      <c r="AZ28" s="1328"/>
    </row>
    <row r="29" spans="1:52">
      <c r="A29" s="10" t="s">
        <v>941</v>
      </c>
      <c r="B29" s="114">
        <v>28929</v>
      </c>
      <c r="C29" s="114">
        <v>1</v>
      </c>
      <c r="D29" s="114"/>
      <c r="E29" s="114"/>
      <c r="F29" s="114">
        <v>26</v>
      </c>
      <c r="G29" s="115">
        <v>13</v>
      </c>
      <c r="H29" s="115">
        <v>8</v>
      </c>
      <c r="I29" s="115"/>
      <c r="J29" s="114"/>
      <c r="K29" s="116"/>
      <c r="L29" s="114">
        <v>18</v>
      </c>
      <c r="M29" s="116"/>
      <c r="N29" s="114">
        <v>9</v>
      </c>
      <c r="O29" s="116"/>
      <c r="P29" s="114"/>
      <c r="Q29" s="114" t="s">
        <v>1032</v>
      </c>
      <c r="R29" s="114"/>
      <c r="S29" s="114" t="s">
        <v>676</v>
      </c>
      <c r="T29" s="114">
        <v>103</v>
      </c>
      <c r="U29" s="116">
        <v>155</v>
      </c>
      <c r="V29" s="155">
        <f t="shared" si="1"/>
        <v>129</v>
      </c>
      <c r="W29" s="155">
        <v>1.8</v>
      </c>
      <c r="X29" s="124">
        <f t="shared" si="2"/>
        <v>71.666666666666671</v>
      </c>
      <c r="Y29" s="114" t="s">
        <v>2268</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89"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942</v>
      </c>
      <c r="B30" s="114">
        <v>28930</v>
      </c>
      <c r="C30" s="114">
        <v>1</v>
      </c>
      <c r="D30" s="114"/>
      <c r="E30" s="114"/>
      <c r="F30" s="114">
        <v>26</v>
      </c>
      <c r="G30" s="116">
        <v>13</v>
      </c>
      <c r="H30" s="116">
        <v>8</v>
      </c>
      <c r="I30" s="115"/>
      <c r="J30" s="114"/>
      <c r="K30" s="116"/>
      <c r="L30" s="114">
        <v>18</v>
      </c>
      <c r="M30" s="114"/>
      <c r="N30" s="114">
        <v>9</v>
      </c>
      <c r="O30" s="116"/>
      <c r="P30" s="114"/>
      <c r="Q30" s="114" t="s">
        <v>1032</v>
      </c>
      <c r="R30" s="114"/>
      <c r="S30" s="114" t="s">
        <v>676</v>
      </c>
      <c r="T30" s="116">
        <v>80</v>
      </c>
      <c r="U30" s="116">
        <v>121</v>
      </c>
      <c r="V30" s="155">
        <f t="shared" si="1"/>
        <v>100.5</v>
      </c>
      <c r="W30" s="155">
        <v>1.4</v>
      </c>
      <c r="X30" s="124">
        <f t="shared" si="2"/>
        <v>71.785714285714292</v>
      </c>
      <c r="Y30" s="124" t="s">
        <v>2268</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89"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648</v>
      </c>
      <c r="B31" s="114">
        <v>28416</v>
      </c>
      <c r="C31" s="114">
        <v>1</v>
      </c>
      <c r="D31" s="114"/>
      <c r="E31" s="114"/>
      <c r="F31" s="114">
        <v>30</v>
      </c>
      <c r="G31" s="115">
        <v>16</v>
      </c>
      <c r="H31" s="115"/>
      <c r="I31" s="115"/>
      <c r="J31" s="114"/>
      <c r="K31" s="116"/>
      <c r="L31" s="114">
        <v>13</v>
      </c>
      <c r="M31" s="116"/>
      <c r="N31" s="114"/>
      <c r="O31" s="116"/>
      <c r="P31" s="114"/>
      <c r="Q31" s="114" t="s">
        <v>1032</v>
      </c>
      <c r="R31" s="114"/>
      <c r="S31" s="114" t="s">
        <v>672</v>
      </c>
      <c r="T31" s="114">
        <v>103</v>
      </c>
      <c r="U31" s="116">
        <v>155</v>
      </c>
      <c r="V31" s="155">
        <f t="shared" si="1"/>
        <v>129</v>
      </c>
      <c r="W31" s="155">
        <v>1.8</v>
      </c>
      <c r="X31" s="124">
        <f t="shared" si="2"/>
        <v>71.666666666666671</v>
      </c>
      <c r="Y31" s="114" t="s">
        <v>2268</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89"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2271</v>
      </c>
      <c r="AS31" s="814"/>
      <c r="AT31" s="814"/>
      <c r="AU31" s="814"/>
      <c r="AV31" s="815"/>
    </row>
    <row r="32" spans="1:52">
      <c r="A32" s="10" t="s">
        <v>649</v>
      </c>
      <c r="B32" s="114">
        <v>31745</v>
      </c>
      <c r="C32" s="114">
        <v>1</v>
      </c>
      <c r="D32" s="114"/>
      <c r="E32" s="114"/>
      <c r="F32" s="114">
        <f>IF(OR(mobtype="Any",mobtype="Demon"),93,0)</f>
        <v>93</v>
      </c>
      <c r="G32" s="116"/>
      <c r="H32" s="116"/>
      <c r="I32" s="115"/>
      <c r="J32" s="114"/>
      <c r="K32" s="116"/>
      <c r="L32" s="114"/>
      <c r="M32" s="114"/>
      <c r="N32" s="114"/>
      <c r="O32" s="116"/>
      <c r="P32" s="114"/>
      <c r="Q32" s="114" t="s">
        <v>1032</v>
      </c>
      <c r="R32" s="114"/>
      <c r="S32" s="114" t="s">
        <v>674</v>
      </c>
      <c r="T32" s="116">
        <v>90</v>
      </c>
      <c r="U32" s="116">
        <v>168</v>
      </c>
      <c r="V32" s="155">
        <f t="shared" si="1"/>
        <v>129</v>
      </c>
      <c r="W32" s="155">
        <v>1.8</v>
      </c>
      <c r="X32" s="124">
        <f t="shared" si="2"/>
        <v>71.666666666666671</v>
      </c>
      <c r="Y32" s="124" t="s">
        <v>2268</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89"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3109</v>
      </c>
      <c r="AT32" s="114"/>
      <c r="AU32" s="114"/>
      <c r="AV32" s="806"/>
    </row>
    <row r="33" spans="1:48">
      <c r="A33" s="10" t="s">
        <v>650</v>
      </c>
      <c r="B33" s="114">
        <v>30312</v>
      </c>
      <c r="C33" s="114">
        <v>2</v>
      </c>
      <c r="D33" s="114"/>
      <c r="E33" s="114"/>
      <c r="F33" s="114">
        <v>70</v>
      </c>
      <c r="G33" s="116">
        <v>25</v>
      </c>
      <c r="H33" s="116"/>
      <c r="I33" s="115"/>
      <c r="J33" s="114"/>
      <c r="K33" s="116"/>
      <c r="L33" s="114">
        <v>35</v>
      </c>
      <c r="M33" s="114"/>
      <c r="N33" s="114"/>
      <c r="O33" s="116"/>
      <c r="P33" s="114"/>
      <c r="Q33" s="114" t="s">
        <v>1032</v>
      </c>
      <c r="R33" s="114"/>
      <c r="S33" s="114" t="s">
        <v>679</v>
      </c>
      <c r="T33" s="116">
        <v>171</v>
      </c>
      <c r="U33" s="116">
        <v>318</v>
      </c>
      <c r="V33" s="155">
        <f t="shared" si="1"/>
        <v>244.5</v>
      </c>
      <c r="W33" s="155">
        <v>2</v>
      </c>
      <c r="X33" s="124">
        <f t="shared" si="2"/>
        <v>122.25</v>
      </c>
      <c r="Y33" s="124" t="s">
        <v>2268</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89"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2281</v>
      </c>
      <c r="AR33" s="156">
        <f>'Damage Calc'!F25</f>
        <v>0.98</v>
      </c>
      <c r="AS33" s="10" t="s">
        <v>2274</v>
      </c>
      <c r="AT33" s="124">
        <f>VLOOKUP('Gear &amp; Buffs'!$B$10,MHWeaponStats,28,FALSE)</f>
        <v>0</v>
      </c>
      <c r="AU33" s="787" t="s">
        <v>2275</v>
      </c>
      <c r="AV33" s="804">
        <f>VLOOKUP('Gear &amp; Buffs'!$B$16,OHWeaponStats,28,FALSE)</f>
        <v>0</v>
      </c>
    </row>
    <row r="34" spans="1:48">
      <c r="A34" s="10" t="s">
        <v>651</v>
      </c>
      <c r="B34" s="114">
        <v>22802</v>
      </c>
      <c r="C34" s="114">
        <v>1</v>
      </c>
      <c r="D34" s="114"/>
      <c r="E34" s="114">
        <v>16</v>
      </c>
      <c r="F34" s="114"/>
      <c r="G34" s="115">
        <v>14</v>
      </c>
      <c r="H34" s="115">
        <v>10</v>
      </c>
      <c r="I34" s="115"/>
      <c r="J34" s="114"/>
      <c r="K34" s="116"/>
      <c r="L34" s="114"/>
      <c r="M34" s="116"/>
      <c r="N34" s="114"/>
      <c r="O34" s="116"/>
      <c r="P34" s="114"/>
      <c r="Q34" s="114" t="s">
        <v>1032</v>
      </c>
      <c r="R34" s="114"/>
      <c r="S34" s="114" t="s">
        <v>667</v>
      </c>
      <c r="T34" s="114">
        <v>105</v>
      </c>
      <c r="U34" s="116">
        <v>158</v>
      </c>
      <c r="V34" s="155">
        <f t="shared" si="1"/>
        <v>131.5</v>
      </c>
      <c r="W34" s="155">
        <v>1.8</v>
      </c>
      <c r="X34" s="124">
        <f t="shared" si="2"/>
        <v>73.055555555555557</v>
      </c>
      <c r="Y34" s="114" t="s">
        <v>2268</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89"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2282</v>
      </c>
      <c r="AR34" s="156">
        <f>(IF(instatk="bs",-impBS*AR33,0)+'Damage Calc'!$F$23)</f>
        <v>0.21668945840701978</v>
      </c>
      <c r="AS34" s="10" t="s">
        <v>2277</v>
      </c>
      <c r="AT34" s="124">
        <f>IF(AT33&gt;0,VLOOKUP('Gear &amp; Buffs'!$B$10,MHWeaponStats,26,FALSE),0)</f>
        <v>0</v>
      </c>
      <c r="AU34" s="10"/>
      <c r="AV34" s="804">
        <f>IF(AV33&gt;0,VLOOKUP('Gear &amp; Buffs'!$B$16,OHWeaponStats,26,FALSE),0)</f>
        <v>0</v>
      </c>
    </row>
    <row r="35" spans="1:48">
      <c r="A35" s="10" t="s">
        <v>652</v>
      </c>
      <c r="B35" s="114">
        <v>28768</v>
      </c>
      <c r="C35" s="114">
        <v>1</v>
      </c>
      <c r="D35" s="114"/>
      <c r="E35" s="114"/>
      <c r="F35" s="114">
        <v>50</v>
      </c>
      <c r="G35" s="115"/>
      <c r="H35" s="115">
        <v>15</v>
      </c>
      <c r="I35" s="115"/>
      <c r="J35" s="114"/>
      <c r="K35" s="116"/>
      <c r="L35" s="114">
        <v>16</v>
      </c>
      <c r="M35" s="116"/>
      <c r="N35" s="114"/>
      <c r="O35" s="116"/>
      <c r="P35" s="114"/>
      <c r="Q35" s="114" t="s">
        <v>1032</v>
      </c>
      <c r="R35" s="114"/>
      <c r="S35" s="114" t="s">
        <v>671</v>
      </c>
      <c r="T35" s="114">
        <v>132</v>
      </c>
      <c r="U35" s="116">
        <v>199</v>
      </c>
      <c r="V35" s="155">
        <f t="shared" si="1"/>
        <v>165.5</v>
      </c>
      <c r="W35" s="155">
        <v>1.8</v>
      </c>
      <c r="X35" s="124">
        <f t="shared" si="2"/>
        <v>91.944444444444443</v>
      </c>
      <c r="Y35" s="114" t="s">
        <v>2268</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89"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8"/>
      <c r="AR35" s="1359"/>
      <c r="AS35" s="10"/>
      <c r="AT35" s="124"/>
      <c r="AU35" s="10"/>
      <c r="AV35" s="804"/>
    </row>
    <row r="36" spans="1:48">
      <c r="A36" s="10" t="s">
        <v>653</v>
      </c>
      <c r="B36" s="114">
        <v>32044</v>
      </c>
      <c r="C36" s="114">
        <v>2</v>
      </c>
      <c r="D36" s="114"/>
      <c r="E36" s="114"/>
      <c r="F36" s="114">
        <v>30</v>
      </c>
      <c r="G36" s="115">
        <v>19</v>
      </c>
      <c r="H36" s="115">
        <v>10</v>
      </c>
      <c r="I36" s="115"/>
      <c r="J36" s="114"/>
      <c r="K36" s="116"/>
      <c r="L36" s="114">
        <v>27</v>
      </c>
      <c r="M36" s="116"/>
      <c r="N36" s="114">
        <v>12</v>
      </c>
      <c r="O36" s="116"/>
      <c r="P36" s="114"/>
      <c r="Q36" s="114" t="s">
        <v>1032</v>
      </c>
      <c r="R36" s="114"/>
      <c r="S36" s="114" t="s">
        <v>676</v>
      </c>
      <c r="T36" s="114">
        <v>140</v>
      </c>
      <c r="U36" s="116">
        <v>211</v>
      </c>
      <c r="V36" s="155">
        <f t="shared" si="1"/>
        <v>175.5</v>
      </c>
      <c r="W36" s="155">
        <v>1.8</v>
      </c>
      <c r="X36" s="124">
        <f t="shared" si="2"/>
        <v>97.5</v>
      </c>
      <c r="Y36" s="114" t="s">
        <v>2268</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89"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8"/>
      <c r="AR36" s="1359"/>
      <c r="AS36" s="10" t="s">
        <v>2279</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1032</v>
      </c>
      <c r="R37" s="114"/>
      <c r="S37" s="114" t="s">
        <v>682</v>
      </c>
      <c r="T37" s="114">
        <v>112</v>
      </c>
      <c r="U37" s="116">
        <v>169</v>
      </c>
      <c r="V37" s="155">
        <f t="shared" si="1"/>
        <v>140.5</v>
      </c>
      <c r="W37" s="155">
        <v>1.4</v>
      </c>
      <c r="X37" s="124">
        <f t="shared" si="2"/>
        <v>100.35714285714286</v>
      </c>
      <c r="Y37" s="114" t="s">
        <v>2268</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89"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8"/>
      <c r="AR37" s="1359"/>
      <c r="AS37" s="10"/>
      <c r="AT37" s="124"/>
      <c r="AU37" s="10"/>
      <c r="AV37" s="804"/>
    </row>
    <row r="38" spans="1:48">
      <c r="A38" s="10" t="s">
        <v>1530</v>
      </c>
      <c r="B38" s="114">
        <v>33298</v>
      </c>
      <c r="C38" s="114">
        <v>4</v>
      </c>
      <c r="D38" s="114"/>
      <c r="E38" s="114"/>
      <c r="F38" s="114">
        <v>42</v>
      </c>
      <c r="G38" s="115"/>
      <c r="H38" s="115"/>
      <c r="I38" s="115"/>
      <c r="J38" s="114">
        <v>140</v>
      </c>
      <c r="K38" s="116"/>
      <c r="L38" s="114">
        <v>30</v>
      </c>
      <c r="M38" s="116"/>
      <c r="N38" s="114"/>
      <c r="O38" s="116"/>
      <c r="P38" s="114"/>
      <c r="Q38" s="114" t="s">
        <v>1032</v>
      </c>
      <c r="R38" s="114"/>
      <c r="S38" s="114" t="s">
        <v>663</v>
      </c>
      <c r="T38" s="114">
        <v>100</v>
      </c>
      <c r="U38" s="116">
        <v>187</v>
      </c>
      <c r="V38" s="155">
        <f t="shared" si="1"/>
        <v>143.5</v>
      </c>
      <c r="W38" s="155">
        <v>1.5</v>
      </c>
      <c r="X38" s="124">
        <f t="shared" si="2"/>
        <v>95.666666666666671</v>
      </c>
      <c r="Y38" s="114" t="s">
        <v>2268</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89"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8"/>
      <c r="AR38" s="1359"/>
      <c r="AS38" s="10"/>
      <c r="AT38" s="124"/>
      <c r="AU38" s="10"/>
      <c r="AV38" s="804"/>
    </row>
    <row r="39" spans="1:48">
      <c r="A39" s="10" t="s">
        <v>654</v>
      </c>
      <c r="B39" s="114">
        <v>29125</v>
      </c>
      <c r="C39" s="114">
        <v>1</v>
      </c>
      <c r="D39" s="114"/>
      <c r="E39" s="114">
        <v>22</v>
      </c>
      <c r="F39" s="114"/>
      <c r="G39" s="115"/>
      <c r="H39" s="115"/>
      <c r="I39" s="115"/>
      <c r="J39" s="114"/>
      <c r="K39" s="116"/>
      <c r="L39" s="114">
        <v>21</v>
      </c>
      <c r="M39" s="116"/>
      <c r="N39" s="114"/>
      <c r="O39" s="116"/>
      <c r="P39" s="114"/>
      <c r="Q39" s="114" t="s">
        <v>1032</v>
      </c>
      <c r="R39" s="114"/>
      <c r="S39" s="114" t="s">
        <v>675</v>
      </c>
      <c r="T39" s="114">
        <v>97</v>
      </c>
      <c r="U39" s="116">
        <v>146</v>
      </c>
      <c r="V39" s="155">
        <f t="shared" si="1"/>
        <v>121.5</v>
      </c>
      <c r="W39" s="155">
        <v>1.5</v>
      </c>
      <c r="X39" s="124">
        <f t="shared" si="2"/>
        <v>81</v>
      </c>
      <c r="Y39" s="114" t="s">
        <v>2268</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89"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2055</v>
      </c>
      <c r="AR39" s="114"/>
      <c r="AS39" s="10" t="s">
        <v>2283</v>
      </c>
      <c r="AT39" s="124">
        <f>'Damage Calc'!K48*'Damage Calc'!L48*$AT36*$AT34</f>
        <v>0</v>
      </c>
      <c r="AU39" s="10"/>
      <c r="AV39" s="805">
        <f>'Damage Calc'!K49*'Damage Calc'!L49*$AV36*$AV34</f>
        <v>0</v>
      </c>
    </row>
    <row r="40" spans="1:48">
      <c r="A40" s="10" t="s">
        <v>1351</v>
      </c>
      <c r="B40" s="114">
        <v>29182</v>
      </c>
      <c r="C40" s="114">
        <v>1</v>
      </c>
      <c r="D40" s="114"/>
      <c r="E40" s="114">
        <v>21</v>
      </c>
      <c r="F40" s="114">
        <v>22</v>
      </c>
      <c r="G40" s="115"/>
      <c r="H40" s="115"/>
      <c r="I40" s="115"/>
      <c r="J40" s="114"/>
      <c r="K40" s="116"/>
      <c r="L40" s="114"/>
      <c r="M40" s="116"/>
      <c r="N40" s="114"/>
      <c r="O40" s="116"/>
      <c r="P40" s="114"/>
      <c r="Q40" s="114" t="s">
        <v>1032</v>
      </c>
      <c r="R40" s="114"/>
      <c r="S40" s="114" t="s">
        <v>675</v>
      </c>
      <c r="T40" s="114">
        <v>117</v>
      </c>
      <c r="U40" s="116">
        <v>176</v>
      </c>
      <c r="V40" s="155">
        <f t="shared" si="1"/>
        <v>146.5</v>
      </c>
      <c r="W40" s="155">
        <v>1.8</v>
      </c>
      <c r="X40" s="124">
        <f t="shared" si="2"/>
        <v>81.388888888888886</v>
      </c>
      <c r="Y40" s="114" t="s">
        <v>2268</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89"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2267</v>
      </c>
      <c r="AS40" s="10" t="s">
        <v>442</v>
      </c>
      <c r="AT40" s="114">
        <f>IF(AT33=1,AT39*($AR33+$AR34)*armor,0)</f>
        <v>0</v>
      </c>
      <c r="AU40" s="10"/>
      <c r="AV40" s="806">
        <f>IF(AV33=1,AV39*($AR33+$AR34)*armor,0)</f>
        <v>0</v>
      </c>
    </row>
    <row r="41" spans="1:48">
      <c r="A41" s="10" t="s">
        <v>1352</v>
      </c>
      <c r="B41" s="114">
        <v>32471</v>
      </c>
      <c r="C41" s="114">
        <v>3</v>
      </c>
      <c r="D41" s="114"/>
      <c r="E41" s="114"/>
      <c r="F41" s="114">
        <v>64</v>
      </c>
      <c r="G41" s="115"/>
      <c r="H41" s="115"/>
      <c r="I41" s="115"/>
      <c r="J41" s="114"/>
      <c r="K41" s="116"/>
      <c r="L41" s="114"/>
      <c r="M41" s="116"/>
      <c r="N41" s="114"/>
      <c r="O41" s="116"/>
      <c r="P41" s="114"/>
      <c r="Q41" s="114" t="s">
        <v>1032</v>
      </c>
      <c r="R41" s="114"/>
      <c r="S41" s="114" t="s">
        <v>682</v>
      </c>
      <c r="T41" s="114">
        <v>161</v>
      </c>
      <c r="U41" s="116">
        <v>242</v>
      </c>
      <c r="V41" s="155">
        <f t="shared" si="1"/>
        <v>201.5</v>
      </c>
      <c r="W41" s="155">
        <v>1.9</v>
      </c>
      <c r="X41" s="124">
        <f t="shared" si="2"/>
        <v>106.05263157894737</v>
      </c>
      <c r="Y41" s="114" t="s">
        <v>2268</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89"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2269</v>
      </c>
      <c r="AS41" s="10" t="s">
        <v>443</v>
      </c>
      <c r="AT41" s="114">
        <f>IF(AT33=2,AT39*($AR$33),0)</f>
        <v>0</v>
      </c>
      <c r="AU41" s="10"/>
      <c r="AV41" s="806">
        <f>IF(AV33=2,AV39*($AR$33),0)</f>
        <v>0</v>
      </c>
    </row>
    <row r="42" spans="1:48">
      <c r="A42" s="10" t="s">
        <v>988</v>
      </c>
      <c r="B42" s="114">
        <v>34197</v>
      </c>
      <c r="C42" s="114">
        <v>5</v>
      </c>
      <c r="D42" s="114"/>
      <c r="E42" s="114">
        <v>25</v>
      </c>
      <c r="F42" s="114">
        <v>42</v>
      </c>
      <c r="G42" s="115"/>
      <c r="H42" s="115"/>
      <c r="I42" s="115"/>
      <c r="J42" s="114">
        <v>196</v>
      </c>
      <c r="K42" s="116"/>
      <c r="L42" s="114"/>
      <c r="M42" s="116"/>
      <c r="N42" s="114"/>
      <c r="O42" s="116"/>
      <c r="P42" s="114"/>
      <c r="Q42" s="114" t="s">
        <v>1032</v>
      </c>
      <c r="R42" s="114"/>
      <c r="S42" s="114" t="s">
        <v>870</v>
      </c>
      <c r="T42" s="114">
        <v>136</v>
      </c>
      <c r="U42" s="116">
        <v>253</v>
      </c>
      <c r="V42" s="155">
        <f t="shared" si="1"/>
        <v>194.5</v>
      </c>
      <c r="W42" s="155">
        <v>1.8</v>
      </c>
      <c r="X42" s="124">
        <f t="shared" si="2"/>
        <v>108.05555555555556</v>
      </c>
      <c r="Y42" s="114" t="s">
        <v>2268</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89"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2272</v>
      </c>
      <c r="AS42" s="10" t="s">
        <v>445</v>
      </c>
      <c r="AT42" s="114">
        <f>IF(AT33=3,AT39*(fullresist),0)</f>
        <v>0</v>
      </c>
      <c r="AU42" s="10"/>
      <c r="AV42" s="806">
        <f>IF(AV33=3,AV39*(fullresist),0)</f>
        <v>0</v>
      </c>
    </row>
    <row r="43" spans="1:48">
      <c r="A43" s="10" t="s">
        <v>646</v>
      </c>
      <c r="B43" s="114">
        <v>32781</v>
      </c>
      <c r="C43" s="114">
        <v>1</v>
      </c>
      <c r="D43" s="114"/>
      <c r="E43" s="114">
        <v>10</v>
      </c>
      <c r="F43" s="114">
        <v>36</v>
      </c>
      <c r="G43" s="115"/>
      <c r="H43" s="115"/>
      <c r="I43" s="115"/>
      <c r="J43" s="114"/>
      <c r="K43" s="116"/>
      <c r="L43" s="114"/>
      <c r="M43" s="116"/>
      <c r="N43" s="114"/>
      <c r="O43" s="116"/>
      <c r="P43" s="114"/>
      <c r="Q43" s="114" t="s">
        <v>1034</v>
      </c>
      <c r="R43" s="114" t="s">
        <v>1337</v>
      </c>
      <c r="S43" s="114" t="s">
        <v>690</v>
      </c>
      <c r="T43" s="114">
        <v>75</v>
      </c>
      <c r="U43" s="116">
        <v>140</v>
      </c>
      <c r="V43" s="155">
        <f t="shared" si="1"/>
        <v>107.5</v>
      </c>
      <c r="W43" s="155">
        <v>1.5</v>
      </c>
      <c r="X43" s="124">
        <f t="shared" si="2"/>
        <v>71.666666666666671</v>
      </c>
      <c r="Y43" s="114" t="s">
        <v>2268</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89"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2273</v>
      </c>
      <c r="AS43" s="10" t="s">
        <v>448</v>
      </c>
      <c r="AT43" s="114">
        <f>IF(AT33=4,(AT39+'Damage Calc'!K49*'Damage Calc'!L49*AT36*AT34)*fullresist,0)</f>
        <v>0</v>
      </c>
      <c r="AU43" s="10"/>
      <c r="AV43" s="806">
        <f>IF(AV33=4,(AV39+'Damage Calc'!M49*'Damage Calc'!N49*AV36*AV34)*fullresist,0)</f>
        <v>0</v>
      </c>
    </row>
    <row r="44" spans="1:48">
      <c r="A44" s="10" t="s">
        <v>853</v>
      </c>
      <c r="B44" s="114">
        <v>27463</v>
      </c>
      <c r="C44" s="114">
        <v>1</v>
      </c>
      <c r="D44" s="114"/>
      <c r="E44" s="114"/>
      <c r="F44" s="114">
        <v>34</v>
      </c>
      <c r="G44" s="115"/>
      <c r="H44" s="115">
        <v>14</v>
      </c>
      <c r="I44" s="115"/>
      <c r="J44" s="114"/>
      <c r="K44" s="116"/>
      <c r="L44" s="114">
        <v>15</v>
      </c>
      <c r="M44" s="116"/>
      <c r="N44" s="114"/>
      <c r="O44" s="116"/>
      <c r="P44" s="114"/>
      <c r="Q44" s="114" t="s">
        <v>1032</v>
      </c>
      <c r="R44" s="114"/>
      <c r="S44" s="114" t="s">
        <v>690</v>
      </c>
      <c r="T44" s="114">
        <v>103</v>
      </c>
      <c r="U44" s="116">
        <v>155</v>
      </c>
      <c r="V44" s="155">
        <f t="shared" si="1"/>
        <v>129</v>
      </c>
      <c r="W44" s="155">
        <v>1.8</v>
      </c>
      <c r="X44" s="124">
        <f t="shared" si="2"/>
        <v>71.666666666666671</v>
      </c>
      <c r="Y44" s="114" t="s">
        <v>2268</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89"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2276</v>
      </c>
      <c r="AS44" s="10" t="s">
        <v>1735</v>
      </c>
      <c r="AT44" s="114">
        <f>IF(AT33=5,(AT39)*fullresist,0)</f>
        <v>0</v>
      </c>
      <c r="AU44" s="10"/>
      <c r="AV44" s="806">
        <f>IF(AV33=5,(AV39)*fullresist,0)</f>
        <v>0</v>
      </c>
    </row>
    <row r="45" spans="1:48" ht="12" thickBot="1">
      <c r="A45" s="10" t="s">
        <v>1369</v>
      </c>
      <c r="B45" s="114">
        <v>31331</v>
      </c>
      <c r="C45" s="114">
        <v>1</v>
      </c>
      <c r="D45" s="114"/>
      <c r="E45" s="114"/>
      <c r="F45" s="114"/>
      <c r="G45" s="115"/>
      <c r="H45" s="115"/>
      <c r="I45" s="115"/>
      <c r="J45" s="114"/>
      <c r="K45" s="116"/>
      <c r="L45" s="114"/>
      <c r="M45" s="116"/>
      <c r="N45" s="114"/>
      <c r="O45" s="116"/>
      <c r="P45" s="114"/>
      <c r="Q45" s="114" t="s">
        <v>1032</v>
      </c>
      <c r="R45" s="114"/>
      <c r="S45" s="114" t="s">
        <v>673</v>
      </c>
      <c r="T45" s="114">
        <v>117</v>
      </c>
      <c r="U45" s="116">
        <v>176</v>
      </c>
      <c r="V45" s="155">
        <f t="shared" si="1"/>
        <v>146.5</v>
      </c>
      <c r="W45" s="155">
        <v>1.8</v>
      </c>
      <c r="X45" s="124">
        <f t="shared" si="2"/>
        <v>81.388888888888886</v>
      </c>
      <c r="Y45" s="114" t="s">
        <v>2268</v>
      </c>
      <c r="Z45" s="114"/>
      <c r="AA45" s="114"/>
      <c r="AB45" s="114"/>
      <c r="AC45" s="288" t="s">
        <v>1368</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89"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1370</v>
      </c>
      <c r="B46" s="114">
        <v>28226</v>
      </c>
      <c r="C46" s="114">
        <v>1</v>
      </c>
      <c r="D46" s="114"/>
      <c r="E46" s="114"/>
      <c r="F46" s="114">
        <v>30</v>
      </c>
      <c r="G46" s="115"/>
      <c r="H46" s="115"/>
      <c r="I46" s="115"/>
      <c r="J46" s="114"/>
      <c r="K46" s="116">
        <v>15</v>
      </c>
      <c r="L46" s="114">
        <v>13</v>
      </c>
      <c r="M46" s="116"/>
      <c r="N46" s="114"/>
      <c r="O46" s="116"/>
      <c r="P46" s="114"/>
      <c r="Q46" s="114" t="s">
        <v>1032</v>
      </c>
      <c r="R46" s="114"/>
      <c r="S46" s="114" t="s">
        <v>690</v>
      </c>
      <c r="T46" s="114">
        <v>80</v>
      </c>
      <c r="U46" s="116">
        <v>121</v>
      </c>
      <c r="V46" s="155">
        <f t="shared" si="1"/>
        <v>100.5</v>
      </c>
      <c r="W46" s="155">
        <v>1.4</v>
      </c>
      <c r="X46" s="124">
        <f t="shared" si="2"/>
        <v>71.785714285714292</v>
      </c>
      <c r="Y46" s="114" t="s">
        <v>2268</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89"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1371</v>
      </c>
      <c r="B47" s="114">
        <v>30865</v>
      </c>
      <c r="C47" s="114">
        <v>3</v>
      </c>
      <c r="D47" s="114"/>
      <c r="E47" s="114"/>
      <c r="F47" s="114">
        <v>44</v>
      </c>
      <c r="G47" s="115">
        <v>23</v>
      </c>
      <c r="H47" s="115">
        <v>20</v>
      </c>
      <c r="I47" s="115"/>
      <c r="J47" s="114"/>
      <c r="K47" s="116"/>
      <c r="L47" s="114"/>
      <c r="M47" s="116"/>
      <c r="N47" s="114"/>
      <c r="O47" s="116"/>
      <c r="P47" s="114"/>
      <c r="Q47" s="114" t="s">
        <v>1032</v>
      </c>
      <c r="R47" s="114"/>
      <c r="S47" s="114" t="s">
        <v>683</v>
      </c>
      <c r="T47" s="114">
        <v>105</v>
      </c>
      <c r="U47" s="116">
        <v>196</v>
      </c>
      <c r="V47" s="155">
        <f t="shared" si="1"/>
        <v>150.5</v>
      </c>
      <c r="W47" s="155">
        <v>1.5</v>
      </c>
      <c r="X47" s="124">
        <f t="shared" si="2"/>
        <v>100.33333333333333</v>
      </c>
      <c r="Y47" s="114" t="s">
        <v>2268</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89"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644</v>
      </c>
      <c r="B48" s="114">
        <v>27814</v>
      </c>
      <c r="C48" s="114">
        <v>1</v>
      </c>
      <c r="D48" s="114"/>
      <c r="E48" s="114"/>
      <c r="F48" s="114"/>
      <c r="G48" s="115">
        <v>21</v>
      </c>
      <c r="H48" s="115"/>
      <c r="I48" s="115"/>
      <c r="J48" s="114"/>
      <c r="K48" s="116">
        <v>11</v>
      </c>
      <c r="L48" s="114">
        <v>12</v>
      </c>
      <c r="M48" s="116"/>
      <c r="N48" s="114"/>
      <c r="O48" s="116"/>
      <c r="P48" s="114"/>
      <c r="Q48" s="114" t="s">
        <v>1032</v>
      </c>
      <c r="R48" s="114"/>
      <c r="S48" s="114" t="s">
        <v>690</v>
      </c>
      <c r="T48" s="114">
        <v>80</v>
      </c>
      <c r="U48" s="116">
        <v>121</v>
      </c>
      <c r="V48" s="155">
        <f t="shared" si="1"/>
        <v>100.5</v>
      </c>
      <c r="W48" s="155">
        <v>1.4</v>
      </c>
      <c r="X48" s="124">
        <f t="shared" si="2"/>
        <v>71.785714285714292</v>
      </c>
      <c r="Y48" s="114" t="s">
        <v>2268</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89"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1435</v>
      </c>
      <c r="B49" s="114">
        <v>33493</v>
      </c>
      <c r="C49" s="114">
        <v>4</v>
      </c>
      <c r="D49" s="114"/>
      <c r="E49" s="114">
        <v>12</v>
      </c>
      <c r="F49" s="114"/>
      <c r="G49" s="115"/>
      <c r="H49" s="115">
        <v>13</v>
      </c>
      <c r="I49" s="115"/>
      <c r="J49" s="114"/>
      <c r="K49" s="116"/>
      <c r="L49" s="114">
        <v>30</v>
      </c>
      <c r="M49" s="116"/>
      <c r="N49" s="114"/>
      <c r="O49" s="116"/>
      <c r="P49" s="114"/>
      <c r="Q49" s="114" t="s">
        <v>1044</v>
      </c>
      <c r="R49" s="114" t="s">
        <v>1464</v>
      </c>
      <c r="S49" s="114" t="s">
        <v>663</v>
      </c>
      <c r="T49" s="114">
        <v>137</v>
      </c>
      <c r="U49" s="116">
        <v>207</v>
      </c>
      <c r="V49" s="155">
        <f t="shared" si="1"/>
        <v>172</v>
      </c>
      <c r="W49" s="155">
        <v>1.8</v>
      </c>
      <c r="X49" s="124">
        <f t="shared" si="2"/>
        <v>95.555555555555557</v>
      </c>
      <c r="Y49" s="114" t="s">
        <v>2268</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89"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1764</v>
      </c>
      <c r="B50" s="114">
        <v>33754</v>
      </c>
      <c r="C50" s="114">
        <v>3</v>
      </c>
      <c r="D50" s="114"/>
      <c r="E50" s="114"/>
      <c r="F50" s="114">
        <v>34</v>
      </c>
      <c r="G50" s="115">
        <v>21</v>
      </c>
      <c r="H50" s="115">
        <v>8</v>
      </c>
      <c r="I50" s="846"/>
      <c r="J50" s="114">
        <v>49</v>
      </c>
      <c r="K50" s="116"/>
      <c r="L50" s="114">
        <v>30</v>
      </c>
      <c r="M50" s="116"/>
      <c r="N50" s="114">
        <v>12</v>
      </c>
      <c r="O50" s="116"/>
      <c r="P50" s="114"/>
      <c r="Q50" s="114" t="s">
        <v>1032</v>
      </c>
      <c r="R50" s="114"/>
      <c r="S50" s="114" t="s">
        <v>676</v>
      </c>
      <c r="T50" s="114">
        <v>148</v>
      </c>
      <c r="U50" s="116">
        <v>223</v>
      </c>
      <c r="V50" s="155">
        <f t="shared" si="1"/>
        <v>185.5</v>
      </c>
      <c r="W50" s="155">
        <v>1.8</v>
      </c>
      <c r="X50" s="124">
        <f t="shared" si="2"/>
        <v>103.05555555555556</v>
      </c>
      <c r="Y50" s="114" t="s">
        <v>2268</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89"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1372</v>
      </c>
      <c r="B51" s="114">
        <v>29360</v>
      </c>
      <c r="C51" s="114">
        <v>1</v>
      </c>
      <c r="D51" s="114"/>
      <c r="E51" s="114"/>
      <c r="F51" s="114">
        <v>60</v>
      </c>
      <c r="G51" s="115"/>
      <c r="H51" s="115"/>
      <c r="I51" s="115"/>
      <c r="J51" s="114"/>
      <c r="K51" s="116"/>
      <c r="L51" s="114"/>
      <c r="M51" s="116"/>
      <c r="N51" s="114"/>
      <c r="O51" s="116"/>
      <c r="P51" s="114"/>
      <c r="Q51" s="114" t="s">
        <v>1032</v>
      </c>
      <c r="R51" s="114"/>
      <c r="S51" s="114" t="s">
        <v>690</v>
      </c>
      <c r="T51" s="114">
        <v>120</v>
      </c>
      <c r="U51" s="116">
        <v>181</v>
      </c>
      <c r="V51" s="155">
        <f t="shared" si="1"/>
        <v>150.5</v>
      </c>
      <c r="W51" s="155">
        <v>1.8</v>
      </c>
      <c r="X51" s="124">
        <f t="shared" si="2"/>
        <v>83.611111111111114</v>
      </c>
      <c r="Y51" s="114" t="s">
        <v>2268</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89"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1373</v>
      </c>
      <c r="B52" s="114">
        <v>28345</v>
      </c>
      <c r="C52" s="114">
        <v>1</v>
      </c>
      <c r="D52" s="114"/>
      <c r="E52" s="114">
        <v>16</v>
      </c>
      <c r="F52" s="114"/>
      <c r="G52" s="115"/>
      <c r="H52" s="115">
        <v>15</v>
      </c>
      <c r="I52" s="115"/>
      <c r="J52" s="114"/>
      <c r="K52" s="116"/>
      <c r="L52" s="114">
        <v>13</v>
      </c>
      <c r="M52" s="116"/>
      <c r="N52" s="114"/>
      <c r="O52" s="116"/>
      <c r="P52" s="114"/>
      <c r="Q52" s="114" t="s">
        <v>1032</v>
      </c>
      <c r="R52" s="124"/>
      <c r="S52" s="114" t="s">
        <v>672</v>
      </c>
      <c r="T52" s="114">
        <v>74</v>
      </c>
      <c r="U52" s="116">
        <v>112</v>
      </c>
      <c r="V52" s="155">
        <f t="shared" si="1"/>
        <v>93</v>
      </c>
      <c r="W52" s="155">
        <v>1.3</v>
      </c>
      <c r="X52" s="124">
        <f t="shared" si="2"/>
        <v>71.538461538461533</v>
      </c>
      <c r="Y52" s="115" t="s">
        <v>2268</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89"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1374</v>
      </c>
      <c r="B53" s="114">
        <v>27913</v>
      </c>
      <c r="C53" s="114">
        <v>1</v>
      </c>
      <c r="D53" s="114"/>
      <c r="E53" s="114"/>
      <c r="F53" s="114">
        <v>26</v>
      </c>
      <c r="G53" s="115"/>
      <c r="H53" s="115"/>
      <c r="I53" s="115"/>
      <c r="J53" s="114"/>
      <c r="K53" s="116">
        <v>15</v>
      </c>
      <c r="L53" s="114">
        <v>21</v>
      </c>
      <c r="M53" s="116"/>
      <c r="N53" s="114"/>
      <c r="O53" s="116"/>
      <c r="P53" s="114"/>
      <c r="Q53" s="114" t="s">
        <v>1032</v>
      </c>
      <c r="R53" s="114"/>
      <c r="S53" s="114" t="s">
        <v>672</v>
      </c>
      <c r="T53" s="114">
        <v>109</v>
      </c>
      <c r="U53" s="116">
        <v>164</v>
      </c>
      <c r="V53" s="155">
        <f>(U53+T53)/2</f>
        <v>136.5</v>
      </c>
      <c r="W53" s="155">
        <v>1.9</v>
      </c>
      <c r="X53" s="124">
        <f>V53/W53</f>
        <v>71.842105263157904</v>
      </c>
      <c r="Y53" s="114" t="s">
        <v>2268</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89"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2268</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1032</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4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1375</v>
      </c>
      <c r="B56" s="742"/>
      <c r="C56" s="742"/>
      <c r="D56" s="742"/>
      <c r="E56" s="742"/>
      <c r="F56" s="742"/>
      <c r="G56" s="742"/>
      <c r="H56" s="742"/>
      <c r="I56" s="837"/>
      <c r="J56" s="742"/>
      <c r="K56" s="742"/>
      <c r="L56" s="742"/>
      <c r="M56" s="742"/>
      <c r="N56" s="742"/>
      <c r="O56" s="742"/>
      <c r="P56" s="836"/>
      <c r="Q56" s="742" t="s">
        <v>1032</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1032</v>
      </c>
      <c r="R57" s="114"/>
      <c r="S57" s="114" t="s">
        <v>663</v>
      </c>
      <c r="T57" s="114">
        <v>100</v>
      </c>
      <c r="U57" s="116">
        <v>187</v>
      </c>
      <c r="V57" s="155">
        <f t="shared" ref="V57:V98" si="7">(U57+T57)/2</f>
        <v>143.5</v>
      </c>
      <c r="W57" s="155">
        <v>1.5</v>
      </c>
      <c r="X57" s="124">
        <f t="shared" ref="X57:X98" si="8">V57/W57</f>
        <v>95.666666666666671</v>
      </c>
      <c r="Y57" s="115" t="s">
        <v>1376</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89"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1377</v>
      </c>
      <c r="B58" s="114">
        <v>30881</v>
      </c>
      <c r="C58" s="114">
        <v>3</v>
      </c>
      <c r="D58" s="114"/>
      <c r="E58" s="114">
        <v>28</v>
      </c>
      <c r="F58" s="114">
        <v>56</v>
      </c>
      <c r="G58" s="114"/>
      <c r="H58" s="114"/>
      <c r="I58" s="115"/>
      <c r="J58" s="114"/>
      <c r="K58" s="114"/>
      <c r="L58" s="114"/>
      <c r="M58" s="114"/>
      <c r="N58" s="114"/>
      <c r="O58" s="114"/>
      <c r="P58" s="10"/>
      <c r="Q58" s="114" t="s">
        <v>1032</v>
      </c>
      <c r="R58" s="114"/>
      <c r="S58" s="114" t="s">
        <v>683</v>
      </c>
      <c r="T58" s="114">
        <v>182</v>
      </c>
      <c r="U58" s="114">
        <v>339</v>
      </c>
      <c r="V58" s="155">
        <f t="shared" si="7"/>
        <v>260.5</v>
      </c>
      <c r="W58" s="155">
        <v>2.6</v>
      </c>
      <c r="X58" s="124">
        <f t="shared" si="8"/>
        <v>100.19230769230769</v>
      </c>
      <c r="Y58" s="114" t="s">
        <v>1376</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89"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1032</v>
      </c>
      <c r="R59" s="114"/>
      <c r="S59" s="114" t="s">
        <v>682</v>
      </c>
      <c r="T59" s="114">
        <v>98</v>
      </c>
      <c r="U59" s="116">
        <v>183</v>
      </c>
      <c r="V59" s="155">
        <f t="shared" si="7"/>
        <v>140.5</v>
      </c>
      <c r="W59" s="155">
        <v>1.4</v>
      </c>
      <c r="X59" s="124">
        <f t="shared" si="8"/>
        <v>100.35714285714286</v>
      </c>
      <c r="Y59" s="115" t="s">
        <v>1376</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89"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1378</v>
      </c>
      <c r="B60" s="114">
        <v>28427</v>
      </c>
      <c r="C60" s="114">
        <v>1</v>
      </c>
      <c r="D60" s="114"/>
      <c r="E60" s="114">
        <v>19</v>
      </c>
      <c r="F60" s="114"/>
      <c r="G60" s="114"/>
      <c r="H60" s="114">
        <v>18</v>
      </c>
      <c r="I60" s="115"/>
      <c r="J60" s="114"/>
      <c r="K60" s="114"/>
      <c r="L60" s="114">
        <v>28</v>
      </c>
      <c r="M60" s="114"/>
      <c r="N60" s="114"/>
      <c r="O60" s="114"/>
      <c r="P60" s="10"/>
      <c r="Q60" s="114" t="s">
        <v>1032</v>
      </c>
      <c r="R60" s="114"/>
      <c r="S60" s="114" t="s">
        <v>685</v>
      </c>
      <c r="T60" s="114">
        <v>109</v>
      </c>
      <c r="U60" s="114">
        <v>203</v>
      </c>
      <c r="V60" s="155">
        <f t="shared" si="7"/>
        <v>156</v>
      </c>
      <c r="W60" s="155">
        <v>1.6</v>
      </c>
      <c r="X60" s="124">
        <f t="shared" si="8"/>
        <v>97.5</v>
      </c>
      <c r="Y60" s="114" t="s">
        <v>1376</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89"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1379</v>
      </c>
      <c r="B61" s="116">
        <v>28426</v>
      </c>
      <c r="C61" s="116">
        <v>1</v>
      </c>
      <c r="D61" s="114"/>
      <c r="E61" s="114">
        <v>17</v>
      </c>
      <c r="F61" s="114"/>
      <c r="G61" s="115"/>
      <c r="H61" s="115">
        <v>17</v>
      </c>
      <c r="I61" s="115"/>
      <c r="J61" s="114"/>
      <c r="K61" s="116"/>
      <c r="L61" s="114">
        <v>25</v>
      </c>
      <c r="M61" s="116"/>
      <c r="N61" s="114"/>
      <c r="O61" s="116"/>
      <c r="P61" s="114"/>
      <c r="Q61" s="114" t="s">
        <v>1032</v>
      </c>
      <c r="R61" s="114"/>
      <c r="S61" s="114" t="s">
        <v>685</v>
      </c>
      <c r="T61" s="114">
        <v>102</v>
      </c>
      <c r="U61" s="116">
        <v>190</v>
      </c>
      <c r="V61" s="155">
        <f t="shared" si="7"/>
        <v>146</v>
      </c>
      <c r="W61" s="155">
        <v>1.6</v>
      </c>
      <c r="X61" s="124">
        <f t="shared" si="8"/>
        <v>91.25</v>
      </c>
      <c r="Y61" s="115" t="s">
        <v>1376</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89"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1380</v>
      </c>
      <c r="B62" s="114">
        <v>31332</v>
      </c>
      <c r="C62" s="114">
        <v>1</v>
      </c>
      <c r="D62" s="114"/>
      <c r="E62" s="114"/>
      <c r="F62" s="114"/>
      <c r="G62" s="114"/>
      <c r="H62" s="114"/>
      <c r="I62" s="115"/>
      <c r="J62" s="114"/>
      <c r="K62" s="114"/>
      <c r="L62" s="114"/>
      <c r="M62" s="114"/>
      <c r="N62" s="114"/>
      <c r="O62" s="114"/>
      <c r="P62" s="10"/>
      <c r="Q62" s="114" t="s">
        <v>1032</v>
      </c>
      <c r="R62" s="114"/>
      <c r="S62" s="114" t="s">
        <v>673</v>
      </c>
      <c r="T62" s="114">
        <v>147</v>
      </c>
      <c r="U62" s="114">
        <v>275</v>
      </c>
      <c r="V62" s="155">
        <f t="shared" si="7"/>
        <v>211</v>
      </c>
      <c r="W62" s="155">
        <v>2.6</v>
      </c>
      <c r="X62" s="124">
        <f t="shared" si="8"/>
        <v>81.153846153846146</v>
      </c>
      <c r="Y62" s="114" t="s">
        <v>1376</v>
      </c>
      <c r="Z62" s="114"/>
      <c r="AA62" s="114"/>
      <c r="AB62" s="114"/>
      <c r="AC62" s="10" t="s">
        <v>756</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89"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2001</v>
      </c>
      <c r="B63" s="116">
        <v>35101</v>
      </c>
      <c r="C63" s="116">
        <v>5</v>
      </c>
      <c r="D63" s="114"/>
      <c r="E63" s="114"/>
      <c r="F63" s="114">
        <v>38</v>
      </c>
      <c r="G63" s="115">
        <v>22</v>
      </c>
      <c r="H63" s="115">
        <v>9</v>
      </c>
      <c r="I63" s="846"/>
      <c r="J63" s="114">
        <v>49</v>
      </c>
      <c r="K63" s="116"/>
      <c r="L63" s="114">
        <v>31</v>
      </c>
      <c r="M63" s="116"/>
      <c r="N63" s="114">
        <v>12</v>
      </c>
      <c r="O63" s="116"/>
      <c r="P63" s="114"/>
      <c r="Q63" s="114" t="s">
        <v>1032</v>
      </c>
      <c r="R63" s="114"/>
      <c r="S63" s="114" t="s">
        <v>676</v>
      </c>
      <c r="T63" s="114">
        <v>224</v>
      </c>
      <c r="U63" s="116">
        <v>337</v>
      </c>
      <c r="V63" s="155">
        <f t="shared" si="7"/>
        <v>280.5</v>
      </c>
      <c r="W63" s="155">
        <v>2.6</v>
      </c>
      <c r="X63" s="124">
        <f t="shared" si="8"/>
        <v>107.88461538461539</v>
      </c>
      <c r="Y63" s="114" t="s">
        <v>1376</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89"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985</v>
      </c>
      <c r="B64" s="114">
        <v>34164</v>
      </c>
      <c r="C64" s="114">
        <v>5</v>
      </c>
      <c r="D64" s="114"/>
      <c r="E64" s="114"/>
      <c r="F64" s="114"/>
      <c r="G64" s="114"/>
      <c r="H64" s="114"/>
      <c r="I64" s="115">
        <v>25</v>
      </c>
      <c r="J64" s="114"/>
      <c r="K64" s="114">
        <v>25</v>
      </c>
      <c r="L64" s="114">
        <v>36</v>
      </c>
      <c r="M64" s="114"/>
      <c r="N64" s="114"/>
      <c r="O64" s="114"/>
      <c r="P64" s="10"/>
      <c r="Q64" s="114" t="s">
        <v>1032</v>
      </c>
      <c r="R64" s="114"/>
      <c r="S64" s="114" t="s">
        <v>870</v>
      </c>
      <c r="T64" s="114">
        <v>113</v>
      </c>
      <c r="U64" s="114">
        <v>211</v>
      </c>
      <c r="V64" s="155">
        <f t="shared" si="7"/>
        <v>162</v>
      </c>
      <c r="W64" s="155">
        <v>1.5</v>
      </c>
      <c r="X64" s="124">
        <f t="shared" si="8"/>
        <v>108</v>
      </c>
      <c r="Y64" s="114" t="s">
        <v>1376</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89"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1381</v>
      </c>
      <c r="B65" s="114">
        <v>28267</v>
      </c>
      <c r="C65" s="114">
        <v>1</v>
      </c>
      <c r="D65" s="114"/>
      <c r="E65" s="114"/>
      <c r="F65" s="114">
        <v>30</v>
      </c>
      <c r="G65" s="114">
        <v>16</v>
      </c>
      <c r="H65" s="114"/>
      <c r="I65" s="115"/>
      <c r="J65" s="114"/>
      <c r="K65" s="114"/>
      <c r="L65" s="114">
        <v>13</v>
      </c>
      <c r="M65" s="114"/>
      <c r="N65" s="114"/>
      <c r="O65" s="114"/>
      <c r="P65" s="10"/>
      <c r="Q65" s="114" t="s">
        <v>1032</v>
      </c>
      <c r="R65" s="114"/>
      <c r="S65" s="114" t="s">
        <v>672</v>
      </c>
      <c r="T65" s="114">
        <v>130</v>
      </c>
      <c r="U65" s="114">
        <v>243</v>
      </c>
      <c r="V65" s="155">
        <f t="shared" si="7"/>
        <v>186.5</v>
      </c>
      <c r="W65" s="155">
        <v>2.6</v>
      </c>
      <c r="X65" s="124">
        <f t="shared" si="8"/>
        <v>71.730769230769226</v>
      </c>
      <c r="Y65" s="114" t="s">
        <v>1376</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89"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1382</v>
      </c>
      <c r="B66" s="116">
        <v>23540</v>
      </c>
      <c r="C66" s="116">
        <v>1</v>
      </c>
      <c r="D66" s="114"/>
      <c r="E66" s="114">
        <v>26</v>
      </c>
      <c r="F66" s="114"/>
      <c r="G66" s="115"/>
      <c r="H66" s="115"/>
      <c r="I66" s="115"/>
      <c r="J66" s="114"/>
      <c r="K66" s="116"/>
      <c r="L66" s="114">
        <v>15</v>
      </c>
      <c r="M66" s="116"/>
      <c r="N66" s="114"/>
      <c r="O66" s="116"/>
      <c r="P66" s="114"/>
      <c r="Q66" s="114" t="s">
        <v>1032</v>
      </c>
      <c r="R66" s="114"/>
      <c r="S66" s="114" t="s">
        <v>684</v>
      </c>
      <c r="T66" s="114">
        <v>128</v>
      </c>
      <c r="U66" s="116">
        <v>239</v>
      </c>
      <c r="V66" s="155">
        <f t="shared" si="7"/>
        <v>183.5</v>
      </c>
      <c r="W66" s="155">
        <v>2.2000000000000002</v>
      </c>
      <c r="X66" s="124">
        <f t="shared" si="8"/>
        <v>83.409090909090907</v>
      </c>
      <c r="Y66" s="115" t="s">
        <v>1376</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89"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1383</v>
      </c>
      <c r="B67" s="114">
        <v>28425</v>
      </c>
      <c r="C67" s="114">
        <v>1</v>
      </c>
      <c r="D67" s="114"/>
      <c r="E67" s="114">
        <v>16</v>
      </c>
      <c r="F67" s="114"/>
      <c r="G67" s="114"/>
      <c r="H67" s="114">
        <v>16</v>
      </c>
      <c r="I67" s="115"/>
      <c r="J67" s="114"/>
      <c r="K67" s="114"/>
      <c r="L67" s="114">
        <v>23</v>
      </c>
      <c r="M67" s="114"/>
      <c r="N67" s="114"/>
      <c r="O67" s="114"/>
      <c r="P67" s="10"/>
      <c r="Q67" s="114" t="s">
        <v>1032</v>
      </c>
      <c r="R67" s="114"/>
      <c r="S67" s="114" t="s">
        <v>685</v>
      </c>
      <c r="T67" s="114">
        <v>94</v>
      </c>
      <c r="U67" s="114">
        <v>176</v>
      </c>
      <c r="V67" s="155">
        <f t="shared" si="7"/>
        <v>135</v>
      </c>
      <c r="W67" s="155">
        <v>1.6</v>
      </c>
      <c r="X67" s="124">
        <f t="shared" si="8"/>
        <v>84.375</v>
      </c>
      <c r="Y67" s="114" t="s">
        <v>1376</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89"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1384</v>
      </c>
      <c r="B68" s="114">
        <v>28295</v>
      </c>
      <c r="C68" s="114">
        <v>1</v>
      </c>
      <c r="D68" s="114"/>
      <c r="E68" s="114"/>
      <c r="F68" s="114">
        <v>28</v>
      </c>
      <c r="G68" s="114">
        <v>15</v>
      </c>
      <c r="H68" s="114">
        <v>9</v>
      </c>
      <c r="I68" s="115"/>
      <c r="J68" s="114"/>
      <c r="K68" s="114"/>
      <c r="L68" s="114">
        <v>21</v>
      </c>
      <c r="M68" s="114"/>
      <c r="N68" s="114">
        <v>10</v>
      </c>
      <c r="O68" s="114"/>
      <c r="P68" s="10"/>
      <c r="Q68" s="114" t="s">
        <v>1032</v>
      </c>
      <c r="R68" s="114"/>
      <c r="S68" s="114" t="s">
        <v>676</v>
      </c>
      <c r="T68" s="114">
        <v>189</v>
      </c>
      <c r="U68" s="114">
        <v>285</v>
      </c>
      <c r="V68" s="155">
        <f t="shared" si="7"/>
        <v>237</v>
      </c>
      <c r="W68" s="155">
        <v>2.6</v>
      </c>
      <c r="X68" s="124">
        <f t="shared" si="8"/>
        <v>91.153846153846146</v>
      </c>
      <c r="Y68" s="114" t="s">
        <v>1376</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89"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943</v>
      </c>
      <c r="B69" s="114">
        <v>28952</v>
      </c>
      <c r="C69" s="114">
        <v>1</v>
      </c>
      <c r="D69" s="114"/>
      <c r="E69" s="114"/>
      <c r="F69" s="114">
        <v>26</v>
      </c>
      <c r="G69" s="114">
        <v>13</v>
      </c>
      <c r="H69" s="114">
        <v>8</v>
      </c>
      <c r="I69" s="115"/>
      <c r="J69" s="114"/>
      <c r="K69" s="114"/>
      <c r="L69" s="114">
        <v>18</v>
      </c>
      <c r="M69" s="114"/>
      <c r="N69" s="114">
        <v>9</v>
      </c>
      <c r="O69" s="114"/>
      <c r="P69" s="10"/>
      <c r="Q69" s="114" t="s">
        <v>1032</v>
      </c>
      <c r="R69" s="114"/>
      <c r="S69" s="114" t="s">
        <v>676</v>
      </c>
      <c r="T69" s="114">
        <v>103</v>
      </c>
      <c r="U69" s="114">
        <v>155</v>
      </c>
      <c r="V69" s="155">
        <f t="shared" si="7"/>
        <v>129</v>
      </c>
      <c r="W69" s="155">
        <v>1.8</v>
      </c>
      <c r="X69" s="124">
        <f t="shared" si="8"/>
        <v>71.666666666666671</v>
      </c>
      <c r="Y69" s="114" t="s">
        <v>1376</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89"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944</v>
      </c>
      <c r="B70" s="114">
        <v>28956</v>
      </c>
      <c r="C70" s="114">
        <v>1</v>
      </c>
      <c r="D70" s="114"/>
      <c r="E70" s="114"/>
      <c r="F70" s="114">
        <v>26</v>
      </c>
      <c r="G70" s="114">
        <v>13</v>
      </c>
      <c r="H70" s="114">
        <v>8</v>
      </c>
      <c r="I70" s="115"/>
      <c r="J70" s="114"/>
      <c r="K70" s="114"/>
      <c r="L70" s="114">
        <v>18</v>
      </c>
      <c r="M70" s="114"/>
      <c r="N70" s="114">
        <v>9</v>
      </c>
      <c r="O70" s="114"/>
      <c r="P70" s="10"/>
      <c r="Q70" s="114" t="s">
        <v>1032</v>
      </c>
      <c r="R70" s="114"/>
      <c r="S70" s="114" t="s">
        <v>676</v>
      </c>
      <c r="T70" s="114">
        <v>149</v>
      </c>
      <c r="U70" s="114">
        <v>224</v>
      </c>
      <c r="V70" s="155">
        <f t="shared" si="7"/>
        <v>186.5</v>
      </c>
      <c r="W70" s="155">
        <v>2.6</v>
      </c>
      <c r="X70" s="124">
        <f t="shared" si="8"/>
        <v>71.730769230769226</v>
      </c>
      <c r="Y70" s="114" t="s">
        <v>1376</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89"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1385</v>
      </c>
      <c r="B71" s="116">
        <v>23054</v>
      </c>
      <c r="C71" s="116">
        <v>1</v>
      </c>
      <c r="D71" s="114"/>
      <c r="E71" s="114"/>
      <c r="F71" s="114">
        <v>40</v>
      </c>
      <c r="G71" s="115"/>
      <c r="H71" s="115"/>
      <c r="I71" s="115"/>
      <c r="J71" s="114"/>
      <c r="K71" s="116"/>
      <c r="L71" s="114">
        <v>15</v>
      </c>
      <c r="M71" s="116"/>
      <c r="N71" s="114"/>
      <c r="O71" s="116"/>
      <c r="P71" s="114"/>
      <c r="Q71" s="114" t="s">
        <v>1032</v>
      </c>
      <c r="R71" s="114"/>
      <c r="S71" s="114" t="s">
        <v>667</v>
      </c>
      <c r="T71" s="114">
        <v>138</v>
      </c>
      <c r="U71" s="116">
        <v>257</v>
      </c>
      <c r="V71" s="155">
        <f t="shared" si="7"/>
        <v>197.5</v>
      </c>
      <c r="W71" s="155">
        <v>2.7</v>
      </c>
      <c r="X71" s="124">
        <f t="shared" si="8"/>
        <v>73.148148148148138</v>
      </c>
      <c r="Y71" s="115" t="s">
        <v>1376</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89"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1032</v>
      </c>
      <c r="R72" s="114"/>
      <c r="S72" s="114" t="s">
        <v>663</v>
      </c>
      <c r="T72" s="114">
        <v>174</v>
      </c>
      <c r="U72" s="114">
        <v>323</v>
      </c>
      <c r="V72" s="155">
        <f t="shared" si="7"/>
        <v>248.5</v>
      </c>
      <c r="W72" s="155">
        <v>2.6</v>
      </c>
      <c r="X72" s="124">
        <f t="shared" si="8"/>
        <v>95.57692307692308</v>
      </c>
      <c r="Y72" s="114" t="s">
        <v>1376</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89"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2974</v>
      </c>
      <c r="B73" s="114">
        <v>16345</v>
      </c>
      <c r="C73" s="114">
        <v>1</v>
      </c>
      <c r="D73" s="114"/>
      <c r="E73" s="114"/>
      <c r="F73" s="114">
        <v>28</v>
      </c>
      <c r="G73" s="114">
        <v>14</v>
      </c>
      <c r="H73" s="114"/>
      <c r="I73" s="115"/>
      <c r="J73" s="114"/>
      <c r="K73" s="114"/>
      <c r="L73" s="114">
        <v>7</v>
      </c>
      <c r="M73" s="114"/>
      <c r="N73" s="114"/>
      <c r="O73" s="114"/>
      <c r="P73" s="10"/>
      <c r="Q73" s="114" t="s">
        <v>1032</v>
      </c>
      <c r="R73" s="114"/>
      <c r="S73" s="114" t="s">
        <v>676</v>
      </c>
      <c r="T73" s="114">
        <v>138</v>
      </c>
      <c r="U73" s="114">
        <v>207</v>
      </c>
      <c r="V73" s="155">
        <f t="shared" ref="V73" si="10">(U73+T73)/2</f>
        <v>172.5</v>
      </c>
      <c r="W73" s="155">
        <v>2.9</v>
      </c>
      <c r="X73" s="124">
        <f t="shared" ref="X73" si="11">V73/W73</f>
        <v>59.482758620689658</v>
      </c>
      <c r="Y73" s="114" t="s">
        <v>1376</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89"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946</v>
      </c>
      <c r="B74" s="114">
        <v>28926</v>
      </c>
      <c r="C74" s="114">
        <v>1</v>
      </c>
      <c r="D74" s="114"/>
      <c r="E74" s="114"/>
      <c r="F74" s="114">
        <v>26</v>
      </c>
      <c r="G74" s="114">
        <v>13</v>
      </c>
      <c r="H74" s="114">
        <v>8</v>
      </c>
      <c r="I74" s="115"/>
      <c r="J74" s="114"/>
      <c r="K74" s="114"/>
      <c r="L74" s="114">
        <v>18</v>
      </c>
      <c r="M74" s="114"/>
      <c r="N74" s="114">
        <v>9</v>
      </c>
      <c r="O74" s="114"/>
      <c r="P74" s="10"/>
      <c r="Q74" s="114" t="s">
        <v>1032</v>
      </c>
      <c r="R74" s="114"/>
      <c r="S74" s="114" t="s">
        <v>676</v>
      </c>
      <c r="T74" s="114">
        <v>103</v>
      </c>
      <c r="U74" s="114">
        <v>155</v>
      </c>
      <c r="V74" s="155">
        <f t="shared" si="7"/>
        <v>129</v>
      </c>
      <c r="W74" s="155">
        <v>1.8</v>
      </c>
      <c r="X74" s="124">
        <f t="shared" si="8"/>
        <v>71.666666666666671</v>
      </c>
      <c r="Y74" s="114" t="s">
        <v>1376</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89"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945</v>
      </c>
      <c r="B75" s="114">
        <v>28937</v>
      </c>
      <c r="C75" s="114">
        <v>1</v>
      </c>
      <c r="D75" s="114"/>
      <c r="E75" s="114"/>
      <c r="F75" s="114">
        <v>26</v>
      </c>
      <c r="G75" s="114">
        <v>13</v>
      </c>
      <c r="H75" s="114">
        <v>8</v>
      </c>
      <c r="I75" s="115"/>
      <c r="J75" s="114"/>
      <c r="K75" s="114"/>
      <c r="L75" s="114">
        <v>18</v>
      </c>
      <c r="M75" s="114"/>
      <c r="N75" s="114">
        <v>9</v>
      </c>
      <c r="O75" s="114"/>
      <c r="P75" s="10"/>
      <c r="Q75" s="114" t="s">
        <v>1032</v>
      </c>
      <c r="R75" s="114"/>
      <c r="S75" s="114" t="s">
        <v>676</v>
      </c>
      <c r="T75" s="114">
        <v>149</v>
      </c>
      <c r="U75" s="114">
        <v>224</v>
      </c>
      <c r="V75" s="155">
        <f t="shared" si="7"/>
        <v>186.5</v>
      </c>
      <c r="W75" s="155">
        <v>2.6</v>
      </c>
      <c r="X75" s="124">
        <f t="shared" si="8"/>
        <v>71.730769230769226</v>
      </c>
      <c r="Y75" s="114" t="s">
        <v>1376</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89"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1386</v>
      </c>
      <c r="B76" s="114">
        <v>29156</v>
      </c>
      <c r="C76" s="114">
        <v>1</v>
      </c>
      <c r="D76" s="114"/>
      <c r="E76" s="114"/>
      <c r="F76" s="114"/>
      <c r="G76" s="114"/>
      <c r="H76" s="114">
        <v>8</v>
      </c>
      <c r="I76" s="115"/>
      <c r="J76" s="114"/>
      <c r="K76" s="114"/>
      <c r="L76" s="114">
        <v>13</v>
      </c>
      <c r="M76" s="114"/>
      <c r="N76" s="114"/>
      <c r="O76" s="114">
        <v>16</v>
      </c>
      <c r="P76" s="10"/>
      <c r="Q76" s="114" t="s">
        <v>1032</v>
      </c>
      <c r="R76" s="114"/>
      <c r="S76" s="114" t="s">
        <v>675</v>
      </c>
      <c r="T76" s="114">
        <v>102</v>
      </c>
      <c r="U76" s="114">
        <v>190</v>
      </c>
      <c r="V76" s="155">
        <f t="shared" si="7"/>
        <v>146</v>
      </c>
      <c r="W76" s="155">
        <v>1.8</v>
      </c>
      <c r="X76" s="124">
        <f t="shared" si="8"/>
        <v>81.111111111111114</v>
      </c>
      <c r="Y76" s="114" t="s">
        <v>1376</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89"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1387</v>
      </c>
      <c r="B77" s="116">
        <v>30733</v>
      </c>
      <c r="C77" s="116">
        <v>1</v>
      </c>
      <c r="F77" s="114">
        <v>70</v>
      </c>
      <c r="G77" s="115"/>
      <c r="H77" s="115"/>
      <c r="I77" s="115"/>
      <c r="K77" s="116"/>
      <c r="M77" s="116"/>
      <c r="O77" s="116"/>
      <c r="Q77" s="114" t="s">
        <v>1032</v>
      </c>
      <c r="S77" s="114" t="s">
        <v>681</v>
      </c>
      <c r="T77" s="114">
        <v>163</v>
      </c>
      <c r="U77" s="116">
        <v>304</v>
      </c>
      <c r="V77" s="155">
        <f t="shared" si="7"/>
        <v>233.5</v>
      </c>
      <c r="W77" s="155">
        <v>2.6</v>
      </c>
      <c r="X77" s="124">
        <f t="shared" si="8"/>
        <v>89.807692307692307</v>
      </c>
      <c r="Y77" s="115" t="s">
        <v>1376</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89"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1388</v>
      </c>
      <c r="B78" s="114">
        <v>30788</v>
      </c>
      <c r="C78" s="114">
        <v>1</v>
      </c>
      <c r="F78" s="114">
        <f>IF(OR(mobtype="Any",mobtype="Demon"),93,0)</f>
        <v>93</v>
      </c>
      <c r="I78" s="115"/>
      <c r="P78" s="10"/>
      <c r="Q78" s="114" t="s">
        <v>1032</v>
      </c>
      <c r="S78" s="114" t="s">
        <v>674</v>
      </c>
      <c r="T78" s="114">
        <v>135</v>
      </c>
      <c r="U78" s="114">
        <v>252</v>
      </c>
      <c r="V78" s="155">
        <f t="shared" si="7"/>
        <v>193.5</v>
      </c>
      <c r="W78" s="155">
        <v>2.7</v>
      </c>
      <c r="X78" s="124">
        <f t="shared" si="8"/>
        <v>71.666666666666657</v>
      </c>
      <c r="Y78" s="114" t="s">
        <v>1376</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89"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971</v>
      </c>
      <c r="B79" s="114">
        <v>34672</v>
      </c>
      <c r="C79" s="114">
        <v>5</v>
      </c>
      <c r="H79" s="114">
        <v>8</v>
      </c>
      <c r="I79" s="115"/>
      <c r="K79" s="114">
        <v>11</v>
      </c>
      <c r="L79" s="114">
        <v>21</v>
      </c>
      <c r="O79" s="114">
        <v>13</v>
      </c>
      <c r="P79" s="10"/>
      <c r="Q79" s="114" t="s">
        <v>1032</v>
      </c>
      <c r="S79" s="114" t="s">
        <v>675</v>
      </c>
      <c r="T79" s="114">
        <v>80</v>
      </c>
      <c r="U79" s="114">
        <v>121</v>
      </c>
      <c r="V79" s="155">
        <f t="shared" si="7"/>
        <v>100.5</v>
      </c>
      <c r="W79" s="155">
        <v>1.4</v>
      </c>
      <c r="X79" s="124">
        <f t="shared" si="8"/>
        <v>71.785714285714292</v>
      </c>
      <c r="Y79" s="114" t="s">
        <v>1376</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89"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1389</v>
      </c>
      <c r="B80" s="116">
        <v>28749</v>
      </c>
      <c r="C80" s="116">
        <v>1</v>
      </c>
      <c r="D80" s="114"/>
      <c r="E80" s="114"/>
      <c r="F80" s="114"/>
      <c r="G80" s="115"/>
      <c r="H80" s="115">
        <v>17</v>
      </c>
      <c r="I80" s="115"/>
      <c r="J80" s="114"/>
      <c r="K80" s="116"/>
      <c r="L80" s="114">
        <v>28</v>
      </c>
      <c r="M80" s="116"/>
      <c r="N80" s="114"/>
      <c r="O80" s="116">
        <v>13</v>
      </c>
      <c r="P80" s="114"/>
      <c r="Q80" s="114" t="s">
        <v>1032</v>
      </c>
      <c r="R80" s="114"/>
      <c r="S80" s="114" t="s">
        <v>671</v>
      </c>
      <c r="T80" s="114">
        <v>98</v>
      </c>
      <c r="U80" s="116">
        <v>182</v>
      </c>
      <c r="V80" s="155">
        <f t="shared" si="7"/>
        <v>140</v>
      </c>
      <c r="W80" s="155">
        <v>1.6</v>
      </c>
      <c r="X80" s="124">
        <f t="shared" si="8"/>
        <v>87.5</v>
      </c>
      <c r="Y80" s="115" t="s">
        <v>1376</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89"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959</v>
      </c>
      <c r="B81" s="114">
        <v>34703</v>
      </c>
      <c r="C81" s="114">
        <v>5</v>
      </c>
      <c r="D81" s="114"/>
      <c r="E81" s="114"/>
      <c r="F81" s="114">
        <f>28+IF(SetLat2p,30,0)</f>
        <v>28</v>
      </c>
      <c r="G81" s="114"/>
      <c r="H81" s="114"/>
      <c r="I81" s="115"/>
      <c r="J81" s="114">
        <v>98</v>
      </c>
      <c r="K81" s="114"/>
      <c r="L81" s="114">
        <v>21</v>
      </c>
      <c r="M81" s="114"/>
      <c r="N81" s="114"/>
      <c r="O81" s="116"/>
      <c r="P81" s="10" t="s">
        <v>960</v>
      </c>
      <c r="Q81" s="114" t="s">
        <v>1032</v>
      </c>
      <c r="R81" s="114"/>
      <c r="S81" s="114" t="s">
        <v>672</v>
      </c>
      <c r="T81" s="114">
        <v>130</v>
      </c>
      <c r="U81" s="114">
        <v>243</v>
      </c>
      <c r="V81" s="155">
        <f>(U81+T81)/2</f>
        <v>186.5</v>
      </c>
      <c r="W81" s="155">
        <v>2.6</v>
      </c>
      <c r="X81" s="124">
        <f>V81/W81</f>
        <v>71.730769230769226</v>
      </c>
      <c r="Y81" s="114" t="s">
        <v>1376</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89"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1391</v>
      </c>
      <c r="B82" s="114">
        <v>28189</v>
      </c>
      <c r="C82" s="114">
        <v>1</v>
      </c>
      <c r="D82" s="114"/>
      <c r="E82" s="114">
        <v>15</v>
      </c>
      <c r="F82" s="114">
        <v>26</v>
      </c>
      <c r="G82" s="114"/>
      <c r="H82" s="114"/>
      <c r="I82" s="115"/>
      <c r="J82" s="114"/>
      <c r="K82" s="114">
        <v>14</v>
      </c>
      <c r="L82" s="114"/>
      <c r="M82" s="114"/>
      <c r="N82" s="114"/>
      <c r="O82" s="116"/>
      <c r="P82" s="10" t="s">
        <v>960</v>
      </c>
      <c r="Q82" s="114" t="s">
        <v>1032</v>
      </c>
      <c r="R82" s="114"/>
      <c r="S82" s="114" t="s">
        <v>672</v>
      </c>
      <c r="T82" s="114">
        <v>70</v>
      </c>
      <c r="U82" s="114">
        <v>131</v>
      </c>
      <c r="V82" s="155">
        <f t="shared" si="7"/>
        <v>100.5</v>
      </c>
      <c r="W82" s="155">
        <v>1.4</v>
      </c>
      <c r="X82" s="124">
        <f t="shared" si="8"/>
        <v>71.785714285714292</v>
      </c>
      <c r="Y82" s="114" t="s">
        <v>1376</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89"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1390</v>
      </c>
      <c r="B83" s="116">
        <v>32052</v>
      </c>
      <c r="C83" s="116">
        <v>2</v>
      </c>
      <c r="D83" s="114"/>
      <c r="E83" s="114"/>
      <c r="F83" s="114">
        <v>30</v>
      </c>
      <c r="G83" s="115">
        <v>19</v>
      </c>
      <c r="H83" s="115">
        <v>10</v>
      </c>
      <c r="I83" s="115"/>
      <c r="J83" s="114"/>
      <c r="K83" s="116"/>
      <c r="L83" s="114">
        <v>27</v>
      </c>
      <c r="M83" s="116"/>
      <c r="N83" s="114">
        <v>12</v>
      </c>
      <c r="O83" s="116"/>
      <c r="P83" s="114"/>
      <c r="Q83" s="114" t="s">
        <v>1032</v>
      </c>
      <c r="R83" s="114"/>
      <c r="S83" s="114" t="s">
        <v>676</v>
      </c>
      <c r="T83" s="114">
        <v>203</v>
      </c>
      <c r="U83" s="116">
        <v>305</v>
      </c>
      <c r="V83" s="155">
        <f t="shared" si="7"/>
        <v>254</v>
      </c>
      <c r="W83" s="155">
        <v>2.6</v>
      </c>
      <c r="X83" s="124">
        <f t="shared" si="8"/>
        <v>97.692307692307693</v>
      </c>
      <c r="Y83" s="115" t="s">
        <v>1376</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89"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984</v>
      </c>
      <c r="B84" s="114">
        <v>34214</v>
      </c>
      <c r="C84" s="114">
        <v>5</v>
      </c>
      <c r="D84" s="114"/>
      <c r="E84" s="114"/>
      <c r="F84" s="114"/>
      <c r="G84" s="114"/>
      <c r="H84" s="114">
        <v>17</v>
      </c>
      <c r="I84" s="115">
        <v>35</v>
      </c>
      <c r="J84" s="114"/>
      <c r="K84" s="114"/>
      <c r="L84" s="114">
        <v>27</v>
      </c>
      <c r="M84" s="114"/>
      <c r="N84" s="114"/>
      <c r="O84" s="114"/>
      <c r="P84" s="10"/>
      <c r="Q84" s="114" t="s">
        <v>1032</v>
      </c>
      <c r="R84" s="114"/>
      <c r="S84" s="114" t="s">
        <v>870</v>
      </c>
      <c r="T84" s="114">
        <v>196</v>
      </c>
      <c r="U84" s="114">
        <v>365</v>
      </c>
      <c r="V84" s="155">
        <f t="shared" si="7"/>
        <v>280.5</v>
      </c>
      <c r="W84" s="155">
        <v>2.6</v>
      </c>
      <c r="X84" s="124">
        <f t="shared" si="8"/>
        <v>107.88461538461539</v>
      </c>
      <c r="Y84" s="114" t="s">
        <v>1376</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89"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1392</v>
      </c>
      <c r="B85" s="114">
        <v>27673</v>
      </c>
      <c r="C85" s="114">
        <v>1</v>
      </c>
      <c r="D85" s="114"/>
      <c r="E85" s="114"/>
      <c r="F85" s="114">
        <v>40</v>
      </c>
      <c r="G85" s="116">
        <v>11</v>
      </c>
      <c r="H85" s="116"/>
      <c r="I85" s="115"/>
      <c r="J85" s="114"/>
      <c r="K85" s="114"/>
      <c r="L85" s="114">
        <v>12</v>
      </c>
      <c r="M85" s="114"/>
      <c r="N85" s="114"/>
      <c r="O85" s="116"/>
      <c r="P85" s="114"/>
      <c r="Q85" s="114" t="s">
        <v>1032</v>
      </c>
      <c r="R85" s="114"/>
      <c r="S85" s="114" t="s">
        <v>690</v>
      </c>
      <c r="T85" s="115">
        <v>120</v>
      </c>
      <c r="U85" s="114">
        <v>224</v>
      </c>
      <c r="V85" s="155">
        <f t="shared" si="7"/>
        <v>172</v>
      </c>
      <c r="W85" s="155">
        <v>2.4</v>
      </c>
      <c r="X85" s="124">
        <f t="shared" si="8"/>
        <v>71.666666666666671</v>
      </c>
      <c r="Y85" s="114" t="s">
        <v>1376</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89"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1635</v>
      </c>
      <c r="B86" s="114">
        <v>34609</v>
      </c>
      <c r="C86" s="114">
        <v>5</v>
      </c>
      <c r="D86" s="114"/>
      <c r="E86" s="114"/>
      <c r="F86" s="114">
        <v>38</v>
      </c>
      <c r="G86" s="114"/>
      <c r="H86" s="114"/>
      <c r="I86" s="115"/>
      <c r="J86" s="114">
        <v>126</v>
      </c>
      <c r="K86" s="114"/>
      <c r="L86" s="114">
        <v>27</v>
      </c>
      <c r="M86" s="114"/>
      <c r="N86" s="114"/>
      <c r="O86" s="116"/>
      <c r="P86" s="10"/>
      <c r="Q86" s="114" t="s">
        <v>1032</v>
      </c>
      <c r="R86" s="114"/>
      <c r="S86" s="114" t="s">
        <v>690</v>
      </c>
      <c r="T86" s="114">
        <v>96</v>
      </c>
      <c r="U86" s="114">
        <v>180</v>
      </c>
      <c r="V86" s="155">
        <f>(U86+T86)/2</f>
        <v>138</v>
      </c>
      <c r="W86" s="155">
        <v>1.5</v>
      </c>
      <c r="X86" s="124">
        <f>V86/W86</f>
        <v>92</v>
      </c>
      <c r="Y86" s="114" t="s">
        <v>1376</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89"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1393</v>
      </c>
      <c r="B87" s="114">
        <v>28311</v>
      </c>
      <c r="C87" s="114">
        <v>1</v>
      </c>
      <c r="D87" s="114"/>
      <c r="E87" s="114"/>
      <c r="F87" s="114"/>
      <c r="G87" s="114"/>
      <c r="H87" s="114"/>
      <c r="I87" s="115"/>
      <c r="J87" s="114"/>
      <c r="K87" s="114"/>
      <c r="L87" s="114"/>
      <c r="M87" s="114"/>
      <c r="N87" s="114"/>
      <c r="O87" s="116"/>
      <c r="P87" s="10"/>
      <c r="Q87" s="114" t="s">
        <v>1032</v>
      </c>
      <c r="R87" s="114"/>
      <c r="S87" s="114" t="s">
        <v>672</v>
      </c>
      <c r="T87" s="114">
        <v>75</v>
      </c>
      <c r="U87" s="114">
        <v>140</v>
      </c>
      <c r="V87" s="155">
        <f t="shared" si="7"/>
        <v>107.5</v>
      </c>
      <c r="W87" s="155">
        <v>1.5</v>
      </c>
      <c r="X87" s="124">
        <f t="shared" si="8"/>
        <v>71.666666666666671</v>
      </c>
      <c r="Y87" s="114" t="s">
        <v>1376</v>
      </c>
      <c r="Z87" s="114">
        <v>115</v>
      </c>
      <c r="AA87" s="114">
        <v>1</v>
      </c>
      <c r="AB87" s="114">
        <v>3</v>
      </c>
      <c r="AC87" s="10" t="s">
        <v>1394</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89"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1395</v>
      </c>
      <c r="B88" s="114">
        <v>28729</v>
      </c>
      <c r="C88" s="114">
        <v>1</v>
      </c>
      <c r="D88" s="114"/>
      <c r="E88" s="114">
        <v>14</v>
      </c>
      <c r="F88" s="114">
        <v>46</v>
      </c>
      <c r="G88" s="114"/>
      <c r="H88" s="114"/>
      <c r="I88" s="115"/>
      <c r="J88" s="114"/>
      <c r="K88" s="114"/>
      <c r="L88" s="114">
        <v>16</v>
      </c>
      <c r="M88" s="114"/>
      <c r="N88" s="114"/>
      <c r="O88" s="116"/>
      <c r="P88" s="10"/>
      <c r="Q88" s="114" t="s">
        <v>1032</v>
      </c>
      <c r="R88" s="114"/>
      <c r="S88" s="114" t="s">
        <v>671</v>
      </c>
      <c r="T88" s="114">
        <v>165</v>
      </c>
      <c r="U88" s="114">
        <v>308</v>
      </c>
      <c r="V88" s="155">
        <f t="shared" si="7"/>
        <v>236.5</v>
      </c>
      <c r="W88" s="155">
        <v>2.7</v>
      </c>
      <c r="X88" s="124">
        <f t="shared" si="8"/>
        <v>87.592592592592581</v>
      </c>
      <c r="Y88" s="114" t="s">
        <v>1376</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89"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1226</v>
      </c>
      <c r="B89" s="116">
        <v>30082</v>
      </c>
      <c r="C89" s="116">
        <v>2</v>
      </c>
      <c r="D89" s="114"/>
      <c r="E89" s="114">
        <v>15</v>
      </c>
      <c r="F89" s="114">
        <v>40</v>
      </c>
      <c r="G89" s="115"/>
      <c r="H89" s="115">
        <v>20</v>
      </c>
      <c r="I89" s="115"/>
      <c r="J89" s="114"/>
      <c r="K89" s="116"/>
      <c r="L89" s="114"/>
      <c r="M89" s="116"/>
      <c r="N89" s="114"/>
      <c r="O89" s="116"/>
      <c r="P89" s="114"/>
      <c r="Q89" s="114" t="s">
        <v>1032</v>
      </c>
      <c r="R89" s="114"/>
      <c r="S89" s="114" t="s">
        <v>666</v>
      </c>
      <c r="T89" s="114">
        <v>182</v>
      </c>
      <c r="U89" s="116">
        <v>339</v>
      </c>
      <c r="V89" s="155">
        <f t="shared" si="7"/>
        <v>260.5</v>
      </c>
      <c r="W89" s="155">
        <v>2.7</v>
      </c>
      <c r="X89" s="124">
        <f t="shared" si="8"/>
        <v>96.481481481481481</v>
      </c>
      <c r="Y89" s="115" t="s">
        <v>1376</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89"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1396</v>
      </c>
      <c r="B90" s="114">
        <v>23577</v>
      </c>
      <c r="C90" s="114">
        <v>1</v>
      </c>
      <c r="D90" s="114"/>
      <c r="E90" s="114"/>
      <c r="F90" s="114"/>
      <c r="G90" s="114"/>
      <c r="H90" s="114"/>
      <c r="I90" s="115"/>
      <c r="J90" s="114"/>
      <c r="K90" s="114">
        <v>14</v>
      </c>
      <c r="L90" s="114">
        <v>14</v>
      </c>
      <c r="M90" s="114"/>
      <c r="N90" s="114"/>
      <c r="O90" s="116"/>
      <c r="P90" s="10"/>
      <c r="Q90" s="114" t="s">
        <v>1032</v>
      </c>
      <c r="R90" s="114"/>
      <c r="S90" s="114" t="s">
        <v>667</v>
      </c>
      <c r="T90" s="114">
        <v>76</v>
      </c>
      <c r="U90" s="114">
        <v>143</v>
      </c>
      <c r="V90" s="155">
        <f t="shared" si="7"/>
        <v>109.5</v>
      </c>
      <c r="W90" s="155">
        <v>1.5</v>
      </c>
      <c r="X90" s="124">
        <f t="shared" si="8"/>
        <v>73</v>
      </c>
      <c r="Y90" s="114" t="s">
        <v>1376</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89"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1397</v>
      </c>
      <c r="B91" s="114">
        <v>29362</v>
      </c>
      <c r="C91" s="114">
        <v>1</v>
      </c>
      <c r="D91" s="114"/>
      <c r="E91" s="114"/>
      <c r="F91" s="114"/>
      <c r="G91" s="114"/>
      <c r="H91" s="114"/>
      <c r="I91" s="115"/>
      <c r="J91" s="114"/>
      <c r="K91" s="114"/>
      <c r="L91" s="114">
        <v>22</v>
      </c>
      <c r="M91" s="114">
        <v>19</v>
      </c>
      <c r="N91" s="114"/>
      <c r="O91" s="114">
        <v>13</v>
      </c>
      <c r="P91" s="10"/>
      <c r="Q91" s="114" t="s">
        <v>1032</v>
      </c>
      <c r="R91" s="114"/>
      <c r="S91" s="114" t="s">
        <v>690</v>
      </c>
      <c r="T91" s="114">
        <v>93</v>
      </c>
      <c r="U91" s="114">
        <v>174</v>
      </c>
      <c r="V91" s="155">
        <f t="shared" si="7"/>
        <v>133.5</v>
      </c>
      <c r="W91" s="155">
        <v>1.6</v>
      </c>
      <c r="X91" s="124">
        <f t="shared" si="8"/>
        <v>83.4375</v>
      </c>
      <c r="Y91" s="114" t="s">
        <v>1376</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89"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972</v>
      </c>
      <c r="B92" s="114">
        <v>34666</v>
      </c>
      <c r="C92" s="114">
        <v>5</v>
      </c>
      <c r="D92" s="114"/>
      <c r="E92" s="114">
        <v>14</v>
      </c>
      <c r="F92" s="114">
        <v>26</v>
      </c>
      <c r="G92" s="114"/>
      <c r="H92" s="114">
        <v>11</v>
      </c>
      <c r="I92" s="115"/>
      <c r="J92" s="114"/>
      <c r="K92" s="114"/>
      <c r="L92" s="114">
        <v>12</v>
      </c>
      <c r="M92" s="114"/>
      <c r="N92" s="114"/>
      <c r="O92" s="114"/>
      <c r="P92" s="10"/>
      <c r="Q92" s="114" t="s">
        <v>1032</v>
      </c>
      <c r="R92" s="114"/>
      <c r="S92" s="114" t="s">
        <v>675</v>
      </c>
      <c r="T92" s="114">
        <v>155</v>
      </c>
      <c r="U92" s="114">
        <v>233</v>
      </c>
      <c r="V92" s="155">
        <f t="shared" si="7"/>
        <v>194</v>
      </c>
      <c r="W92" s="155">
        <v>2.7</v>
      </c>
      <c r="X92" s="124">
        <f t="shared" si="8"/>
        <v>71.851851851851848</v>
      </c>
      <c r="Y92" s="114" t="s">
        <v>1376</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89"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1032</v>
      </c>
      <c r="R93" s="114"/>
      <c r="S93" s="114" t="s">
        <v>683</v>
      </c>
      <c r="T93" s="114">
        <v>112</v>
      </c>
      <c r="U93" s="116">
        <v>209</v>
      </c>
      <c r="V93" s="155">
        <f t="shared" si="7"/>
        <v>160.5</v>
      </c>
      <c r="W93" s="155">
        <v>1.6</v>
      </c>
      <c r="X93" s="124">
        <f t="shared" si="8"/>
        <v>100.3125</v>
      </c>
      <c r="Y93" s="115" t="s">
        <v>1376</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89"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1398</v>
      </c>
      <c r="B94" s="114">
        <v>19019</v>
      </c>
      <c r="C94" s="114">
        <v>1</v>
      </c>
      <c r="D94" s="114"/>
      <c r="E94" s="114">
        <v>5</v>
      </c>
      <c r="F94" s="114"/>
      <c r="G94" s="114"/>
      <c r="H94" s="114"/>
      <c r="I94" s="115"/>
      <c r="J94" s="114"/>
      <c r="K94" s="114"/>
      <c r="L94" s="114">
        <v>8</v>
      </c>
      <c r="M94" s="114"/>
      <c r="N94" s="114"/>
      <c r="O94" s="114"/>
      <c r="P94" s="10"/>
      <c r="Q94" s="114" t="s">
        <v>1032</v>
      </c>
      <c r="R94" s="114"/>
      <c r="S94" s="114" t="s">
        <v>667</v>
      </c>
      <c r="T94" s="114">
        <v>60</v>
      </c>
      <c r="U94" s="114">
        <v>145</v>
      </c>
      <c r="V94" s="155">
        <f t="shared" si="7"/>
        <v>102.5</v>
      </c>
      <c r="W94" s="155">
        <v>1.9</v>
      </c>
      <c r="X94" s="124">
        <f t="shared" si="8"/>
        <v>53.947368421052637</v>
      </c>
      <c r="Y94" s="114" t="s">
        <v>1376</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89"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1767</v>
      </c>
      <c r="B95" s="116">
        <v>33762</v>
      </c>
      <c r="C95" s="116">
        <v>3</v>
      </c>
      <c r="D95" s="114"/>
      <c r="E95" s="114"/>
      <c r="F95" s="114">
        <v>34</v>
      </c>
      <c r="G95" s="115">
        <v>21</v>
      </c>
      <c r="H95" s="115">
        <v>8</v>
      </c>
      <c r="I95" s="846"/>
      <c r="J95" s="114">
        <v>49</v>
      </c>
      <c r="K95" s="116"/>
      <c r="L95" s="114">
        <v>30</v>
      </c>
      <c r="M95" s="116"/>
      <c r="N95" s="114">
        <v>12</v>
      </c>
      <c r="O95" s="116"/>
      <c r="P95" s="114"/>
      <c r="Q95" s="114" t="s">
        <v>1032</v>
      </c>
      <c r="R95" s="114"/>
      <c r="S95" s="114" t="s">
        <v>676</v>
      </c>
      <c r="T95" s="114">
        <v>214</v>
      </c>
      <c r="U95" s="116">
        <v>322</v>
      </c>
      <c r="V95" s="155">
        <f t="shared" si="7"/>
        <v>268</v>
      </c>
      <c r="W95" s="155">
        <v>2.6</v>
      </c>
      <c r="X95" s="124">
        <f t="shared" si="8"/>
        <v>103.07692307692308</v>
      </c>
      <c r="Y95" s="114" t="s">
        <v>1376</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89"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1032</v>
      </c>
      <c r="R96" s="114"/>
      <c r="S96" s="114" t="s">
        <v>675</v>
      </c>
      <c r="T96" s="114">
        <v>147</v>
      </c>
      <c r="U96" s="116">
        <v>275</v>
      </c>
      <c r="V96" s="155">
        <f t="shared" si="7"/>
        <v>211</v>
      </c>
      <c r="W96" s="155">
        <v>2.6</v>
      </c>
      <c r="X96" s="124">
        <f t="shared" si="8"/>
        <v>81.153846153846146</v>
      </c>
      <c r="Y96" s="115" t="s">
        <v>1376</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89"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1032</v>
      </c>
      <c r="R97" s="114"/>
      <c r="S97" s="114" t="s">
        <v>682</v>
      </c>
      <c r="T97" s="114">
        <v>214</v>
      </c>
      <c r="U97" s="114">
        <v>398</v>
      </c>
      <c r="V97" s="155">
        <f t="shared" si="7"/>
        <v>306</v>
      </c>
      <c r="W97" s="155">
        <v>2.8</v>
      </c>
      <c r="X97" s="124">
        <f t="shared" si="8"/>
        <v>109.28571428571429</v>
      </c>
      <c r="Y97" s="114" t="s">
        <v>1376</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89"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1032</v>
      </c>
      <c r="R98" s="114"/>
      <c r="S98" s="114" t="s">
        <v>679</v>
      </c>
      <c r="T98" s="114">
        <v>248</v>
      </c>
      <c r="U98" s="114">
        <v>461</v>
      </c>
      <c r="V98" s="155">
        <f t="shared" si="7"/>
        <v>354.5</v>
      </c>
      <c r="W98" s="155">
        <v>2.9</v>
      </c>
      <c r="X98" s="124">
        <f t="shared" si="8"/>
        <v>122.24137931034483</v>
      </c>
      <c r="Y98" s="114" t="s">
        <v>1376</v>
      </c>
      <c r="Z98" s="114"/>
      <c r="AA98" s="114"/>
      <c r="AB98" s="114"/>
      <c r="AC98" s="10" t="s">
        <v>561</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89"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1032</v>
      </c>
      <c r="R99" s="114"/>
      <c r="S99" s="114" t="s">
        <v>690</v>
      </c>
      <c r="T99" s="114">
        <v>85</v>
      </c>
      <c r="U99" s="116">
        <v>159</v>
      </c>
      <c r="V99" s="155">
        <f>(U99+T99)/2</f>
        <v>122</v>
      </c>
      <c r="W99" s="155">
        <v>1.7</v>
      </c>
      <c r="X99" s="124">
        <f>V99/W99</f>
        <v>71.764705882352942</v>
      </c>
      <c r="Y99" s="115" t="s">
        <v>1376</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89"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1376</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1032</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1032</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897</v>
      </c>
      <c r="B103" s="116">
        <v>28584</v>
      </c>
      <c r="C103" s="116">
        <v>1</v>
      </c>
      <c r="D103" s="114"/>
      <c r="E103" s="114">
        <v>17</v>
      </c>
      <c r="F103" s="114"/>
      <c r="G103" s="115">
        <v>20</v>
      </c>
      <c r="H103" s="115"/>
      <c r="I103" s="115"/>
      <c r="J103" s="114"/>
      <c r="K103" s="116"/>
      <c r="L103" s="114">
        <v>18</v>
      </c>
      <c r="M103" s="116"/>
      <c r="N103" s="114"/>
      <c r="O103" s="116"/>
      <c r="P103" s="114"/>
      <c r="Q103" s="114" t="s">
        <v>1032</v>
      </c>
      <c r="R103" s="114"/>
      <c r="S103" s="114" t="s">
        <v>671</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89"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2002</v>
      </c>
      <c r="B104" s="116">
        <v>35076</v>
      </c>
      <c r="C104" s="116">
        <v>5</v>
      </c>
      <c r="D104" s="114"/>
      <c r="E104" s="114"/>
      <c r="F104" s="114">
        <v>38</v>
      </c>
      <c r="G104" s="115">
        <v>22</v>
      </c>
      <c r="H104" s="115">
        <v>9</v>
      </c>
      <c r="I104" s="846"/>
      <c r="J104" s="114">
        <v>49</v>
      </c>
      <c r="K104" s="116"/>
      <c r="L104" s="114">
        <v>31</v>
      </c>
      <c r="M104" s="116"/>
      <c r="N104" s="114">
        <v>12</v>
      </c>
      <c r="O104" s="116"/>
      <c r="P104" s="114"/>
      <c r="Q104" s="114" t="s">
        <v>1032</v>
      </c>
      <c r="R104" s="114"/>
      <c r="S104" s="114" t="s">
        <v>676</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89"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697</v>
      </c>
      <c r="B105" s="116">
        <v>32946</v>
      </c>
      <c r="C105" s="116">
        <v>3</v>
      </c>
      <c r="D105" s="114"/>
      <c r="E105" s="114">
        <v>20</v>
      </c>
      <c r="F105" s="114">
        <v>38</v>
      </c>
      <c r="G105" s="115"/>
      <c r="H105" s="115"/>
      <c r="I105" s="115"/>
      <c r="J105" s="114"/>
      <c r="K105" s="116"/>
      <c r="L105" s="114">
        <v>28</v>
      </c>
      <c r="M105" s="116"/>
      <c r="N105" s="114"/>
      <c r="O105" s="116"/>
      <c r="P105" s="114"/>
      <c r="Q105" s="114" t="s">
        <v>1032</v>
      </c>
      <c r="R105" s="114"/>
      <c r="S105" s="114" t="s">
        <v>683</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89"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898</v>
      </c>
      <c r="B106" s="116">
        <v>27846</v>
      </c>
      <c r="C106" s="116">
        <v>1</v>
      </c>
      <c r="D106" s="114"/>
      <c r="E106" s="114"/>
      <c r="F106" s="114">
        <v>24</v>
      </c>
      <c r="G106" s="115">
        <v>12</v>
      </c>
      <c r="H106" s="115"/>
      <c r="I106" s="115"/>
      <c r="J106" s="114"/>
      <c r="K106" s="116"/>
      <c r="L106" s="114"/>
      <c r="M106" s="116"/>
      <c r="N106" s="114"/>
      <c r="O106" s="116"/>
      <c r="P106" s="114"/>
      <c r="Q106" s="114" t="s">
        <v>1036</v>
      </c>
      <c r="R106" s="114" t="s">
        <v>1448</v>
      </c>
      <c r="S106" s="114" t="s">
        <v>690</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89"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899</v>
      </c>
      <c r="B107" s="116">
        <v>27533</v>
      </c>
      <c r="C107" s="116">
        <v>1</v>
      </c>
      <c r="D107" s="114"/>
      <c r="E107" s="114"/>
      <c r="F107" s="114">
        <v>28</v>
      </c>
      <c r="G107" s="115"/>
      <c r="H107" s="115"/>
      <c r="I107" s="115"/>
      <c r="J107" s="114"/>
      <c r="K107" s="116">
        <v>17</v>
      </c>
      <c r="L107" s="114">
        <v>16</v>
      </c>
      <c r="M107" s="116"/>
      <c r="N107" s="114"/>
      <c r="O107" s="116"/>
      <c r="P107" s="114"/>
      <c r="Q107" s="114" t="s">
        <v>1032</v>
      </c>
      <c r="R107" s="114"/>
      <c r="S107" s="114" t="s">
        <v>672</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89"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900</v>
      </c>
      <c r="B108" s="116">
        <v>28313</v>
      </c>
      <c r="C108" s="116">
        <v>1</v>
      </c>
      <c r="D108" s="114"/>
      <c r="E108" s="114"/>
      <c r="F108" s="114">
        <v>28</v>
      </c>
      <c r="G108" s="115">
        <v>15</v>
      </c>
      <c r="H108" s="115">
        <v>9</v>
      </c>
      <c r="I108" s="115"/>
      <c r="J108" s="114"/>
      <c r="K108" s="116"/>
      <c r="L108" s="114">
        <v>21</v>
      </c>
      <c r="M108" s="116"/>
      <c r="N108" s="114">
        <v>10</v>
      </c>
      <c r="O108" s="116"/>
      <c r="P108" s="114"/>
      <c r="Q108" s="114" t="s">
        <v>1032</v>
      </c>
      <c r="R108" s="114"/>
      <c r="S108" s="114" t="s">
        <v>676</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89"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947</v>
      </c>
      <c r="B109" s="116">
        <v>28953</v>
      </c>
      <c r="C109" s="116">
        <v>1</v>
      </c>
      <c r="D109" s="114"/>
      <c r="E109" s="114"/>
      <c r="F109" s="114">
        <v>26</v>
      </c>
      <c r="G109" s="115">
        <v>13</v>
      </c>
      <c r="H109" s="115">
        <v>8</v>
      </c>
      <c r="I109" s="115"/>
      <c r="J109" s="114"/>
      <c r="K109" s="116"/>
      <c r="L109" s="114">
        <v>18</v>
      </c>
      <c r="M109" s="116"/>
      <c r="N109" s="114">
        <v>9</v>
      </c>
      <c r="O109" s="116"/>
      <c r="P109" s="114"/>
      <c r="Q109" s="114" t="s">
        <v>1032</v>
      </c>
      <c r="R109" s="114"/>
      <c r="S109" s="114" t="s">
        <v>676</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89"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1728</v>
      </c>
      <c r="B110" s="116">
        <v>34331</v>
      </c>
      <c r="C110" s="116">
        <v>5</v>
      </c>
      <c r="D110" s="114"/>
      <c r="E110" s="114"/>
      <c r="F110" s="114">
        <v>54</v>
      </c>
      <c r="G110" s="115"/>
      <c r="H110" s="115"/>
      <c r="I110" s="115"/>
      <c r="J110" s="114">
        <v>196</v>
      </c>
      <c r="K110" s="116"/>
      <c r="L110" s="114">
        <v>28</v>
      </c>
      <c r="M110" s="114"/>
      <c r="N110" s="114"/>
      <c r="O110" s="116"/>
      <c r="P110" s="114"/>
      <c r="Q110" s="114" t="s">
        <v>1445</v>
      </c>
      <c r="R110" s="114" t="s">
        <v>1464</v>
      </c>
      <c r="S110" s="114" t="s">
        <v>870</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89"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948</v>
      </c>
      <c r="B111" s="116">
        <v>28928</v>
      </c>
      <c r="C111" s="116">
        <v>1</v>
      </c>
      <c r="D111" s="114"/>
      <c r="E111" s="114"/>
      <c r="F111" s="114">
        <v>26</v>
      </c>
      <c r="G111" s="115">
        <v>13</v>
      </c>
      <c r="H111" s="115">
        <v>8</v>
      </c>
      <c r="I111" s="115"/>
      <c r="J111" s="114"/>
      <c r="K111" s="116"/>
      <c r="L111" s="114">
        <v>18</v>
      </c>
      <c r="M111" s="116"/>
      <c r="N111" s="114">
        <v>9</v>
      </c>
      <c r="O111" s="116"/>
      <c r="P111" s="114"/>
      <c r="Q111" s="114" t="s">
        <v>1032</v>
      </c>
      <c r="R111" s="114"/>
      <c r="S111" s="114" t="s">
        <v>676</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89"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901</v>
      </c>
      <c r="B112" s="116">
        <v>32028</v>
      </c>
      <c r="C112" s="116">
        <v>2</v>
      </c>
      <c r="D112" s="114"/>
      <c r="E112" s="114"/>
      <c r="F112" s="114">
        <v>30</v>
      </c>
      <c r="G112" s="115">
        <v>19</v>
      </c>
      <c r="H112" s="115">
        <v>10</v>
      </c>
      <c r="I112" s="115"/>
      <c r="J112" s="114"/>
      <c r="K112" s="116"/>
      <c r="L112" s="114">
        <v>27</v>
      </c>
      <c r="M112" s="114"/>
      <c r="N112" s="114">
        <v>12</v>
      </c>
      <c r="O112" s="116"/>
      <c r="P112" s="114"/>
      <c r="Q112" s="114" t="s">
        <v>1032</v>
      </c>
      <c r="R112" s="114"/>
      <c r="S112" s="114" t="s">
        <v>676</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89"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1042</v>
      </c>
      <c r="R113" s="114" t="s">
        <v>1065</v>
      </c>
      <c r="S113" s="114" t="s">
        <v>663</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89"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902</v>
      </c>
      <c r="B114" s="116">
        <v>28392</v>
      </c>
      <c r="C114" s="116">
        <v>1</v>
      </c>
      <c r="D114" s="114"/>
      <c r="E114" s="114"/>
      <c r="F114" s="114">
        <v>32</v>
      </c>
      <c r="G114" s="115"/>
      <c r="H114" s="115">
        <v>16</v>
      </c>
      <c r="I114" s="115"/>
      <c r="J114" s="114"/>
      <c r="K114" s="116"/>
      <c r="L114" s="114">
        <v>13</v>
      </c>
      <c r="M114" s="116"/>
      <c r="N114" s="114"/>
      <c r="O114" s="116"/>
      <c r="P114" s="114"/>
      <c r="Q114" s="114" t="s">
        <v>1032</v>
      </c>
      <c r="R114" s="114"/>
      <c r="S114" s="114" t="s">
        <v>672</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89"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903</v>
      </c>
      <c r="B115" s="116">
        <v>32944</v>
      </c>
      <c r="C115" s="116">
        <v>2</v>
      </c>
      <c r="D115" s="114"/>
      <c r="E115" s="114"/>
      <c r="F115" s="114">
        <v>52</v>
      </c>
      <c r="G115" s="115">
        <v>19</v>
      </c>
      <c r="H115" s="115">
        <v>15</v>
      </c>
      <c r="I115" s="115"/>
      <c r="J115" s="114"/>
      <c r="K115" s="116"/>
      <c r="L115" s="114"/>
      <c r="M115" s="116"/>
      <c r="N115" s="114"/>
      <c r="O115" s="116"/>
      <c r="P115" s="114"/>
      <c r="Q115" s="114" t="s">
        <v>1032</v>
      </c>
      <c r="R115" s="114"/>
      <c r="S115" s="114" t="s">
        <v>679</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89"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904</v>
      </c>
      <c r="B116" s="116">
        <v>29348</v>
      </c>
      <c r="C116" s="116">
        <v>1</v>
      </c>
      <c r="D116" s="114"/>
      <c r="E116" s="114"/>
      <c r="F116" s="114"/>
      <c r="G116" s="115"/>
      <c r="H116" s="115"/>
      <c r="I116" s="115">
        <f>180*itTBFup</f>
        <v>28.584686841201592</v>
      </c>
      <c r="J116" s="114"/>
      <c r="K116" s="116"/>
      <c r="L116" s="114"/>
      <c r="M116" s="116"/>
      <c r="N116" s="114"/>
      <c r="O116" s="116"/>
      <c r="P116" s="114"/>
      <c r="Q116" s="114" t="s">
        <v>1032</v>
      </c>
      <c r="R116" s="114"/>
      <c r="S116" s="114" t="s">
        <v>690</v>
      </c>
      <c r="T116" s="114">
        <v>152</v>
      </c>
      <c r="U116" s="116">
        <v>283</v>
      </c>
      <c r="V116" s="155">
        <f t="shared" si="12"/>
        <v>217.5</v>
      </c>
      <c r="W116" s="155">
        <v>2.6</v>
      </c>
      <c r="X116" s="124">
        <f t="shared" si="13"/>
        <v>83.653846153846146</v>
      </c>
      <c r="Y116" s="115" t="s">
        <v>6</v>
      </c>
      <c r="Z116" s="114"/>
      <c r="AA116" s="114"/>
      <c r="AB116" s="114"/>
      <c r="AC116" s="288" t="s">
        <v>908</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89"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1766</v>
      </c>
      <c r="B117" s="116">
        <v>33737</v>
      </c>
      <c r="C117" s="116">
        <v>3</v>
      </c>
      <c r="D117" s="114"/>
      <c r="E117" s="114"/>
      <c r="F117" s="114">
        <v>34</v>
      </c>
      <c r="G117" s="115">
        <v>21</v>
      </c>
      <c r="H117" s="115">
        <v>8</v>
      </c>
      <c r="I117" s="846"/>
      <c r="J117" s="114">
        <v>49</v>
      </c>
      <c r="K117" s="116"/>
      <c r="L117" s="114">
        <v>30</v>
      </c>
      <c r="M117" s="116"/>
      <c r="N117" s="114">
        <v>12</v>
      </c>
      <c r="O117" s="116"/>
      <c r="P117" s="114"/>
      <c r="Q117" s="114" t="s">
        <v>1032</v>
      </c>
      <c r="R117" s="114"/>
      <c r="S117" s="114" t="s">
        <v>676</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89"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1882</v>
      </c>
      <c r="B118" s="116">
        <v>34893</v>
      </c>
      <c r="C118" s="116">
        <v>5</v>
      </c>
      <c r="D118" s="114"/>
      <c r="E118" s="114">
        <v>23</v>
      </c>
      <c r="F118" s="114">
        <v>44</v>
      </c>
      <c r="G118" s="115"/>
      <c r="H118" s="115"/>
      <c r="I118" s="847">
        <v>21</v>
      </c>
      <c r="J118" s="114"/>
      <c r="K118" s="116"/>
      <c r="L118" s="114"/>
      <c r="M118" s="116"/>
      <c r="N118" s="114"/>
      <c r="O118" s="116"/>
      <c r="P118" s="114"/>
      <c r="Q118" s="114" t="s">
        <v>1032</v>
      </c>
      <c r="R118" s="114"/>
      <c r="S118" s="114" t="s">
        <v>690</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89"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1032</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909</v>
      </c>
      <c r="B121" s="838"/>
      <c r="C121" s="838"/>
      <c r="D121" s="742"/>
      <c r="E121" s="742"/>
      <c r="F121" s="742"/>
      <c r="G121" s="837"/>
      <c r="H121" s="837"/>
      <c r="I121" s="837"/>
      <c r="J121" s="742"/>
      <c r="K121" s="838"/>
      <c r="L121" s="742"/>
      <c r="M121" s="838"/>
      <c r="N121" s="742"/>
      <c r="O121" s="838"/>
      <c r="P121" s="742"/>
      <c r="Q121" s="742" t="s">
        <v>1032</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1206</v>
      </c>
      <c r="B122" s="116">
        <v>32661</v>
      </c>
      <c r="C122" s="116">
        <v>3</v>
      </c>
      <c r="D122" s="114"/>
      <c r="E122" s="114"/>
      <c r="F122" s="114">
        <v>22</v>
      </c>
      <c r="G122" s="115">
        <v>20</v>
      </c>
      <c r="H122" s="115">
        <v>8</v>
      </c>
      <c r="I122" s="115"/>
      <c r="J122" s="114"/>
      <c r="K122" s="116"/>
      <c r="L122" s="114"/>
      <c r="M122" s="116"/>
      <c r="N122" s="114"/>
      <c r="O122" s="116"/>
      <c r="P122" s="114"/>
      <c r="Q122" s="114" t="s">
        <v>1032</v>
      </c>
      <c r="R122" s="114"/>
      <c r="S122" s="114" t="s">
        <v>673</v>
      </c>
      <c r="T122" s="114">
        <v>90</v>
      </c>
      <c r="U122" s="116">
        <v>168</v>
      </c>
      <c r="V122" s="155">
        <f t="shared" ref="V122:V146" si="15">(U122+T122)/2</f>
        <v>129</v>
      </c>
      <c r="W122" s="155">
        <v>1.8</v>
      </c>
      <c r="X122" s="124">
        <f t="shared" ref="X122:X146" si="16">V122/W122</f>
        <v>71.666666666666671</v>
      </c>
      <c r="Y122" s="115" t="s">
        <v>910</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89"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1916</v>
      </c>
      <c r="B123" s="116">
        <v>27901</v>
      </c>
      <c r="C123" s="116">
        <v>1</v>
      </c>
      <c r="D123" s="114"/>
      <c r="E123" s="114"/>
      <c r="F123" s="114"/>
      <c r="G123" s="115"/>
      <c r="H123" s="115"/>
      <c r="I123" s="115">
        <f>132*itGenProc10sMH</f>
        <v>56.168188662844742</v>
      </c>
      <c r="J123" s="114"/>
      <c r="K123" s="116"/>
      <c r="L123" s="114"/>
      <c r="M123" s="116"/>
      <c r="N123" s="114"/>
      <c r="O123" s="116"/>
      <c r="P123" s="114"/>
      <c r="Q123" s="114" t="s">
        <v>1044</v>
      </c>
      <c r="R123" s="114" t="s">
        <v>1464</v>
      </c>
      <c r="S123" s="114" t="s">
        <v>672</v>
      </c>
      <c r="T123" s="114">
        <v>73</v>
      </c>
      <c r="U123" s="116">
        <v>136</v>
      </c>
      <c r="V123" s="155">
        <f t="shared" si="15"/>
        <v>104.5</v>
      </c>
      <c r="W123" s="155">
        <v>1.5</v>
      </c>
      <c r="X123" s="124">
        <f t="shared" si="16"/>
        <v>69.666666666666671</v>
      </c>
      <c r="Y123" s="115" t="s">
        <v>910</v>
      </c>
      <c r="Z123" s="114"/>
      <c r="AA123" s="114"/>
      <c r="AB123" s="114"/>
      <c r="AC123" s="10" t="s">
        <v>616</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89"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911</v>
      </c>
      <c r="B124" s="116">
        <v>28210</v>
      </c>
      <c r="C124" s="116">
        <v>1</v>
      </c>
      <c r="D124" s="114"/>
      <c r="E124" s="114"/>
      <c r="F124" s="114">
        <v>22</v>
      </c>
      <c r="G124" s="115">
        <v>21</v>
      </c>
      <c r="H124" s="115"/>
      <c r="I124" s="115"/>
      <c r="J124" s="114"/>
      <c r="K124" s="116"/>
      <c r="L124" s="114">
        <v>12</v>
      </c>
      <c r="M124" s="116"/>
      <c r="N124" s="114"/>
      <c r="O124" s="116"/>
      <c r="P124" s="114"/>
      <c r="Q124" s="114" t="s">
        <v>1032</v>
      </c>
      <c r="R124" s="114"/>
      <c r="S124" s="114" t="s">
        <v>690</v>
      </c>
      <c r="T124" s="114">
        <v>130</v>
      </c>
      <c r="U124" s="116">
        <v>243</v>
      </c>
      <c r="V124" s="155">
        <f t="shared" si="15"/>
        <v>186.5</v>
      </c>
      <c r="W124" s="155">
        <v>2.6</v>
      </c>
      <c r="X124" s="124">
        <f t="shared" si="16"/>
        <v>71.730769230769226</v>
      </c>
      <c r="Y124" s="115" t="s">
        <v>910</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89"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1999</v>
      </c>
      <c r="B125" s="116">
        <v>35071</v>
      </c>
      <c r="C125" s="116">
        <v>5</v>
      </c>
      <c r="D125" s="114"/>
      <c r="E125" s="114"/>
      <c r="F125" s="114">
        <v>38</v>
      </c>
      <c r="G125" s="115">
        <v>21</v>
      </c>
      <c r="H125" s="115">
        <v>9</v>
      </c>
      <c r="I125" s="846"/>
      <c r="J125" s="114">
        <v>49</v>
      </c>
      <c r="K125" s="116"/>
      <c r="L125" s="114">
        <v>31</v>
      </c>
      <c r="M125" s="116"/>
      <c r="N125" s="114">
        <v>12</v>
      </c>
      <c r="O125" s="116"/>
      <c r="P125" s="114"/>
      <c r="Q125" s="114" t="s">
        <v>1032</v>
      </c>
      <c r="R125" s="114"/>
      <c r="S125" s="114" t="s">
        <v>676</v>
      </c>
      <c r="T125" s="114">
        <v>196</v>
      </c>
      <c r="U125" s="116">
        <v>365</v>
      </c>
      <c r="V125" s="155">
        <f>(U125+T125)/2</f>
        <v>280.5</v>
      </c>
      <c r="W125" s="155">
        <v>2.6</v>
      </c>
      <c r="X125" s="124">
        <f>V125/W125</f>
        <v>107.88461538461539</v>
      </c>
      <c r="Y125" s="114" t="s">
        <v>910</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89"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912</v>
      </c>
      <c r="B126" s="116">
        <v>28438</v>
      </c>
      <c r="C126" s="116">
        <v>1</v>
      </c>
      <c r="D126" s="114"/>
      <c r="E126" s="114"/>
      <c r="F126" s="114"/>
      <c r="G126" s="115"/>
      <c r="H126" s="115"/>
      <c r="I126" s="115">
        <f>212*itGenProc10sMH</f>
        <v>90.209515125174889</v>
      </c>
      <c r="J126" s="114"/>
      <c r="K126" s="116"/>
      <c r="L126" s="114">
        <v>9</v>
      </c>
      <c r="M126" s="116"/>
      <c r="N126" s="114"/>
      <c r="O126" s="116"/>
      <c r="P126" s="114"/>
      <c r="Q126" s="114" t="s">
        <v>1032</v>
      </c>
      <c r="R126" s="114"/>
      <c r="S126" s="114" t="s">
        <v>685</v>
      </c>
      <c r="T126" s="114">
        <v>172</v>
      </c>
      <c r="U126" s="116">
        <v>320</v>
      </c>
      <c r="V126" s="155">
        <f t="shared" si="15"/>
        <v>246</v>
      </c>
      <c r="W126" s="155">
        <v>2.7</v>
      </c>
      <c r="X126" s="124">
        <f t="shared" si="16"/>
        <v>91.1111111111111</v>
      </c>
      <c r="Y126" s="115" t="s">
        <v>910</v>
      </c>
      <c r="Z126" s="114"/>
      <c r="AA126" s="114"/>
      <c r="AB126" s="114"/>
      <c r="AC126" s="10" t="s">
        <v>1289</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89"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913</v>
      </c>
      <c r="B127" s="116">
        <v>28439</v>
      </c>
      <c r="C127" s="116">
        <v>1</v>
      </c>
      <c r="D127" s="114"/>
      <c r="E127" s="114"/>
      <c r="F127" s="114"/>
      <c r="G127" s="115"/>
      <c r="H127" s="115"/>
      <c r="I127" s="115">
        <f>212*itGenProc10sMH</f>
        <v>90.209515125174889</v>
      </c>
      <c r="J127" s="114"/>
      <c r="K127" s="116"/>
      <c r="L127" s="114">
        <v>19</v>
      </c>
      <c r="M127" s="116"/>
      <c r="N127" s="114"/>
      <c r="O127" s="116"/>
      <c r="P127" s="114"/>
      <c r="Q127" s="114" t="s">
        <v>1032</v>
      </c>
      <c r="R127" s="114"/>
      <c r="S127" s="114" t="s">
        <v>685</v>
      </c>
      <c r="T127" s="114">
        <v>184</v>
      </c>
      <c r="U127" s="116">
        <v>343</v>
      </c>
      <c r="V127" s="155">
        <f t="shared" si="15"/>
        <v>263.5</v>
      </c>
      <c r="W127" s="155">
        <v>2.7</v>
      </c>
      <c r="X127" s="124">
        <f t="shared" si="16"/>
        <v>97.592592592592581</v>
      </c>
      <c r="Y127" s="115" t="s">
        <v>910</v>
      </c>
      <c r="Z127" s="114"/>
      <c r="AA127" s="114"/>
      <c r="AB127" s="114"/>
      <c r="AC127" s="10" t="s">
        <v>1289</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89"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914</v>
      </c>
      <c r="B128" s="116">
        <v>28437</v>
      </c>
      <c r="C128" s="116">
        <v>1</v>
      </c>
      <c r="D128" s="114"/>
      <c r="E128" s="114"/>
      <c r="F128" s="114"/>
      <c r="G128" s="115"/>
      <c r="H128" s="115"/>
      <c r="I128" s="115">
        <f>212*itGenProc10sMH</f>
        <v>90.209515125174889</v>
      </c>
      <c r="J128" s="114"/>
      <c r="K128" s="116"/>
      <c r="L128" s="114"/>
      <c r="M128" s="116"/>
      <c r="N128" s="114"/>
      <c r="O128" s="116"/>
      <c r="P128" s="114"/>
      <c r="Q128" s="114" t="s">
        <v>1032</v>
      </c>
      <c r="R128" s="114"/>
      <c r="S128" s="114" t="s">
        <v>685</v>
      </c>
      <c r="T128" s="114">
        <v>159</v>
      </c>
      <c r="U128" s="116">
        <v>296</v>
      </c>
      <c r="V128" s="155">
        <f t="shared" si="15"/>
        <v>227.5</v>
      </c>
      <c r="W128" s="155">
        <v>2.7</v>
      </c>
      <c r="X128" s="124">
        <f t="shared" si="16"/>
        <v>84.259259259259252</v>
      </c>
      <c r="Y128" s="115" t="s">
        <v>910</v>
      </c>
      <c r="Z128" s="114"/>
      <c r="AA128" s="114"/>
      <c r="AB128" s="114"/>
      <c r="AC128" s="10" t="s">
        <v>1289</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89"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1042</v>
      </c>
      <c r="R129" s="114" t="s">
        <v>1337</v>
      </c>
      <c r="S129" s="114" t="s">
        <v>671</v>
      </c>
      <c r="T129" s="114">
        <v>159</v>
      </c>
      <c r="U129" s="116">
        <v>296</v>
      </c>
      <c r="V129" s="155">
        <f t="shared" si="15"/>
        <v>227.5</v>
      </c>
      <c r="W129" s="155">
        <v>2.6</v>
      </c>
      <c r="X129" s="124">
        <f t="shared" si="16"/>
        <v>87.5</v>
      </c>
      <c r="Y129" s="114" t="s">
        <v>910</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89"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1032</v>
      </c>
      <c r="R130" s="114"/>
      <c r="S130" s="114" t="s">
        <v>676</v>
      </c>
      <c r="T130" s="114">
        <v>189</v>
      </c>
      <c r="U130" s="116">
        <v>285</v>
      </c>
      <c r="V130" s="155">
        <f t="shared" si="15"/>
        <v>237</v>
      </c>
      <c r="W130" s="155">
        <v>2.6</v>
      </c>
      <c r="X130" s="124">
        <f t="shared" si="16"/>
        <v>91.153846153846146</v>
      </c>
      <c r="Y130" s="114" t="s">
        <v>910</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89"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951</v>
      </c>
      <c r="B131" s="116">
        <v>28950</v>
      </c>
      <c r="C131" s="116">
        <v>1</v>
      </c>
      <c r="D131" s="114"/>
      <c r="E131" s="114"/>
      <c r="F131" s="114">
        <v>26</v>
      </c>
      <c r="G131" s="115">
        <v>13</v>
      </c>
      <c r="H131" s="115">
        <v>8</v>
      </c>
      <c r="I131" s="846"/>
      <c r="J131" s="114"/>
      <c r="K131" s="116"/>
      <c r="L131" s="114">
        <v>18</v>
      </c>
      <c r="M131" s="116"/>
      <c r="N131" s="114">
        <v>9</v>
      </c>
      <c r="O131" s="116"/>
      <c r="P131" s="114"/>
      <c r="Q131" s="114" t="s">
        <v>1032</v>
      </c>
      <c r="R131" s="114"/>
      <c r="S131" s="114" t="s">
        <v>676</v>
      </c>
      <c r="T131" s="114">
        <v>103</v>
      </c>
      <c r="U131" s="116">
        <v>155</v>
      </c>
      <c r="V131" s="155">
        <f t="shared" si="15"/>
        <v>129</v>
      </c>
      <c r="W131" s="155">
        <v>1.8</v>
      </c>
      <c r="X131" s="124">
        <f t="shared" si="16"/>
        <v>71.666666666666671</v>
      </c>
      <c r="Y131" s="114" t="s">
        <v>910</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89"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952</v>
      </c>
      <c r="B132" s="116">
        <v>28951</v>
      </c>
      <c r="C132" s="116">
        <v>1</v>
      </c>
      <c r="D132" s="114"/>
      <c r="E132" s="114"/>
      <c r="F132" s="114">
        <v>26</v>
      </c>
      <c r="G132" s="115">
        <v>13</v>
      </c>
      <c r="H132" s="115">
        <v>8</v>
      </c>
      <c r="I132" s="846"/>
      <c r="J132" s="114"/>
      <c r="K132" s="116"/>
      <c r="L132" s="114">
        <v>18</v>
      </c>
      <c r="M132" s="116"/>
      <c r="N132" s="114">
        <v>9</v>
      </c>
      <c r="O132" s="116"/>
      <c r="P132" s="114"/>
      <c r="Q132" s="114" t="s">
        <v>1032</v>
      </c>
      <c r="R132" s="114"/>
      <c r="S132" s="114" t="s">
        <v>676</v>
      </c>
      <c r="T132" s="114">
        <v>149</v>
      </c>
      <c r="U132" s="116">
        <v>224</v>
      </c>
      <c r="V132" s="155">
        <f t="shared" si="15"/>
        <v>186.5</v>
      </c>
      <c r="W132" s="155">
        <v>2.6</v>
      </c>
      <c r="X132" s="124">
        <f t="shared" si="16"/>
        <v>71.730769230769226</v>
      </c>
      <c r="Y132" s="114" t="s">
        <v>910</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89"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953</v>
      </c>
      <c r="B133" s="116">
        <v>28924</v>
      </c>
      <c r="C133" s="116">
        <v>1</v>
      </c>
      <c r="D133" s="114"/>
      <c r="E133" s="114"/>
      <c r="F133" s="114">
        <v>26</v>
      </c>
      <c r="G133" s="115">
        <v>13</v>
      </c>
      <c r="H133" s="115">
        <v>8</v>
      </c>
      <c r="I133" s="846"/>
      <c r="J133" s="114"/>
      <c r="K133" s="116"/>
      <c r="L133" s="114">
        <v>18</v>
      </c>
      <c r="M133" s="116"/>
      <c r="N133" s="114">
        <v>9</v>
      </c>
      <c r="O133" s="116"/>
      <c r="P133" s="114"/>
      <c r="Q133" s="114" t="s">
        <v>1032</v>
      </c>
      <c r="R133" s="114"/>
      <c r="S133" s="114" t="s">
        <v>676</v>
      </c>
      <c r="T133" s="114">
        <v>103</v>
      </c>
      <c r="U133" s="116">
        <v>155</v>
      </c>
      <c r="V133" s="155">
        <f t="shared" si="15"/>
        <v>129</v>
      </c>
      <c r="W133" s="155">
        <v>1.8</v>
      </c>
      <c r="X133" s="124">
        <f t="shared" si="16"/>
        <v>71.666666666666671</v>
      </c>
      <c r="Y133" s="114" t="s">
        <v>910</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89"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854</v>
      </c>
      <c r="B134" s="116">
        <v>28925</v>
      </c>
      <c r="C134" s="116">
        <v>1</v>
      </c>
      <c r="D134" s="114"/>
      <c r="E134" s="114"/>
      <c r="F134" s="114">
        <v>26</v>
      </c>
      <c r="G134" s="115">
        <v>13</v>
      </c>
      <c r="H134" s="115">
        <v>8</v>
      </c>
      <c r="I134" s="846"/>
      <c r="J134" s="114"/>
      <c r="K134" s="116"/>
      <c r="L134" s="114">
        <v>18</v>
      </c>
      <c r="M134" s="116"/>
      <c r="N134" s="114">
        <v>9</v>
      </c>
      <c r="O134" s="116"/>
      <c r="P134" s="114"/>
      <c r="Q134" s="114" t="s">
        <v>1032</v>
      </c>
      <c r="R134" s="114"/>
      <c r="S134" s="114" t="s">
        <v>676</v>
      </c>
      <c r="T134" s="114">
        <v>149</v>
      </c>
      <c r="U134" s="116">
        <v>224</v>
      </c>
      <c r="V134" s="155">
        <f t="shared" si="15"/>
        <v>186.5</v>
      </c>
      <c r="W134" s="155">
        <v>2.6</v>
      </c>
      <c r="X134" s="124">
        <f t="shared" si="16"/>
        <v>71.730769230769226</v>
      </c>
      <c r="Y134" s="114" t="s">
        <v>910</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89"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617</v>
      </c>
      <c r="B135" s="116">
        <v>30058</v>
      </c>
      <c r="C135" s="116">
        <v>2</v>
      </c>
      <c r="D135" s="114"/>
      <c r="E135" s="114"/>
      <c r="F135" s="114"/>
      <c r="G135" s="115"/>
      <c r="H135" s="115"/>
      <c r="I135" s="846"/>
      <c r="J135" s="114"/>
      <c r="K135" s="116">
        <v>14</v>
      </c>
      <c r="L135" s="114">
        <v>34</v>
      </c>
      <c r="M135" s="116"/>
      <c r="N135" s="114"/>
      <c r="O135" s="116">
        <v>16</v>
      </c>
      <c r="P135" s="114"/>
      <c r="Q135" s="114" t="s">
        <v>1032</v>
      </c>
      <c r="R135" s="114"/>
      <c r="S135" s="114" t="s">
        <v>666</v>
      </c>
      <c r="T135" s="114">
        <v>115</v>
      </c>
      <c r="U135" s="116">
        <v>214</v>
      </c>
      <c r="V135" s="155">
        <f t="shared" si="15"/>
        <v>164.5</v>
      </c>
      <c r="W135" s="155">
        <v>1.7</v>
      </c>
      <c r="X135" s="124">
        <f t="shared" si="16"/>
        <v>96.764705882352942</v>
      </c>
      <c r="Y135" s="114" t="s">
        <v>910</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89"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1032</v>
      </c>
      <c r="R136" s="114"/>
      <c r="S136" s="114" t="s">
        <v>676</v>
      </c>
      <c r="T136" s="115">
        <v>177</v>
      </c>
      <c r="U136" s="114">
        <v>330</v>
      </c>
      <c r="V136" s="155">
        <f t="shared" si="15"/>
        <v>253.5</v>
      </c>
      <c r="W136" s="155">
        <v>2.6</v>
      </c>
      <c r="X136" s="124">
        <f t="shared" si="16"/>
        <v>97.5</v>
      </c>
      <c r="Y136" s="114" t="s">
        <v>910</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89"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812</v>
      </c>
      <c r="B137" s="116">
        <v>29996</v>
      </c>
      <c r="C137" s="116">
        <v>2</v>
      </c>
      <c r="D137" s="114"/>
      <c r="E137" s="114"/>
      <c r="F137" s="114">
        <v>52</v>
      </c>
      <c r="G137" s="115"/>
      <c r="H137" s="115"/>
      <c r="I137" s="115"/>
      <c r="J137" s="114"/>
      <c r="K137" s="116"/>
      <c r="L137" s="114"/>
      <c r="M137" s="116"/>
      <c r="N137" s="114"/>
      <c r="O137" s="116"/>
      <c r="P137" s="114"/>
      <c r="Q137" s="114" t="s">
        <v>1032</v>
      </c>
      <c r="R137" s="114"/>
      <c r="S137" s="114" t="s">
        <v>679</v>
      </c>
      <c r="T137" s="114">
        <v>189</v>
      </c>
      <c r="U137" s="116">
        <v>352</v>
      </c>
      <c r="V137" s="155">
        <f t="shared" si="15"/>
        <v>270.5</v>
      </c>
      <c r="W137" s="155">
        <v>2.7</v>
      </c>
      <c r="X137" s="124">
        <f t="shared" si="16"/>
        <v>100.18518518518518</v>
      </c>
      <c r="Y137" s="115" t="s">
        <v>910</v>
      </c>
      <c r="Z137" s="114"/>
      <c r="AA137" s="114"/>
      <c r="AB137" s="114"/>
      <c r="AC137" s="10" t="s">
        <v>614</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89"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1032</v>
      </c>
      <c r="R138" s="114"/>
      <c r="S138" s="114" t="s">
        <v>684</v>
      </c>
      <c r="T138" s="114">
        <v>140</v>
      </c>
      <c r="U138" s="116">
        <v>261</v>
      </c>
      <c r="V138" s="155">
        <f t="shared" si="15"/>
        <v>200.5</v>
      </c>
      <c r="W138" s="155">
        <v>2.4</v>
      </c>
      <c r="X138" s="124">
        <f t="shared" si="16"/>
        <v>83.541666666666671</v>
      </c>
      <c r="Y138" s="114" t="s">
        <v>910</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89"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1626</v>
      </c>
      <c r="B139" s="116">
        <v>32943</v>
      </c>
      <c r="C139" s="116">
        <v>3</v>
      </c>
      <c r="D139" s="114"/>
      <c r="E139" s="114"/>
      <c r="F139" s="114">
        <v>40</v>
      </c>
      <c r="G139" s="115"/>
      <c r="H139" s="115">
        <v>19</v>
      </c>
      <c r="I139" s="115">
        <v>27</v>
      </c>
      <c r="J139" s="114"/>
      <c r="K139" s="116"/>
      <c r="L139" s="114"/>
      <c r="M139" s="116"/>
      <c r="N139" s="114"/>
      <c r="O139" s="116"/>
      <c r="P139" s="114"/>
      <c r="Q139" s="114" t="s">
        <v>1032</v>
      </c>
      <c r="R139" s="114"/>
      <c r="S139" s="114" t="s">
        <v>682</v>
      </c>
      <c r="T139" s="114">
        <v>105</v>
      </c>
      <c r="U139" s="116">
        <v>196</v>
      </c>
      <c r="V139" s="155">
        <f t="shared" si="15"/>
        <v>150.5</v>
      </c>
      <c r="W139" s="155">
        <v>1.5</v>
      </c>
      <c r="X139" s="124">
        <f t="shared" si="16"/>
        <v>100.33333333333333</v>
      </c>
      <c r="Y139" s="114" t="s">
        <v>910</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89"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528</v>
      </c>
      <c r="B140" s="116">
        <v>32262</v>
      </c>
      <c r="C140" s="116">
        <v>3</v>
      </c>
      <c r="D140" s="114"/>
      <c r="E140" s="114"/>
      <c r="F140" s="114">
        <v>50</v>
      </c>
      <c r="G140" s="115"/>
      <c r="H140" s="115"/>
      <c r="I140" s="846"/>
      <c r="J140" s="114"/>
      <c r="K140" s="116"/>
      <c r="L140" s="114"/>
      <c r="M140" s="116"/>
      <c r="N140" s="114"/>
      <c r="O140" s="116"/>
      <c r="P140" s="114"/>
      <c r="Q140" s="114" t="s">
        <v>1032</v>
      </c>
      <c r="R140" s="114"/>
      <c r="S140" s="114" t="s">
        <v>682</v>
      </c>
      <c r="T140" s="114">
        <v>196</v>
      </c>
      <c r="U140" s="116">
        <v>365</v>
      </c>
      <c r="V140" s="155">
        <f t="shared" si="15"/>
        <v>280.5</v>
      </c>
      <c r="W140" s="155">
        <v>2.8</v>
      </c>
      <c r="X140" s="124">
        <f t="shared" si="16"/>
        <v>100.17857142857143</v>
      </c>
      <c r="Y140" s="114" t="s">
        <v>910</v>
      </c>
      <c r="Z140" s="114"/>
      <c r="AA140" s="114"/>
      <c r="AB140" s="114"/>
      <c r="AC140" s="10" t="s">
        <v>615</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89"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1232</v>
      </c>
      <c r="B141" s="116">
        <v>32536</v>
      </c>
      <c r="C141" s="116">
        <v>3</v>
      </c>
      <c r="D141" s="114"/>
      <c r="E141" s="114">
        <v>14</v>
      </c>
      <c r="F141" s="114">
        <v>28</v>
      </c>
      <c r="G141" s="115"/>
      <c r="H141" s="115"/>
      <c r="I141" s="846"/>
      <c r="J141" s="114"/>
      <c r="K141" s="116"/>
      <c r="L141" s="114">
        <v>21</v>
      </c>
      <c r="M141" s="116"/>
      <c r="N141" s="114"/>
      <c r="O141" s="116"/>
      <c r="P141" s="114"/>
      <c r="Q141" s="114" t="s">
        <v>1032</v>
      </c>
      <c r="R141" s="114"/>
      <c r="S141" s="114" t="s">
        <v>674</v>
      </c>
      <c r="T141" s="114">
        <v>125</v>
      </c>
      <c r="U141" s="116">
        <v>233</v>
      </c>
      <c r="V141" s="155">
        <f t="shared" si="15"/>
        <v>179</v>
      </c>
      <c r="W141" s="155">
        <v>2.5</v>
      </c>
      <c r="X141" s="124">
        <f t="shared" si="16"/>
        <v>71.599999999999994</v>
      </c>
      <c r="Y141" s="114" t="s">
        <v>910</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89"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1233</v>
      </c>
      <c r="B142" s="116">
        <v>32536</v>
      </c>
      <c r="C142" s="116">
        <v>3</v>
      </c>
      <c r="D142" s="114">
        <v>14</v>
      </c>
      <c r="E142" s="114">
        <v>14</v>
      </c>
      <c r="F142" s="114"/>
      <c r="G142" s="115"/>
      <c r="H142" s="115"/>
      <c r="I142" s="846"/>
      <c r="J142" s="114"/>
      <c r="K142" s="116"/>
      <c r="L142" s="114">
        <v>21</v>
      </c>
      <c r="M142" s="116"/>
      <c r="N142" s="114"/>
      <c r="O142" s="116"/>
      <c r="P142" s="114"/>
      <c r="Q142" s="114" t="s">
        <v>1032</v>
      </c>
      <c r="R142" s="114"/>
      <c r="S142" s="114" t="s">
        <v>674</v>
      </c>
      <c r="T142" s="114">
        <v>125</v>
      </c>
      <c r="U142" s="116">
        <v>233</v>
      </c>
      <c r="V142" s="155">
        <f t="shared" si="15"/>
        <v>179</v>
      </c>
      <c r="W142" s="155">
        <v>2.5</v>
      </c>
      <c r="X142" s="124">
        <f t="shared" si="16"/>
        <v>71.599999999999994</v>
      </c>
      <c r="Y142" s="114" t="s">
        <v>910</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89"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1234</v>
      </c>
      <c r="B143" s="116">
        <v>32536</v>
      </c>
      <c r="C143" s="116">
        <v>3</v>
      </c>
      <c r="D143" s="114">
        <v>14</v>
      </c>
      <c r="E143" s="114"/>
      <c r="F143" s="114"/>
      <c r="G143" s="115"/>
      <c r="H143" s="115"/>
      <c r="I143" s="846"/>
      <c r="J143" s="114"/>
      <c r="K143" s="116"/>
      <c r="L143" s="114">
        <v>21</v>
      </c>
      <c r="M143" s="116"/>
      <c r="N143" s="114"/>
      <c r="O143" s="116">
        <v>14</v>
      </c>
      <c r="P143" s="114"/>
      <c r="Q143" s="114" t="s">
        <v>1032</v>
      </c>
      <c r="R143" s="114"/>
      <c r="S143" s="114" t="s">
        <v>674</v>
      </c>
      <c r="T143" s="114">
        <v>125</v>
      </c>
      <c r="U143" s="116">
        <v>233</v>
      </c>
      <c r="V143" s="155">
        <f t="shared" si="15"/>
        <v>179</v>
      </c>
      <c r="W143" s="155">
        <v>2.5</v>
      </c>
      <c r="X143" s="124">
        <f t="shared" si="16"/>
        <v>71.599999999999994</v>
      </c>
      <c r="Y143" s="114" t="s">
        <v>910</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89"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1235</v>
      </c>
      <c r="B144" s="116">
        <v>32536</v>
      </c>
      <c r="C144" s="116">
        <v>3</v>
      </c>
      <c r="D144" s="114">
        <v>14</v>
      </c>
      <c r="E144" s="114"/>
      <c r="F144" s="114"/>
      <c r="G144" s="115">
        <v>14</v>
      </c>
      <c r="H144" s="115"/>
      <c r="I144" s="846"/>
      <c r="J144" s="114"/>
      <c r="K144" s="116"/>
      <c r="L144" s="114">
        <v>21</v>
      </c>
      <c r="M144" s="116"/>
      <c r="N144" s="114"/>
      <c r="O144" s="116"/>
      <c r="P144" s="114"/>
      <c r="Q144" s="114" t="s">
        <v>1032</v>
      </c>
      <c r="R144" s="114"/>
      <c r="S144" s="114" t="s">
        <v>674</v>
      </c>
      <c r="T144" s="114">
        <v>125</v>
      </c>
      <c r="U144" s="116">
        <v>233</v>
      </c>
      <c r="V144" s="155">
        <f t="shared" si="15"/>
        <v>179</v>
      </c>
      <c r="W144" s="155">
        <v>2.5</v>
      </c>
      <c r="X144" s="124">
        <f t="shared" si="16"/>
        <v>71.599999999999994</v>
      </c>
      <c r="Y144" s="114" t="s">
        <v>910</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89"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1032</v>
      </c>
      <c r="R145" s="114"/>
      <c r="S145" s="114" t="s">
        <v>672</v>
      </c>
      <c r="T145" s="114">
        <v>100</v>
      </c>
      <c r="U145" s="116">
        <v>187</v>
      </c>
      <c r="V145" s="155">
        <f t="shared" si="15"/>
        <v>143.5</v>
      </c>
      <c r="W145" s="155">
        <v>2</v>
      </c>
      <c r="X145" s="124">
        <f t="shared" si="16"/>
        <v>71.75</v>
      </c>
      <c r="Y145" s="114" t="s">
        <v>910</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89"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1032</v>
      </c>
      <c r="R146" s="114"/>
      <c r="S146" s="114" t="s">
        <v>690</v>
      </c>
      <c r="T146" s="114">
        <v>90</v>
      </c>
      <c r="U146" s="116">
        <v>168</v>
      </c>
      <c r="V146" s="155">
        <f t="shared" si="15"/>
        <v>129</v>
      </c>
      <c r="W146" s="155">
        <v>1.8</v>
      </c>
      <c r="X146" s="124">
        <f t="shared" si="16"/>
        <v>71.666666666666671</v>
      </c>
      <c r="Y146" s="114" t="s">
        <v>910</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89"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1765</v>
      </c>
      <c r="B147" s="116">
        <v>33733</v>
      </c>
      <c r="C147" s="116">
        <v>3</v>
      </c>
      <c r="D147" s="114"/>
      <c r="E147" s="114"/>
      <c r="F147" s="114">
        <v>34</v>
      </c>
      <c r="G147" s="115">
        <v>21</v>
      </c>
      <c r="H147" s="115">
        <v>8</v>
      </c>
      <c r="I147" s="846"/>
      <c r="J147" s="114">
        <v>49</v>
      </c>
      <c r="K147" s="116"/>
      <c r="L147" s="114">
        <v>30</v>
      </c>
      <c r="M147" s="116"/>
      <c r="N147" s="114">
        <v>12</v>
      </c>
      <c r="O147" s="116"/>
      <c r="P147" s="114"/>
      <c r="Q147" s="114" t="s">
        <v>1032</v>
      </c>
      <c r="R147" s="114"/>
      <c r="S147" s="114" t="s">
        <v>676</v>
      </c>
      <c r="T147" s="114">
        <v>187</v>
      </c>
      <c r="U147" s="116">
        <v>349</v>
      </c>
      <c r="V147" s="155">
        <f>(U147+T147)/2</f>
        <v>268</v>
      </c>
      <c r="W147" s="155">
        <v>2.6</v>
      </c>
      <c r="X147" s="124">
        <f>V147/W147</f>
        <v>103.07692307692308</v>
      </c>
      <c r="Y147" s="114" t="s">
        <v>910</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89"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910</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1739</v>
      </c>
      <c r="B150" s="752" t="s">
        <v>1933</v>
      </c>
      <c r="C150" s="752" t="s">
        <v>2795</v>
      </c>
      <c r="D150" s="752" t="s">
        <v>1213</v>
      </c>
      <c r="E150" s="752" t="s">
        <v>1214</v>
      </c>
      <c r="F150" s="752" t="s">
        <v>767</v>
      </c>
      <c r="G150" s="753" t="s">
        <v>2139</v>
      </c>
      <c r="H150" s="753" t="s">
        <v>2138</v>
      </c>
      <c r="I150" s="816" t="s">
        <v>770</v>
      </c>
      <c r="J150" s="817" t="s">
        <v>1738</v>
      </c>
      <c r="K150" s="753" t="s">
        <v>759</v>
      </c>
      <c r="L150" s="752" t="s">
        <v>1215</v>
      </c>
      <c r="M150" s="753" t="s">
        <v>264</v>
      </c>
      <c r="N150" s="753" t="s">
        <v>1216</v>
      </c>
      <c r="O150" s="753" t="s">
        <v>1286</v>
      </c>
      <c r="P150" s="752" t="s">
        <v>1220</v>
      </c>
      <c r="Q150" s="730" t="s">
        <v>1031</v>
      </c>
      <c r="R150" s="730" t="s">
        <v>1940</v>
      </c>
      <c r="S150" s="752" t="s">
        <v>665</v>
      </c>
      <c r="T150" s="818" t="s">
        <v>1221</v>
      </c>
      <c r="U150" s="753" t="s">
        <v>1222</v>
      </c>
      <c r="V150" s="818" t="s">
        <v>1704</v>
      </c>
      <c r="W150" s="818" t="s">
        <v>146</v>
      </c>
      <c r="X150" s="752" t="s">
        <v>1537</v>
      </c>
      <c r="Y150" s="752" t="s">
        <v>1224</v>
      </c>
      <c r="Z150" s="752" t="s">
        <v>563</v>
      </c>
      <c r="AA150" s="752" t="s">
        <v>564</v>
      </c>
      <c r="AB150" s="752" t="s">
        <v>565</v>
      </c>
      <c r="AC150" s="739" t="s">
        <v>566</v>
      </c>
      <c r="AD150" s="818"/>
      <c r="AE150" s="743">
        <v>0</v>
      </c>
      <c r="AF150" s="743">
        <v>0</v>
      </c>
      <c r="AG150" s="114"/>
    </row>
    <row r="151" spans="1:48" ht="12" thickBot="1">
      <c r="A151" s="836" t="s">
        <v>2056</v>
      </c>
      <c r="B151" s="838"/>
      <c r="C151" s="838"/>
      <c r="D151" s="742"/>
      <c r="E151" s="742"/>
      <c r="F151" s="742"/>
      <c r="G151" s="742"/>
      <c r="H151" s="742"/>
      <c r="I151" s="837"/>
      <c r="J151" s="742"/>
      <c r="K151" s="838"/>
      <c r="L151" s="742"/>
      <c r="M151" s="838"/>
      <c r="N151" s="742"/>
      <c r="O151" s="838"/>
      <c r="P151" s="742"/>
      <c r="Q151" s="742" t="s">
        <v>1032</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2841</v>
      </c>
      <c r="B152" s="114">
        <v>30999</v>
      </c>
      <c r="C152" s="114">
        <v>1</v>
      </c>
      <c r="D152" s="114"/>
      <c r="E152" s="114">
        <v>11</v>
      </c>
      <c r="F152" s="114">
        <v>40</v>
      </c>
      <c r="G152" s="115"/>
      <c r="H152" s="115"/>
      <c r="I152" s="115"/>
      <c r="J152" s="114"/>
      <c r="K152" s="116"/>
      <c r="L152" s="114">
        <v>10</v>
      </c>
      <c r="M152" s="116"/>
      <c r="N152" s="114"/>
      <c r="O152" s="116"/>
      <c r="P152" s="114"/>
      <c r="Q152" s="114" t="s">
        <v>1032</v>
      </c>
      <c r="R152" s="114"/>
      <c r="S152" s="114" t="s">
        <v>674</v>
      </c>
      <c r="T152" s="114">
        <v>65</v>
      </c>
      <c r="U152" s="116">
        <v>122</v>
      </c>
      <c r="V152" s="155">
        <f>(U152+T152)/2</f>
        <v>93.5</v>
      </c>
      <c r="W152" s="155">
        <v>1.4</v>
      </c>
      <c r="X152" s="124">
        <f>V152/W152</f>
        <v>66.785714285714292</v>
      </c>
      <c r="Y152" s="114" t="s">
        <v>2268</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89"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1032</v>
      </c>
      <c r="R153" s="114"/>
      <c r="S153" s="114" t="s">
        <v>690</v>
      </c>
      <c r="T153" s="114">
        <v>130</v>
      </c>
      <c r="U153" s="116">
        <v>241</v>
      </c>
      <c r="V153" s="155">
        <f>(U153+T153)/2</f>
        <v>185.5</v>
      </c>
      <c r="W153" s="155">
        <v>1.8</v>
      </c>
      <c r="X153" s="124">
        <f>V153/W153</f>
        <v>103.05555555555556</v>
      </c>
      <c r="Y153" s="114" t="s">
        <v>2268</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89" t="str">
        <f t="shared" ref="AH153:AH209" si="18">HYPERLINK("https://tbc.wowhead.com/item="&amp;B153,A153)</f>
        <v>Blade of Serration</v>
      </c>
      <c r="AK153" s="48"/>
      <c r="AL153" s="137" t="s">
        <v>1934</v>
      </c>
      <c r="AP153" s="114"/>
    </row>
    <row r="154" spans="1:48">
      <c r="A154" s="10" t="s">
        <v>2270</v>
      </c>
      <c r="B154" s="114">
        <v>28572</v>
      </c>
      <c r="C154" s="114">
        <v>1</v>
      </c>
      <c r="D154" s="114"/>
      <c r="E154" s="114"/>
      <c r="F154" s="114">
        <v>18</v>
      </c>
      <c r="G154" s="115">
        <v>9</v>
      </c>
      <c r="H154" s="115"/>
      <c r="I154" s="115"/>
      <c r="J154" s="114"/>
      <c r="K154" s="116"/>
      <c r="L154" s="114">
        <v>13</v>
      </c>
      <c r="M154" s="116"/>
      <c r="N154" s="114"/>
      <c r="O154" s="116"/>
      <c r="P154" s="114"/>
      <c r="Q154" s="114" t="s">
        <v>2092</v>
      </c>
      <c r="R154" s="114" t="s">
        <v>1064</v>
      </c>
      <c r="S154" s="114" t="s">
        <v>671</v>
      </c>
      <c r="T154" s="114">
        <v>112</v>
      </c>
      <c r="U154" s="116">
        <v>168</v>
      </c>
      <c r="V154" s="155">
        <f t="shared" ref="V154:V208" si="19">(U154+T154)/2</f>
        <v>140</v>
      </c>
      <c r="W154" s="155">
        <v>1.6</v>
      </c>
      <c r="X154" s="124">
        <f t="shared" ref="X154:X208" si="20">V154/W154</f>
        <v>87.5</v>
      </c>
      <c r="Y154" s="114" t="s">
        <v>2268</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89"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970</v>
      </c>
      <c r="B155" s="114">
        <v>34665</v>
      </c>
      <c r="C155" s="114">
        <v>5</v>
      </c>
      <c r="D155" s="114"/>
      <c r="E155" s="114">
        <v>14</v>
      </c>
      <c r="F155" s="114">
        <v>26</v>
      </c>
      <c r="G155" s="114"/>
      <c r="H155" s="114">
        <v>11</v>
      </c>
      <c r="I155" s="846"/>
      <c r="J155" s="114"/>
      <c r="K155" s="116"/>
      <c r="L155" s="114">
        <v>12</v>
      </c>
      <c r="M155" s="116"/>
      <c r="N155" s="114"/>
      <c r="O155" s="116"/>
      <c r="P155" s="114"/>
      <c r="Q155" s="114" t="s">
        <v>1032</v>
      </c>
      <c r="R155" s="114"/>
      <c r="S155" s="114" t="s">
        <v>675</v>
      </c>
      <c r="T155" s="114">
        <v>90</v>
      </c>
      <c r="U155" s="116">
        <v>168</v>
      </c>
      <c r="V155" s="155">
        <f t="shared" si="19"/>
        <v>129</v>
      </c>
      <c r="W155" s="155">
        <v>1.8</v>
      </c>
      <c r="X155" s="124">
        <f t="shared" si="20"/>
        <v>71.666666666666671</v>
      </c>
      <c r="Y155" s="124" t="s">
        <v>2268</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89"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2842</v>
      </c>
      <c r="B156" s="114">
        <v>31073</v>
      </c>
      <c r="C156" s="114">
        <v>1</v>
      </c>
      <c r="D156" s="114"/>
      <c r="E156" s="114">
        <v>11</v>
      </c>
      <c r="F156" s="114">
        <v>40</v>
      </c>
      <c r="G156" s="114"/>
      <c r="H156" s="114">
        <v>7</v>
      </c>
      <c r="I156" s="846"/>
      <c r="J156" s="114"/>
      <c r="K156" s="116"/>
      <c r="L156" s="114"/>
      <c r="M156" s="116"/>
      <c r="N156" s="114"/>
      <c r="O156" s="116"/>
      <c r="P156" s="114"/>
      <c r="Q156" s="114" t="s">
        <v>1032</v>
      </c>
      <c r="R156" s="114"/>
      <c r="S156" s="114" t="s">
        <v>674</v>
      </c>
      <c r="T156" s="114">
        <v>84</v>
      </c>
      <c r="U156" s="116">
        <v>157</v>
      </c>
      <c r="V156" s="155">
        <f t="shared" si="19"/>
        <v>120.5</v>
      </c>
      <c r="W156" s="155">
        <v>1.8</v>
      </c>
      <c r="X156" s="124">
        <f t="shared" si="20"/>
        <v>66.944444444444443</v>
      </c>
      <c r="Y156" s="124" t="s">
        <v>2268</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89"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2278</v>
      </c>
      <c r="B157" s="114">
        <v>30901</v>
      </c>
      <c r="C157" s="114">
        <v>3</v>
      </c>
      <c r="D157" s="114"/>
      <c r="E157" s="114"/>
      <c r="F157" s="114"/>
      <c r="G157" s="114">
        <v>24</v>
      </c>
      <c r="H157" s="114"/>
      <c r="I157" s="846"/>
      <c r="J157" s="114">
        <v>210</v>
      </c>
      <c r="K157" s="116"/>
      <c r="L157" s="114"/>
      <c r="M157" s="116"/>
      <c r="N157" s="114"/>
      <c r="O157" s="116"/>
      <c r="P157" s="114"/>
      <c r="Q157" s="114" t="s">
        <v>1032</v>
      </c>
      <c r="R157" s="114"/>
      <c r="S157" s="114" t="s">
        <v>683</v>
      </c>
      <c r="T157" s="114">
        <v>144</v>
      </c>
      <c r="U157" s="116">
        <v>217</v>
      </c>
      <c r="V157" s="155">
        <f t="shared" si="19"/>
        <v>180.5</v>
      </c>
      <c r="W157" s="155">
        <v>1.8</v>
      </c>
      <c r="X157" s="124">
        <f t="shared" si="20"/>
        <v>100.27777777777777</v>
      </c>
      <c r="Y157" s="124" t="s">
        <v>2268</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89"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1996</v>
      </c>
      <c r="B158" s="114">
        <v>35058</v>
      </c>
      <c r="C158" s="114">
        <v>5</v>
      </c>
      <c r="D158" s="114"/>
      <c r="E158" s="114"/>
      <c r="F158" s="114">
        <v>38</v>
      </c>
      <c r="G158" s="115">
        <v>22</v>
      </c>
      <c r="H158" s="115">
        <v>9</v>
      </c>
      <c r="I158" s="846"/>
      <c r="J158" s="114">
        <v>49</v>
      </c>
      <c r="K158" s="116"/>
      <c r="L158" s="114">
        <v>31</v>
      </c>
      <c r="M158" s="116"/>
      <c r="N158" s="114">
        <v>12</v>
      </c>
      <c r="O158" s="116"/>
      <c r="P158" s="114"/>
      <c r="Q158" s="114" t="s">
        <v>1032</v>
      </c>
      <c r="R158" s="114"/>
      <c r="S158" s="114" t="s">
        <v>676</v>
      </c>
      <c r="T158" s="114">
        <v>136</v>
      </c>
      <c r="U158" s="116">
        <v>253</v>
      </c>
      <c r="V158" s="155">
        <f>(U158+T158)/2</f>
        <v>194.5</v>
      </c>
      <c r="W158" s="155">
        <v>1.8</v>
      </c>
      <c r="X158" s="124">
        <f>V158/W158</f>
        <v>108.05555555555556</v>
      </c>
      <c r="Y158" s="114" t="s">
        <v>2268</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89"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1997</v>
      </c>
      <c r="B159" s="114">
        <v>35093</v>
      </c>
      <c r="C159" s="114">
        <v>5</v>
      </c>
      <c r="D159" s="114"/>
      <c r="E159" s="114"/>
      <c r="F159" s="114">
        <v>38</v>
      </c>
      <c r="G159" s="115">
        <v>22</v>
      </c>
      <c r="H159" s="115">
        <v>9</v>
      </c>
      <c r="I159" s="846"/>
      <c r="J159" s="114">
        <v>49</v>
      </c>
      <c r="K159" s="116"/>
      <c r="L159" s="114">
        <v>31</v>
      </c>
      <c r="M159" s="116"/>
      <c r="N159" s="114">
        <v>12</v>
      </c>
      <c r="O159" s="116"/>
      <c r="P159" s="114"/>
      <c r="Q159" s="114" t="s">
        <v>1032</v>
      </c>
      <c r="R159" s="114"/>
      <c r="S159" s="114" t="s">
        <v>676</v>
      </c>
      <c r="T159" s="114">
        <v>155</v>
      </c>
      <c r="U159" s="116">
        <v>233</v>
      </c>
      <c r="V159" s="155">
        <f>(U159+T159)/2</f>
        <v>194</v>
      </c>
      <c r="W159" s="155">
        <v>1.8</v>
      </c>
      <c r="X159" s="124">
        <f>V159/W159</f>
        <v>107.77777777777777</v>
      </c>
      <c r="Y159" s="114" t="s">
        <v>2268</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89"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1998</v>
      </c>
      <c r="B160" s="114">
        <v>35095</v>
      </c>
      <c r="C160" s="114">
        <v>5</v>
      </c>
      <c r="D160" s="114"/>
      <c r="E160" s="114"/>
      <c r="F160" s="114">
        <v>38</v>
      </c>
      <c r="G160" s="115">
        <v>22</v>
      </c>
      <c r="H160" s="115">
        <v>9</v>
      </c>
      <c r="I160" s="846"/>
      <c r="J160" s="114">
        <v>49</v>
      </c>
      <c r="K160" s="116"/>
      <c r="L160" s="114">
        <v>31</v>
      </c>
      <c r="M160" s="116"/>
      <c r="N160" s="114">
        <v>12</v>
      </c>
      <c r="O160" s="116"/>
      <c r="P160" s="114"/>
      <c r="Q160" s="114" t="s">
        <v>1032</v>
      </c>
      <c r="R160" s="114"/>
      <c r="S160" s="114" t="s">
        <v>676</v>
      </c>
      <c r="T160" s="114">
        <v>105</v>
      </c>
      <c r="U160" s="116">
        <v>197</v>
      </c>
      <c r="V160" s="155">
        <f>(U160+T160)/2</f>
        <v>151</v>
      </c>
      <c r="W160" s="155">
        <v>1.4</v>
      </c>
      <c r="X160" s="124">
        <f>V160/W160</f>
        <v>107.85714285714286</v>
      </c>
      <c r="Y160" s="114" t="s">
        <v>2268</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89"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2280</v>
      </c>
      <c r="B161" s="114">
        <v>31305</v>
      </c>
      <c r="C161" s="114">
        <v>1</v>
      </c>
      <c r="D161" s="114"/>
      <c r="E161" s="114"/>
      <c r="F161" s="114">
        <v>30</v>
      </c>
      <c r="G161" s="115">
        <v>16</v>
      </c>
      <c r="H161" s="115"/>
      <c r="I161" s="115"/>
      <c r="J161" s="114"/>
      <c r="K161" s="116"/>
      <c r="L161" s="114">
        <v>13</v>
      </c>
      <c r="M161" s="116"/>
      <c r="N161" s="114"/>
      <c r="O161" s="116"/>
      <c r="P161" s="114"/>
      <c r="Q161" s="114" t="s">
        <v>1032</v>
      </c>
      <c r="R161" s="114"/>
      <c r="S161" s="114" t="s">
        <v>673</v>
      </c>
      <c r="T161" s="114">
        <v>103</v>
      </c>
      <c r="U161" s="116">
        <v>155</v>
      </c>
      <c r="V161" s="155">
        <f t="shared" ref="V161:V163" si="21">(U161+T161)/2</f>
        <v>129</v>
      </c>
      <c r="W161" s="155">
        <v>1.8</v>
      </c>
      <c r="X161" s="124">
        <f t="shared" ref="X161:X163" si="22">V161/W161</f>
        <v>71.666666666666671</v>
      </c>
      <c r="Y161" s="114" t="s">
        <v>2268</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89"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2844</v>
      </c>
      <c r="B162" s="114">
        <v>25763</v>
      </c>
      <c r="C162" s="114">
        <v>1</v>
      </c>
      <c r="D162" s="114"/>
      <c r="E162" s="114">
        <v>13</v>
      </c>
      <c r="F162" s="114">
        <v>26</v>
      </c>
      <c r="G162" s="115"/>
      <c r="H162" s="115"/>
      <c r="I162" s="115"/>
      <c r="J162" s="114"/>
      <c r="K162" s="116"/>
      <c r="L162" s="114">
        <v>19</v>
      </c>
      <c r="M162" s="116"/>
      <c r="N162" s="114"/>
      <c r="O162" s="116"/>
      <c r="P162" s="114"/>
      <c r="Q162" s="114" t="s">
        <v>1032</v>
      </c>
      <c r="R162" s="114"/>
      <c r="S162" s="114" t="s">
        <v>674</v>
      </c>
      <c r="T162" s="114">
        <v>74</v>
      </c>
      <c r="U162" s="116">
        <v>139</v>
      </c>
      <c r="V162" s="155">
        <f t="shared" si="21"/>
        <v>106.5</v>
      </c>
      <c r="W162" s="155">
        <v>1.7</v>
      </c>
      <c r="X162" s="124">
        <f t="shared" si="22"/>
        <v>62.647058823529413</v>
      </c>
      <c r="Y162" s="114" t="s">
        <v>2268</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89"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2843</v>
      </c>
      <c r="B163" s="114">
        <v>31492</v>
      </c>
      <c r="C163" s="114">
        <v>3</v>
      </c>
      <c r="D163" s="114"/>
      <c r="E163" s="114">
        <v>15</v>
      </c>
      <c r="F163" s="114">
        <v>30</v>
      </c>
      <c r="G163" s="115">
        <v>15</v>
      </c>
      <c r="H163" s="115"/>
      <c r="I163" s="115"/>
      <c r="J163" s="114"/>
      <c r="K163" s="116">
        <v>15</v>
      </c>
      <c r="L163" s="114"/>
      <c r="M163" s="116"/>
      <c r="N163" s="114"/>
      <c r="O163" s="116"/>
      <c r="P163" s="114"/>
      <c r="Q163" s="114" t="s">
        <v>1032</v>
      </c>
      <c r="R163" s="114"/>
      <c r="S163" s="114" t="s">
        <v>674</v>
      </c>
      <c r="T163" s="114">
        <v>83</v>
      </c>
      <c r="U163" s="116">
        <v>156</v>
      </c>
      <c r="V163" s="155">
        <f t="shared" si="21"/>
        <v>119.5</v>
      </c>
      <c r="W163" s="155">
        <v>1.8</v>
      </c>
      <c r="X163" s="124">
        <f t="shared" si="22"/>
        <v>66.388888888888886</v>
      </c>
      <c r="Y163" s="114" t="s">
        <v>2268</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89"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987</v>
      </c>
      <c r="B164" s="114">
        <v>34329</v>
      </c>
      <c r="C164" s="114">
        <v>5</v>
      </c>
      <c r="D164" s="114"/>
      <c r="E164" s="114">
        <v>18</v>
      </c>
      <c r="F164" s="114">
        <v>56</v>
      </c>
      <c r="G164" s="115"/>
      <c r="H164" s="115"/>
      <c r="I164" s="115">
        <v>27</v>
      </c>
      <c r="J164" s="114"/>
      <c r="K164" s="116"/>
      <c r="L164" s="114">
        <v>15</v>
      </c>
      <c r="M164" s="116"/>
      <c r="N164" s="114"/>
      <c r="O164" s="116"/>
      <c r="P164" s="114"/>
      <c r="Q164" s="114" t="s">
        <v>1034</v>
      </c>
      <c r="R164" s="114" t="s">
        <v>1065</v>
      </c>
      <c r="S164" s="114" t="s">
        <v>870</v>
      </c>
      <c r="T164" s="114">
        <v>164</v>
      </c>
      <c r="U164" s="116">
        <v>247</v>
      </c>
      <c r="V164" s="155">
        <f t="shared" si="19"/>
        <v>205.5</v>
      </c>
      <c r="W164" s="155">
        <v>1.8</v>
      </c>
      <c r="X164" s="124">
        <f t="shared" si="20"/>
        <v>114.16666666666666</v>
      </c>
      <c r="Y164" s="114" t="s">
        <v>2268</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89"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645</v>
      </c>
      <c r="B165" s="114">
        <v>32659</v>
      </c>
      <c r="C165" s="114">
        <v>3</v>
      </c>
      <c r="D165" s="114"/>
      <c r="E165" s="114">
        <v>11</v>
      </c>
      <c r="F165" s="114">
        <v>40</v>
      </c>
      <c r="G165" s="115"/>
      <c r="H165" s="115"/>
      <c r="I165" s="115"/>
      <c r="J165" s="114"/>
      <c r="K165" s="116"/>
      <c r="L165" s="114">
        <v>12</v>
      </c>
      <c r="M165" s="116"/>
      <c r="N165" s="114"/>
      <c r="O165" s="116"/>
      <c r="P165" s="114"/>
      <c r="Q165" s="114" t="s">
        <v>1032</v>
      </c>
      <c r="R165" s="114"/>
      <c r="S165" s="114" t="s">
        <v>673</v>
      </c>
      <c r="T165" s="114">
        <v>103</v>
      </c>
      <c r="U165" s="116">
        <v>155</v>
      </c>
      <c r="V165" s="155">
        <f t="shared" si="19"/>
        <v>129</v>
      </c>
      <c r="W165" s="155">
        <v>1.8</v>
      </c>
      <c r="X165" s="124">
        <f t="shared" si="20"/>
        <v>71.666666666666671</v>
      </c>
      <c r="Y165" s="114" t="s">
        <v>2268</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89"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1662</v>
      </c>
      <c r="B166" s="114">
        <v>33389</v>
      </c>
      <c r="C166" s="114">
        <v>4</v>
      </c>
      <c r="D166" s="114"/>
      <c r="E166" s="114">
        <v>21</v>
      </c>
      <c r="F166" s="114">
        <v>40</v>
      </c>
      <c r="G166" s="115"/>
      <c r="H166" s="115"/>
      <c r="I166" s="115"/>
      <c r="J166" s="114">
        <v>140</v>
      </c>
      <c r="K166" s="116"/>
      <c r="L166" s="114"/>
      <c r="M166" s="116"/>
      <c r="N166" s="114"/>
      <c r="O166" s="116"/>
      <c r="P166" s="114"/>
      <c r="Q166" s="114" t="s">
        <v>1032</v>
      </c>
      <c r="R166" s="114"/>
      <c r="S166" s="114" t="s">
        <v>663</v>
      </c>
      <c r="T166" s="114">
        <v>137</v>
      </c>
      <c r="U166" s="116">
        <v>207</v>
      </c>
      <c r="V166" s="155">
        <f t="shared" si="19"/>
        <v>172</v>
      </c>
      <c r="W166" s="155">
        <v>1.8</v>
      </c>
      <c r="X166" s="124">
        <f t="shared" si="20"/>
        <v>95.555555555555557</v>
      </c>
      <c r="Y166" s="114" t="s">
        <v>2268</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89"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2404</v>
      </c>
      <c r="B167" s="114">
        <v>21126</v>
      </c>
      <c r="C167" s="114">
        <v>1</v>
      </c>
      <c r="F167" s="114">
        <v>38</v>
      </c>
      <c r="G167" s="115"/>
      <c r="H167" s="115"/>
      <c r="I167" s="115"/>
      <c r="K167" s="116">
        <v>7</v>
      </c>
      <c r="L167" s="114">
        <v>10</v>
      </c>
      <c r="M167" s="116"/>
      <c r="O167" s="116"/>
      <c r="Q167" s="114" t="s">
        <v>1032</v>
      </c>
      <c r="S167" s="114" t="s">
        <v>667</v>
      </c>
      <c r="T167" s="114">
        <v>95</v>
      </c>
      <c r="U167" s="116">
        <v>144</v>
      </c>
      <c r="V167" s="155">
        <f t="shared" si="19"/>
        <v>119.5</v>
      </c>
      <c r="W167" s="155">
        <v>1.8</v>
      </c>
      <c r="X167" s="124">
        <f t="shared" si="20"/>
        <v>66.388888888888886</v>
      </c>
      <c r="Y167" s="114" t="s">
        <v>2268</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89"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1032</v>
      </c>
      <c r="S168" s="114" t="s">
        <v>684</v>
      </c>
      <c r="T168" s="114">
        <v>81</v>
      </c>
      <c r="U168" s="116">
        <v>152</v>
      </c>
      <c r="V168" s="155">
        <f t="shared" si="19"/>
        <v>116.5</v>
      </c>
      <c r="W168" s="155">
        <v>1.4</v>
      </c>
      <c r="X168" s="124">
        <f t="shared" si="20"/>
        <v>83.214285714285722</v>
      </c>
      <c r="Y168" s="114" t="s">
        <v>2268</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89"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1141</v>
      </c>
      <c r="B169" s="114">
        <v>34606</v>
      </c>
      <c r="C169" s="114">
        <v>5</v>
      </c>
      <c r="D169" s="114"/>
      <c r="E169" s="114"/>
      <c r="F169" s="114">
        <v>36</v>
      </c>
      <c r="G169" s="115"/>
      <c r="H169" s="115"/>
      <c r="I169" s="115">
        <v>17</v>
      </c>
      <c r="J169" s="114"/>
      <c r="K169" s="116"/>
      <c r="L169" s="114">
        <v>25</v>
      </c>
      <c r="M169" s="116"/>
      <c r="N169" s="114"/>
      <c r="O169" s="116"/>
      <c r="P169" s="114"/>
      <c r="Q169" s="114" t="s">
        <v>1032</v>
      </c>
      <c r="R169" s="114"/>
      <c r="S169" s="114" t="s">
        <v>690</v>
      </c>
      <c r="T169" s="114">
        <v>79</v>
      </c>
      <c r="U169" s="116">
        <v>148</v>
      </c>
      <c r="V169" s="155">
        <f t="shared" si="19"/>
        <v>113.5</v>
      </c>
      <c r="W169" s="155">
        <v>1.3</v>
      </c>
      <c r="X169" s="124">
        <f t="shared" si="20"/>
        <v>87.307692307692307</v>
      </c>
      <c r="Y169" s="114" t="s">
        <v>2268</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89"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1032</v>
      </c>
      <c r="R170" s="114"/>
      <c r="S170" s="114" t="s">
        <v>671</v>
      </c>
      <c r="T170" s="114">
        <v>126</v>
      </c>
      <c r="U170" s="116">
        <v>189</v>
      </c>
      <c r="V170" s="155">
        <f t="shared" si="19"/>
        <v>157.5</v>
      </c>
      <c r="W170" s="155">
        <v>1.8</v>
      </c>
      <c r="X170" s="124">
        <f t="shared" si="20"/>
        <v>87.5</v>
      </c>
      <c r="Y170" s="114" t="s">
        <v>2268</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89"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986</v>
      </c>
      <c r="B171" s="114">
        <v>34165</v>
      </c>
      <c r="C171" s="114">
        <v>5</v>
      </c>
      <c r="D171" s="114"/>
      <c r="E171" s="114">
        <v>25</v>
      </c>
      <c r="F171" s="114">
        <v>48</v>
      </c>
      <c r="G171" s="115"/>
      <c r="H171" s="115"/>
      <c r="I171" s="115">
        <v>25</v>
      </c>
      <c r="J171" s="114"/>
      <c r="K171" s="116"/>
      <c r="L171" s="114"/>
      <c r="M171" s="116"/>
      <c r="N171" s="114"/>
      <c r="O171" s="116"/>
      <c r="P171" s="114"/>
      <c r="Q171" s="114" t="s">
        <v>1032</v>
      </c>
      <c r="R171" s="114"/>
      <c r="S171" s="114" t="s">
        <v>870</v>
      </c>
      <c r="T171" s="114">
        <v>113</v>
      </c>
      <c r="U171" s="116">
        <v>211</v>
      </c>
      <c r="V171" s="155">
        <f t="shared" si="19"/>
        <v>162</v>
      </c>
      <c r="W171" s="155">
        <v>1.5</v>
      </c>
      <c r="X171" s="124">
        <f t="shared" si="20"/>
        <v>108</v>
      </c>
      <c r="Y171" s="114" t="s">
        <v>2268</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89"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1032</v>
      </c>
      <c r="R172" s="114"/>
      <c r="S172" s="114" t="s">
        <v>666</v>
      </c>
      <c r="T172" s="114">
        <v>144</v>
      </c>
      <c r="U172" s="116">
        <v>217</v>
      </c>
      <c r="V172" s="155">
        <f t="shared" si="19"/>
        <v>180.5</v>
      </c>
      <c r="W172" s="155">
        <v>1.8</v>
      </c>
      <c r="X172" s="124">
        <f t="shared" si="20"/>
        <v>100.27777777777777</v>
      </c>
      <c r="Y172" s="114" t="s">
        <v>2268</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89"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1734</v>
      </c>
      <c r="B173" s="114">
        <v>29346</v>
      </c>
      <c r="C173" s="114">
        <v>1</v>
      </c>
      <c r="D173" s="114"/>
      <c r="E173" s="114"/>
      <c r="F173" s="114">
        <v>34</v>
      </c>
      <c r="G173" s="115">
        <v>22</v>
      </c>
      <c r="H173" s="115"/>
      <c r="I173" s="115"/>
      <c r="J173" s="114"/>
      <c r="K173" s="116"/>
      <c r="L173" s="114"/>
      <c r="M173" s="116"/>
      <c r="N173" s="114"/>
      <c r="O173" s="116"/>
      <c r="P173" s="114"/>
      <c r="Q173" s="114" t="s">
        <v>1032</v>
      </c>
      <c r="R173" s="114"/>
      <c r="S173" s="114" t="s">
        <v>690</v>
      </c>
      <c r="T173" s="114">
        <v>83</v>
      </c>
      <c r="U173" s="116">
        <v>156</v>
      </c>
      <c r="V173" s="155">
        <f t="shared" si="19"/>
        <v>119.5</v>
      </c>
      <c r="W173" s="155">
        <v>1.4</v>
      </c>
      <c r="X173" s="124">
        <f t="shared" si="20"/>
        <v>85.357142857142861</v>
      </c>
      <c r="Y173" s="114" t="s">
        <v>2268</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89"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1736</v>
      </c>
      <c r="B174" s="114">
        <v>28312</v>
      </c>
      <c r="C174" s="114">
        <v>1</v>
      </c>
      <c r="D174" s="114"/>
      <c r="E174" s="114"/>
      <c r="F174" s="114">
        <v>28</v>
      </c>
      <c r="G174" s="115">
        <v>15</v>
      </c>
      <c r="H174" s="115">
        <v>9</v>
      </c>
      <c r="I174" s="115"/>
      <c r="J174" s="114"/>
      <c r="K174" s="116"/>
      <c r="L174" s="114">
        <v>21</v>
      </c>
      <c r="M174" s="116"/>
      <c r="N174" s="114">
        <v>10</v>
      </c>
      <c r="O174" s="116"/>
      <c r="P174" s="114"/>
      <c r="Q174" s="114" t="s">
        <v>1032</v>
      </c>
      <c r="R174" s="114"/>
      <c r="S174" s="114" t="s">
        <v>676</v>
      </c>
      <c r="T174" s="114">
        <v>131</v>
      </c>
      <c r="U174" s="116">
        <v>197</v>
      </c>
      <c r="V174" s="155">
        <f t="shared" si="19"/>
        <v>164</v>
      </c>
      <c r="W174" s="155">
        <v>1.8</v>
      </c>
      <c r="X174" s="124">
        <f t="shared" si="20"/>
        <v>91.111111111111114</v>
      </c>
      <c r="Y174" s="114" t="s">
        <v>2268</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89"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1032</v>
      </c>
      <c r="R175" s="114"/>
      <c r="S175" s="114" t="s">
        <v>676</v>
      </c>
      <c r="T175" s="114">
        <v>89</v>
      </c>
      <c r="U175" s="116">
        <v>166</v>
      </c>
      <c r="V175" s="155">
        <f t="shared" si="19"/>
        <v>127.5</v>
      </c>
      <c r="W175" s="155">
        <v>1.4</v>
      </c>
      <c r="X175" s="124">
        <f t="shared" si="20"/>
        <v>91.071428571428584</v>
      </c>
      <c r="Y175" s="114" t="s">
        <v>2268</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89"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939</v>
      </c>
      <c r="B176" s="114">
        <v>28954</v>
      </c>
      <c r="C176" s="114">
        <v>1</v>
      </c>
      <c r="D176" s="114"/>
      <c r="E176" s="114"/>
      <c r="F176" s="114">
        <v>26</v>
      </c>
      <c r="G176" s="115">
        <v>13</v>
      </c>
      <c r="H176" s="115">
        <v>8</v>
      </c>
      <c r="I176" s="115"/>
      <c r="J176" s="114"/>
      <c r="K176" s="116"/>
      <c r="L176" s="114">
        <v>18</v>
      </c>
      <c r="M176" s="116"/>
      <c r="N176" s="114">
        <v>9</v>
      </c>
      <c r="O176" s="116"/>
      <c r="P176" s="114"/>
      <c r="Q176" s="114" t="s">
        <v>1032</v>
      </c>
      <c r="R176" s="114"/>
      <c r="S176" s="114" t="s">
        <v>676</v>
      </c>
      <c r="T176" s="114">
        <v>103</v>
      </c>
      <c r="U176" s="116">
        <v>155</v>
      </c>
      <c r="V176" s="155">
        <f t="shared" si="19"/>
        <v>129</v>
      </c>
      <c r="W176" s="155">
        <v>1.8</v>
      </c>
      <c r="X176" s="124">
        <f t="shared" si="20"/>
        <v>71.666666666666671</v>
      </c>
      <c r="Y176" s="114" t="s">
        <v>2268</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89"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940</v>
      </c>
      <c r="B177" s="114">
        <v>28955</v>
      </c>
      <c r="C177" s="114">
        <v>1</v>
      </c>
      <c r="D177" s="114"/>
      <c r="E177" s="114"/>
      <c r="F177" s="114">
        <v>26</v>
      </c>
      <c r="G177" s="116">
        <v>13</v>
      </c>
      <c r="H177" s="116">
        <v>8</v>
      </c>
      <c r="I177" s="115"/>
      <c r="J177" s="114"/>
      <c r="K177" s="116"/>
      <c r="L177" s="114">
        <v>18</v>
      </c>
      <c r="M177" s="114"/>
      <c r="N177" s="114">
        <v>9</v>
      </c>
      <c r="O177" s="116"/>
      <c r="P177" s="114"/>
      <c r="Q177" s="114" t="s">
        <v>1032</v>
      </c>
      <c r="R177" s="114"/>
      <c r="S177" s="114" t="s">
        <v>676</v>
      </c>
      <c r="T177" s="116">
        <v>80</v>
      </c>
      <c r="U177" s="116">
        <v>121</v>
      </c>
      <c r="V177" s="155">
        <f t="shared" si="19"/>
        <v>100.5</v>
      </c>
      <c r="W177" s="155">
        <v>1.4</v>
      </c>
      <c r="X177" s="124">
        <f t="shared" si="20"/>
        <v>71.785714285714292</v>
      </c>
      <c r="Y177" s="124" t="s">
        <v>2268</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89"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1737</v>
      </c>
      <c r="B178" s="114">
        <v>29121</v>
      </c>
      <c r="C178" s="114">
        <v>1</v>
      </c>
      <c r="D178" s="114"/>
      <c r="E178" s="114">
        <v>19</v>
      </c>
      <c r="F178" s="114">
        <v>38</v>
      </c>
      <c r="G178" s="115"/>
      <c r="H178" s="115"/>
      <c r="I178" s="115"/>
      <c r="J178" s="114"/>
      <c r="K178" s="116"/>
      <c r="L178" s="114"/>
      <c r="M178" s="116"/>
      <c r="N178" s="114"/>
      <c r="O178" s="116"/>
      <c r="P178" s="114"/>
      <c r="Q178" s="114" t="s">
        <v>1032</v>
      </c>
      <c r="R178" s="114"/>
      <c r="S178" s="114" t="s">
        <v>675</v>
      </c>
      <c r="T178" s="114">
        <v>104</v>
      </c>
      <c r="U178" s="116">
        <v>156</v>
      </c>
      <c r="V178" s="155">
        <f t="shared" si="19"/>
        <v>130</v>
      </c>
      <c r="W178" s="155">
        <v>1.6</v>
      </c>
      <c r="X178" s="124">
        <f t="shared" si="20"/>
        <v>81.25</v>
      </c>
      <c r="Y178" s="114" t="s">
        <v>2268</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89"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2411</v>
      </c>
      <c r="B179" s="114">
        <v>23044</v>
      </c>
      <c r="C179" s="114">
        <v>1</v>
      </c>
      <c r="D179" s="114"/>
      <c r="E179" s="114">
        <v>8</v>
      </c>
      <c r="F179" s="114"/>
      <c r="G179" s="115">
        <v>14</v>
      </c>
      <c r="H179" s="115">
        <v>10</v>
      </c>
      <c r="I179" s="115"/>
      <c r="J179" s="114"/>
      <c r="K179" s="116"/>
      <c r="L179" s="114">
        <v>8</v>
      </c>
      <c r="M179" s="116"/>
      <c r="N179" s="114"/>
      <c r="O179" s="116"/>
      <c r="P179" s="114"/>
      <c r="Q179" s="114" t="s">
        <v>1032</v>
      </c>
      <c r="R179" s="114"/>
      <c r="S179" s="114" t="s">
        <v>667</v>
      </c>
      <c r="T179" s="114">
        <v>83</v>
      </c>
      <c r="U179" s="116">
        <v>126</v>
      </c>
      <c r="V179" s="155">
        <f t="shared" si="19"/>
        <v>104.5</v>
      </c>
      <c r="W179" s="155">
        <v>1.6</v>
      </c>
      <c r="X179" s="124">
        <f t="shared" si="20"/>
        <v>65.3125</v>
      </c>
      <c r="Y179" s="114" t="s">
        <v>2268</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89"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647</v>
      </c>
      <c r="B180" s="114">
        <v>29962</v>
      </c>
      <c r="C180" s="114">
        <v>2</v>
      </c>
      <c r="D180" s="114"/>
      <c r="E180" s="114">
        <v>20</v>
      </c>
      <c r="F180" s="124">
        <f>270*itHRohUP</f>
        <v>59.093230300858075</v>
      </c>
      <c r="G180" s="115"/>
      <c r="H180" s="115"/>
      <c r="I180" s="115"/>
      <c r="J180" s="114"/>
      <c r="K180" s="116"/>
      <c r="L180" s="114">
        <v>30</v>
      </c>
      <c r="M180" s="116"/>
      <c r="N180" s="114"/>
      <c r="O180" s="116"/>
      <c r="P180" s="114"/>
      <c r="Q180" s="114" t="s">
        <v>1032</v>
      </c>
      <c r="R180" s="114"/>
      <c r="S180" s="114" t="s">
        <v>679</v>
      </c>
      <c r="T180" s="114">
        <v>121</v>
      </c>
      <c r="U180" s="116">
        <v>226</v>
      </c>
      <c r="V180" s="155">
        <f t="shared" si="19"/>
        <v>173.5</v>
      </c>
      <c r="W180" s="155">
        <v>1.8</v>
      </c>
      <c r="X180" s="124">
        <f t="shared" si="20"/>
        <v>96.388888888888886</v>
      </c>
      <c r="Y180" s="114" t="s">
        <v>2268</v>
      </c>
      <c r="Z180" s="114"/>
      <c r="AA180" s="114"/>
      <c r="AB180" s="114"/>
      <c r="AC180" s="288" t="s">
        <v>643</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89"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941</v>
      </c>
      <c r="B181" s="114">
        <v>28929</v>
      </c>
      <c r="C181" s="114">
        <v>1</v>
      </c>
      <c r="D181" s="114"/>
      <c r="E181" s="114"/>
      <c r="F181" s="114">
        <v>26</v>
      </c>
      <c r="G181" s="115">
        <v>13</v>
      </c>
      <c r="H181" s="115">
        <v>8</v>
      </c>
      <c r="I181" s="115"/>
      <c r="J181" s="114"/>
      <c r="K181" s="116"/>
      <c r="L181" s="114">
        <v>18</v>
      </c>
      <c r="M181" s="116"/>
      <c r="N181" s="114">
        <v>9</v>
      </c>
      <c r="O181" s="116"/>
      <c r="P181" s="114"/>
      <c r="Q181" s="114" t="s">
        <v>1032</v>
      </c>
      <c r="R181" s="114"/>
      <c r="S181" s="114" t="s">
        <v>676</v>
      </c>
      <c r="T181" s="114">
        <v>103</v>
      </c>
      <c r="U181" s="116">
        <v>155</v>
      </c>
      <c r="V181" s="155">
        <f t="shared" si="19"/>
        <v>129</v>
      </c>
      <c r="W181" s="155">
        <v>1.8</v>
      </c>
      <c r="X181" s="124">
        <f t="shared" si="20"/>
        <v>71.666666666666671</v>
      </c>
      <c r="Y181" s="114" t="s">
        <v>2268</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89"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942</v>
      </c>
      <c r="B182" s="114">
        <v>28930</v>
      </c>
      <c r="C182" s="114">
        <v>1</v>
      </c>
      <c r="D182" s="114"/>
      <c r="E182" s="114"/>
      <c r="F182" s="114">
        <v>26</v>
      </c>
      <c r="G182" s="116">
        <v>13</v>
      </c>
      <c r="H182" s="116">
        <v>8</v>
      </c>
      <c r="I182" s="115"/>
      <c r="J182" s="114"/>
      <c r="K182" s="116"/>
      <c r="L182" s="114">
        <v>18</v>
      </c>
      <c r="M182" s="114"/>
      <c r="N182" s="114">
        <v>9</v>
      </c>
      <c r="O182" s="116"/>
      <c r="P182" s="114"/>
      <c r="Q182" s="114" t="s">
        <v>1032</v>
      </c>
      <c r="R182" s="114"/>
      <c r="S182" s="114" t="s">
        <v>676</v>
      </c>
      <c r="T182" s="116">
        <v>80</v>
      </c>
      <c r="U182" s="116">
        <v>121</v>
      </c>
      <c r="V182" s="155">
        <f t="shared" si="19"/>
        <v>100.5</v>
      </c>
      <c r="W182" s="155">
        <v>1.4</v>
      </c>
      <c r="X182" s="124">
        <f t="shared" si="20"/>
        <v>71.785714285714292</v>
      </c>
      <c r="Y182" s="124" t="s">
        <v>2268</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89"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648</v>
      </c>
      <c r="B183" s="114">
        <v>28416</v>
      </c>
      <c r="C183" s="114">
        <v>1</v>
      </c>
      <c r="D183" s="114"/>
      <c r="E183" s="114"/>
      <c r="F183" s="114">
        <v>30</v>
      </c>
      <c r="G183" s="115">
        <v>16</v>
      </c>
      <c r="H183" s="115"/>
      <c r="I183" s="115"/>
      <c r="J183" s="114"/>
      <c r="K183" s="116"/>
      <c r="L183" s="114">
        <v>13</v>
      </c>
      <c r="M183" s="116"/>
      <c r="N183" s="114"/>
      <c r="O183" s="116"/>
      <c r="P183" s="114"/>
      <c r="Q183" s="114" t="s">
        <v>1032</v>
      </c>
      <c r="R183" s="114"/>
      <c r="S183" s="114" t="s">
        <v>672</v>
      </c>
      <c r="T183" s="114">
        <v>103</v>
      </c>
      <c r="U183" s="116">
        <v>155</v>
      </c>
      <c r="V183" s="155">
        <f t="shared" si="19"/>
        <v>129</v>
      </c>
      <c r="W183" s="155">
        <v>1.8</v>
      </c>
      <c r="X183" s="124">
        <f t="shared" si="20"/>
        <v>71.666666666666671</v>
      </c>
      <c r="Y183" s="114" t="s">
        <v>2268</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89"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650</v>
      </c>
      <c r="B184" s="114">
        <v>30312</v>
      </c>
      <c r="C184" s="114">
        <v>2</v>
      </c>
      <c r="D184" s="114"/>
      <c r="E184" s="114"/>
      <c r="F184" s="114">
        <v>70</v>
      </c>
      <c r="G184" s="116">
        <v>25</v>
      </c>
      <c r="H184" s="116"/>
      <c r="I184" s="115"/>
      <c r="J184" s="114"/>
      <c r="K184" s="116"/>
      <c r="L184" s="114">
        <v>35</v>
      </c>
      <c r="M184" s="114"/>
      <c r="N184" s="114"/>
      <c r="O184" s="116"/>
      <c r="P184" s="114"/>
      <c r="Q184" s="114" t="s">
        <v>1032</v>
      </c>
      <c r="R184" s="114"/>
      <c r="S184" s="114" t="s">
        <v>679</v>
      </c>
      <c r="T184" s="116">
        <v>171</v>
      </c>
      <c r="U184" s="116">
        <v>318</v>
      </c>
      <c r="V184" s="155">
        <f t="shared" si="19"/>
        <v>244.5</v>
      </c>
      <c r="W184" s="155">
        <v>2</v>
      </c>
      <c r="X184" s="124">
        <f t="shared" si="20"/>
        <v>122.25</v>
      </c>
      <c r="Y184" s="124" t="s">
        <v>2268</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89"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651</v>
      </c>
      <c r="B185" s="114">
        <v>22802</v>
      </c>
      <c r="C185" s="114">
        <v>1</v>
      </c>
      <c r="D185" s="114"/>
      <c r="E185" s="114">
        <v>16</v>
      </c>
      <c r="F185" s="114"/>
      <c r="G185" s="115">
        <v>14</v>
      </c>
      <c r="H185" s="115">
        <v>10</v>
      </c>
      <c r="I185" s="115"/>
      <c r="J185" s="114"/>
      <c r="K185" s="116"/>
      <c r="L185" s="114"/>
      <c r="M185" s="116"/>
      <c r="N185" s="114"/>
      <c r="O185" s="116"/>
      <c r="P185" s="114"/>
      <c r="Q185" s="114" t="s">
        <v>1032</v>
      </c>
      <c r="R185" s="114"/>
      <c r="S185" s="114" t="s">
        <v>667</v>
      </c>
      <c r="T185" s="114">
        <v>105</v>
      </c>
      <c r="U185" s="116">
        <v>158</v>
      </c>
      <c r="V185" s="155">
        <f t="shared" si="19"/>
        <v>131.5</v>
      </c>
      <c r="W185" s="155">
        <v>1.8</v>
      </c>
      <c r="X185" s="124">
        <f t="shared" si="20"/>
        <v>73.055555555555557</v>
      </c>
      <c r="Y185" s="114" t="s">
        <v>2268</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89"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652</v>
      </c>
      <c r="B186" s="114">
        <v>28768</v>
      </c>
      <c r="C186" s="114">
        <v>1</v>
      </c>
      <c r="D186" s="114"/>
      <c r="E186" s="114"/>
      <c r="F186" s="114">
        <v>50</v>
      </c>
      <c r="G186" s="115"/>
      <c r="H186" s="115">
        <v>15</v>
      </c>
      <c r="I186" s="115"/>
      <c r="J186" s="114"/>
      <c r="K186" s="116"/>
      <c r="L186" s="114">
        <v>16</v>
      </c>
      <c r="M186" s="116"/>
      <c r="N186" s="114"/>
      <c r="O186" s="116"/>
      <c r="P186" s="114"/>
      <c r="Q186" s="114" t="s">
        <v>1032</v>
      </c>
      <c r="R186" s="114"/>
      <c r="S186" s="114" t="s">
        <v>671</v>
      </c>
      <c r="T186" s="114">
        <v>132</v>
      </c>
      <c r="U186" s="116">
        <v>199</v>
      </c>
      <c r="V186" s="155">
        <f t="shared" si="19"/>
        <v>165.5</v>
      </c>
      <c r="W186" s="155">
        <v>1.8</v>
      </c>
      <c r="X186" s="124">
        <f t="shared" si="20"/>
        <v>91.944444444444443</v>
      </c>
      <c r="Y186" s="114" t="s">
        <v>2268</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89"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653</v>
      </c>
      <c r="B187" s="114">
        <v>32044</v>
      </c>
      <c r="C187" s="114">
        <v>2</v>
      </c>
      <c r="D187" s="114"/>
      <c r="E187" s="114"/>
      <c r="F187" s="114">
        <v>30</v>
      </c>
      <c r="G187" s="115">
        <v>19</v>
      </c>
      <c r="H187" s="115">
        <v>10</v>
      </c>
      <c r="I187" s="115"/>
      <c r="J187" s="114"/>
      <c r="K187" s="116"/>
      <c r="L187" s="114">
        <v>27</v>
      </c>
      <c r="M187" s="116"/>
      <c r="N187" s="114">
        <v>12</v>
      </c>
      <c r="O187" s="116"/>
      <c r="P187" s="114"/>
      <c r="Q187" s="114" t="s">
        <v>1032</v>
      </c>
      <c r="R187" s="114"/>
      <c r="S187" s="114" t="s">
        <v>676</v>
      </c>
      <c r="T187" s="114">
        <v>140</v>
      </c>
      <c r="U187" s="116">
        <v>211</v>
      </c>
      <c r="V187" s="155">
        <f t="shared" si="19"/>
        <v>175.5</v>
      </c>
      <c r="W187" s="155">
        <v>1.8</v>
      </c>
      <c r="X187" s="124">
        <f t="shared" si="20"/>
        <v>97.5</v>
      </c>
      <c r="Y187" s="114" t="s">
        <v>2268</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89"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1032</v>
      </c>
      <c r="R188" s="114"/>
      <c r="S188" s="114" t="s">
        <v>676</v>
      </c>
      <c r="T188" s="114">
        <v>95</v>
      </c>
      <c r="U188" s="116">
        <v>178</v>
      </c>
      <c r="V188" s="155">
        <f t="shared" si="19"/>
        <v>136.5</v>
      </c>
      <c r="W188" s="155">
        <v>1.4</v>
      </c>
      <c r="X188" s="124">
        <f t="shared" si="20"/>
        <v>97.5</v>
      </c>
      <c r="Y188" s="114" t="s">
        <v>2268</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89"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1032</v>
      </c>
      <c r="R189" s="114"/>
      <c r="S189" s="114" t="s">
        <v>682</v>
      </c>
      <c r="T189" s="114">
        <v>112</v>
      </c>
      <c r="U189" s="116">
        <v>169</v>
      </c>
      <c r="V189" s="155">
        <f t="shared" si="19"/>
        <v>140.5</v>
      </c>
      <c r="W189" s="155">
        <v>1.4</v>
      </c>
      <c r="X189" s="124">
        <f t="shared" si="20"/>
        <v>100.35714285714286</v>
      </c>
      <c r="Y189" s="114" t="s">
        <v>2268</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89"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1530</v>
      </c>
      <c r="B190" s="114">
        <v>33298</v>
      </c>
      <c r="C190" s="114">
        <v>4</v>
      </c>
      <c r="D190" s="114"/>
      <c r="E190" s="114"/>
      <c r="F190" s="114">
        <v>42</v>
      </c>
      <c r="G190" s="115"/>
      <c r="H190" s="115"/>
      <c r="I190" s="115"/>
      <c r="J190" s="114">
        <v>140</v>
      </c>
      <c r="K190" s="116"/>
      <c r="L190" s="114">
        <v>30</v>
      </c>
      <c r="M190" s="116"/>
      <c r="N190" s="114"/>
      <c r="O190" s="116"/>
      <c r="P190" s="114"/>
      <c r="Q190" s="114" t="s">
        <v>1032</v>
      </c>
      <c r="R190" s="114"/>
      <c r="S190" s="114" t="s">
        <v>663</v>
      </c>
      <c r="T190" s="114">
        <v>100</v>
      </c>
      <c r="U190" s="116">
        <v>187</v>
      </c>
      <c r="V190" s="155">
        <f t="shared" si="19"/>
        <v>143.5</v>
      </c>
      <c r="W190" s="155">
        <v>1.5</v>
      </c>
      <c r="X190" s="124">
        <f t="shared" si="20"/>
        <v>95.666666666666671</v>
      </c>
      <c r="Y190" s="114" t="s">
        <v>2268</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89"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654</v>
      </c>
      <c r="B191" s="114">
        <v>29125</v>
      </c>
      <c r="C191" s="114">
        <v>1</v>
      </c>
      <c r="D191" s="114"/>
      <c r="E191" s="114">
        <v>22</v>
      </c>
      <c r="F191" s="114"/>
      <c r="G191" s="115"/>
      <c r="H191" s="115"/>
      <c r="I191" s="115"/>
      <c r="J191" s="114"/>
      <c r="K191" s="116"/>
      <c r="L191" s="114">
        <v>21</v>
      </c>
      <c r="M191" s="116"/>
      <c r="N191" s="114"/>
      <c r="O191" s="116"/>
      <c r="P191" s="114"/>
      <c r="Q191" s="114" t="s">
        <v>1032</v>
      </c>
      <c r="R191" s="114"/>
      <c r="S191" s="114" t="s">
        <v>675</v>
      </c>
      <c r="T191" s="114">
        <v>97</v>
      </c>
      <c r="U191" s="116">
        <v>146</v>
      </c>
      <c r="V191" s="155">
        <f t="shared" si="19"/>
        <v>121.5</v>
      </c>
      <c r="W191" s="155">
        <v>1.5</v>
      </c>
      <c r="X191" s="124">
        <f t="shared" si="20"/>
        <v>81</v>
      </c>
      <c r="Y191" s="114" t="s">
        <v>2268</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89"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1351</v>
      </c>
      <c r="B192" s="114">
        <v>29182</v>
      </c>
      <c r="C192" s="114">
        <v>1</v>
      </c>
      <c r="D192" s="114"/>
      <c r="E192" s="114">
        <v>21</v>
      </c>
      <c r="F192" s="114">
        <v>22</v>
      </c>
      <c r="G192" s="115"/>
      <c r="H192" s="115"/>
      <c r="I192" s="115"/>
      <c r="J192" s="114"/>
      <c r="K192" s="116"/>
      <c r="L192" s="114"/>
      <c r="M192" s="116"/>
      <c r="N192" s="114"/>
      <c r="O192" s="116"/>
      <c r="P192" s="114"/>
      <c r="Q192" s="114" t="s">
        <v>1032</v>
      </c>
      <c r="R192" s="114"/>
      <c r="S192" s="114" t="s">
        <v>675</v>
      </c>
      <c r="T192" s="114">
        <v>117</v>
      </c>
      <c r="U192" s="116">
        <v>176</v>
      </c>
      <c r="V192" s="155">
        <f t="shared" si="19"/>
        <v>146.5</v>
      </c>
      <c r="W192" s="155">
        <v>1.8</v>
      </c>
      <c r="X192" s="124">
        <f t="shared" si="20"/>
        <v>81.388888888888886</v>
      </c>
      <c r="Y192" s="114" t="s">
        <v>2268</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89"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1032</v>
      </c>
      <c r="R193" s="114"/>
      <c r="S193" s="114" t="s">
        <v>690</v>
      </c>
      <c r="T193" s="114">
        <v>77</v>
      </c>
      <c r="U193" s="116">
        <v>145</v>
      </c>
      <c r="V193" s="155">
        <f t="shared" si="19"/>
        <v>111</v>
      </c>
      <c r="W193" s="155">
        <v>1.3</v>
      </c>
      <c r="X193" s="124">
        <f t="shared" si="20"/>
        <v>85.384615384615387</v>
      </c>
      <c r="Y193" s="114" t="s">
        <v>2268</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89"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1352</v>
      </c>
      <c r="B194" s="114">
        <v>32471</v>
      </c>
      <c r="C194" s="114">
        <v>3</v>
      </c>
      <c r="D194" s="114"/>
      <c r="E194" s="114"/>
      <c r="F194" s="114">
        <v>64</v>
      </c>
      <c r="G194" s="115"/>
      <c r="H194" s="115"/>
      <c r="I194" s="115"/>
      <c r="J194" s="114"/>
      <c r="K194" s="116"/>
      <c r="L194" s="114"/>
      <c r="M194" s="116"/>
      <c r="N194" s="114"/>
      <c r="O194" s="116"/>
      <c r="P194" s="114"/>
      <c r="Q194" s="114" t="s">
        <v>1032</v>
      </c>
      <c r="R194" s="114"/>
      <c r="S194" s="114" t="s">
        <v>682</v>
      </c>
      <c r="T194" s="114">
        <v>161</v>
      </c>
      <c r="U194" s="116">
        <v>242</v>
      </c>
      <c r="V194" s="155">
        <f t="shared" si="19"/>
        <v>201.5</v>
      </c>
      <c r="W194" s="155">
        <v>1.9</v>
      </c>
      <c r="X194" s="124">
        <f t="shared" si="20"/>
        <v>106.05263157894737</v>
      </c>
      <c r="Y194" s="114" t="s">
        <v>2268</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89"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988</v>
      </c>
      <c r="B195" s="114">
        <v>34197</v>
      </c>
      <c r="C195" s="114">
        <v>5</v>
      </c>
      <c r="D195" s="114"/>
      <c r="E195" s="114">
        <v>25</v>
      </c>
      <c r="F195" s="114">
        <v>42</v>
      </c>
      <c r="G195" s="115"/>
      <c r="H195" s="115"/>
      <c r="I195" s="115"/>
      <c r="J195" s="114">
        <v>196</v>
      </c>
      <c r="K195" s="116"/>
      <c r="L195" s="114"/>
      <c r="M195" s="116"/>
      <c r="N195" s="114"/>
      <c r="O195" s="116"/>
      <c r="P195" s="114"/>
      <c r="Q195" s="114" t="s">
        <v>1032</v>
      </c>
      <c r="R195" s="114"/>
      <c r="S195" s="114" t="s">
        <v>870</v>
      </c>
      <c r="T195" s="114">
        <v>136</v>
      </c>
      <c r="U195" s="116">
        <v>253</v>
      </c>
      <c r="V195" s="155">
        <f>(U195+T195)/2</f>
        <v>194.5</v>
      </c>
      <c r="W195" s="155">
        <v>1.8</v>
      </c>
      <c r="X195" s="124">
        <f>V195/W195</f>
        <v>108.05555555555556</v>
      </c>
      <c r="Y195" s="114" t="s">
        <v>2268</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89"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1032</v>
      </c>
      <c r="R196" s="114"/>
      <c r="S196" s="114" t="s">
        <v>690</v>
      </c>
      <c r="T196" s="114">
        <v>108</v>
      </c>
      <c r="U196" s="116">
        <v>201</v>
      </c>
      <c r="V196" s="155">
        <f t="shared" si="19"/>
        <v>154.5</v>
      </c>
      <c r="W196" s="155">
        <v>1.5</v>
      </c>
      <c r="X196" s="124">
        <f t="shared" si="20"/>
        <v>103</v>
      </c>
      <c r="Y196" s="114" t="s">
        <v>2268</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89"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853</v>
      </c>
      <c r="B197" s="114">
        <v>27463</v>
      </c>
      <c r="C197" s="114">
        <v>1</v>
      </c>
      <c r="D197" s="114"/>
      <c r="E197" s="114"/>
      <c r="F197" s="114">
        <v>34</v>
      </c>
      <c r="G197" s="115"/>
      <c r="H197" s="115">
        <v>14</v>
      </c>
      <c r="I197" s="115"/>
      <c r="J197" s="114"/>
      <c r="K197" s="116"/>
      <c r="L197" s="114">
        <v>15</v>
      </c>
      <c r="M197" s="116"/>
      <c r="N197" s="114"/>
      <c r="O197" s="116"/>
      <c r="P197" s="114"/>
      <c r="Q197" s="114" t="s">
        <v>1032</v>
      </c>
      <c r="R197" s="114"/>
      <c r="S197" s="114" t="s">
        <v>690</v>
      </c>
      <c r="T197" s="114">
        <v>103</v>
      </c>
      <c r="U197" s="116">
        <v>155</v>
      </c>
      <c r="V197" s="155">
        <f t="shared" si="19"/>
        <v>129</v>
      </c>
      <c r="W197" s="155">
        <v>1.8</v>
      </c>
      <c r="X197" s="124">
        <f t="shared" si="20"/>
        <v>71.666666666666671</v>
      </c>
      <c r="Y197" s="114" t="s">
        <v>2268</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89"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1032</v>
      </c>
      <c r="R198" s="114"/>
      <c r="S198" s="114" t="s">
        <v>690</v>
      </c>
      <c r="T198" s="114">
        <v>130</v>
      </c>
      <c r="U198" s="116">
        <v>241</v>
      </c>
      <c r="V198" s="155">
        <f>(U198+T198)/2</f>
        <v>185.5</v>
      </c>
      <c r="W198" s="155">
        <v>1.8</v>
      </c>
      <c r="X198" s="124">
        <f>V198/W198</f>
        <v>103.05555555555556</v>
      </c>
      <c r="Y198" s="114" t="s">
        <v>2268</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89"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1369</v>
      </c>
      <c r="B199" s="114">
        <v>31331</v>
      </c>
      <c r="C199" s="114">
        <v>1</v>
      </c>
      <c r="D199" s="114"/>
      <c r="E199" s="114"/>
      <c r="F199" s="114"/>
      <c r="G199" s="115"/>
      <c r="H199" s="115"/>
      <c r="I199" s="115"/>
      <c r="J199" s="114"/>
      <c r="K199" s="116"/>
      <c r="L199" s="114"/>
      <c r="M199" s="116"/>
      <c r="N199" s="114"/>
      <c r="O199" s="116"/>
      <c r="P199" s="114"/>
      <c r="Q199" s="114" t="s">
        <v>1032</v>
      </c>
      <c r="R199" s="114"/>
      <c r="S199" s="114" t="s">
        <v>673</v>
      </c>
      <c r="T199" s="114">
        <v>117</v>
      </c>
      <c r="U199" s="116">
        <v>176</v>
      </c>
      <c r="V199" s="155">
        <f t="shared" si="19"/>
        <v>146.5</v>
      </c>
      <c r="W199" s="155">
        <v>1.8</v>
      </c>
      <c r="X199" s="124">
        <f t="shared" si="20"/>
        <v>81.388888888888886</v>
      </c>
      <c r="Y199" s="114" t="s">
        <v>2268</v>
      </c>
      <c r="Z199" s="114"/>
      <c r="AA199" s="114"/>
      <c r="AB199" s="114"/>
      <c r="AC199" s="288" t="s">
        <v>1368</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89"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1370</v>
      </c>
      <c r="B200" s="114">
        <v>28226</v>
      </c>
      <c r="C200" s="114">
        <v>1</v>
      </c>
      <c r="D200" s="114"/>
      <c r="E200" s="114"/>
      <c r="F200" s="114">
        <v>30</v>
      </c>
      <c r="G200" s="115"/>
      <c r="H200" s="115"/>
      <c r="I200" s="115"/>
      <c r="J200" s="114"/>
      <c r="K200" s="116">
        <v>15</v>
      </c>
      <c r="L200" s="114">
        <v>13</v>
      </c>
      <c r="M200" s="116"/>
      <c r="N200" s="114"/>
      <c r="O200" s="116"/>
      <c r="P200" s="114"/>
      <c r="Q200" s="114" t="s">
        <v>1032</v>
      </c>
      <c r="R200" s="114"/>
      <c r="S200" s="114" t="s">
        <v>690</v>
      </c>
      <c r="T200" s="114">
        <v>80</v>
      </c>
      <c r="U200" s="116">
        <v>121</v>
      </c>
      <c r="V200" s="155">
        <f t="shared" si="19"/>
        <v>100.5</v>
      </c>
      <c r="W200" s="155">
        <v>1.4</v>
      </c>
      <c r="X200" s="124">
        <f t="shared" si="20"/>
        <v>71.785714285714292</v>
      </c>
      <c r="Y200" s="114" t="s">
        <v>2268</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89"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1371</v>
      </c>
      <c r="B201" s="114">
        <v>30865</v>
      </c>
      <c r="C201" s="114">
        <v>3</v>
      </c>
      <c r="D201" s="114"/>
      <c r="E201" s="114"/>
      <c r="F201" s="114">
        <v>44</v>
      </c>
      <c r="G201" s="115">
        <v>23</v>
      </c>
      <c r="H201" s="115">
        <v>20</v>
      </c>
      <c r="I201" s="115"/>
      <c r="J201" s="114"/>
      <c r="K201" s="116"/>
      <c r="L201" s="114"/>
      <c r="M201" s="116"/>
      <c r="N201" s="114"/>
      <c r="O201" s="116"/>
      <c r="P201" s="114"/>
      <c r="Q201" s="114" t="s">
        <v>1032</v>
      </c>
      <c r="R201" s="114"/>
      <c r="S201" s="114" t="s">
        <v>683</v>
      </c>
      <c r="T201" s="114">
        <v>105</v>
      </c>
      <c r="U201" s="116">
        <v>196</v>
      </c>
      <c r="V201" s="155">
        <f t="shared" si="19"/>
        <v>150.5</v>
      </c>
      <c r="W201" s="155">
        <v>1.5</v>
      </c>
      <c r="X201" s="124">
        <f t="shared" si="20"/>
        <v>100.33333333333333</v>
      </c>
      <c r="Y201" s="114" t="s">
        <v>2268</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89"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644</v>
      </c>
      <c r="B202" s="114">
        <v>27814</v>
      </c>
      <c r="C202" s="114">
        <v>1</v>
      </c>
      <c r="D202" s="114"/>
      <c r="E202" s="114"/>
      <c r="F202" s="114"/>
      <c r="G202" s="115">
        <v>21</v>
      </c>
      <c r="H202" s="115"/>
      <c r="I202" s="115"/>
      <c r="J202" s="114"/>
      <c r="K202" s="116">
        <v>11</v>
      </c>
      <c r="L202" s="114">
        <v>12</v>
      </c>
      <c r="M202" s="116"/>
      <c r="N202" s="114"/>
      <c r="O202" s="116"/>
      <c r="P202" s="114"/>
      <c r="Q202" s="114" t="s">
        <v>1032</v>
      </c>
      <c r="R202" s="114"/>
      <c r="S202" s="114" t="s">
        <v>690</v>
      </c>
      <c r="T202" s="114">
        <v>80</v>
      </c>
      <c r="U202" s="116">
        <v>121</v>
      </c>
      <c r="V202" s="155">
        <f t="shared" si="19"/>
        <v>100.5</v>
      </c>
      <c r="W202" s="155">
        <v>1.4</v>
      </c>
      <c r="X202" s="124">
        <f t="shared" si="20"/>
        <v>71.785714285714292</v>
      </c>
      <c r="Y202" s="114" t="s">
        <v>2268</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89"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1435</v>
      </c>
      <c r="B203" s="114">
        <v>33493</v>
      </c>
      <c r="C203" s="114">
        <v>4</v>
      </c>
      <c r="D203" s="114"/>
      <c r="E203" s="114">
        <v>12</v>
      </c>
      <c r="F203" s="114"/>
      <c r="G203" s="115"/>
      <c r="H203" s="115">
        <v>13</v>
      </c>
      <c r="I203" s="115"/>
      <c r="J203" s="114"/>
      <c r="K203" s="116"/>
      <c r="L203" s="114">
        <v>30</v>
      </c>
      <c r="M203" s="116"/>
      <c r="N203" s="114"/>
      <c r="O203" s="116"/>
      <c r="P203" s="114"/>
      <c r="Q203" s="114" t="s">
        <v>1044</v>
      </c>
      <c r="R203" s="114" t="s">
        <v>1464</v>
      </c>
      <c r="S203" s="114" t="s">
        <v>663</v>
      </c>
      <c r="T203" s="114">
        <v>137</v>
      </c>
      <c r="U203" s="116">
        <v>207</v>
      </c>
      <c r="V203" s="155">
        <f t="shared" si="19"/>
        <v>172</v>
      </c>
      <c r="W203" s="155">
        <v>1.8</v>
      </c>
      <c r="X203" s="124">
        <f t="shared" si="20"/>
        <v>95.555555555555557</v>
      </c>
      <c r="Y203" s="114" t="s">
        <v>2268</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89"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1420</v>
      </c>
      <c r="B204" s="114">
        <v>33801</v>
      </c>
      <c r="C204" s="114">
        <v>3</v>
      </c>
      <c r="D204" s="114"/>
      <c r="E204" s="114"/>
      <c r="F204" s="114">
        <v>34</v>
      </c>
      <c r="G204" s="115">
        <v>21</v>
      </c>
      <c r="H204" s="115">
        <v>8</v>
      </c>
      <c r="I204" s="846"/>
      <c r="J204" s="114">
        <v>49</v>
      </c>
      <c r="K204" s="116"/>
      <c r="L204" s="114">
        <v>30</v>
      </c>
      <c r="M204" s="116"/>
      <c r="N204" s="114">
        <v>12</v>
      </c>
      <c r="O204" s="116"/>
      <c r="P204" s="114"/>
      <c r="Q204" s="114" t="s">
        <v>1032</v>
      </c>
      <c r="R204" s="114"/>
      <c r="S204" s="114" t="s">
        <v>676</v>
      </c>
      <c r="T204" s="114">
        <v>130</v>
      </c>
      <c r="U204" s="116">
        <v>241</v>
      </c>
      <c r="V204" s="155">
        <f t="shared" si="19"/>
        <v>185.5</v>
      </c>
      <c r="W204" s="155">
        <v>1.8</v>
      </c>
      <c r="X204" s="124">
        <f t="shared" si="20"/>
        <v>103.05555555555556</v>
      </c>
      <c r="Y204" s="114" t="s">
        <v>2268</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89"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1764</v>
      </c>
      <c r="B205" s="114">
        <v>33754</v>
      </c>
      <c r="C205" s="114">
        <v>3</v>
      </c>
      <c r="D205" s="114"/>
      <c r="E205" s="114"/>
      <c r="F205" s="114">
        <v>34</v>
      </c>
      <c r="G205" s="115">
        <v>21</v>
      </c>
      <c r="H205" s="115">
        <v>8</v>
      </c>
      <c r="I205" s="846"/>
      <c r="J205" s="114">
        <v>49</v>
      </c>
      <c r="K205" s="116"/>
      <c r="L205" s="114">
        <v>30</v>
      </c>
      <c r="M205" s="116"/>
      <c r="N205" s="114">
        <v>12</v>
      </c>
      <c r="O205" s="116"/>
      <c r="P205" s="114"/>
      <c r="Q205" s="114" t="s">
        <v>1032</v>
      </c>
      <c r="R205" s="114"/>
      <c r="S205" s="114" t="s">
        <v>676</v>
      </c>
      <c r="T205" s="114">
        <v>148</v>
      </c>
      <c r="U205" s="116">
        <v>223</v>
      </c>
      <c r="V205" s="155">
        <f t="shared" si="19"/>
        <v>185.5</v>
      </c>
      <c r="W205" s="155">
        <v>1.8</v>
      </c>
      <c r="X205" s="124">
        <f t="shared" si="20"/>
        <v>103.05555555555556</v>
      </c>
      <c r="Y205" s="114" t="s">
        <v>2268</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89"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1763</v>
      </c>
      <c r="B206" s="114">
        <v>33756</v>
      </c>
      <c r="C206" s="114">
        <v>3</v>
      </c>
      <c r="D206" s="114"/>
      <c r="E206" s="114"/>
      <c r="F206" s="114">
        <v>34</v>
      </c>
      <c r="G206" s="115">
        <v>21</v>
      </c>
      <c r="H206" s="115">
        <v>8</v>
      </c>
      <c r="I206" s="846"/>
      <c r="J206" s="114">
        <v>49</v>
      </c>
      <c r="K206" s="116"/>
      <c r="L206" s="114">
        <v>30</v>
      </c>
      <c r="M206" s="116"/>
      <c r="N206" s="114">
        <v>12</v>
      </c>
      <c r="O206" s="116"/>
      <c r="P206" s="114"/>
      <c r="Q206" s="114" t="s">
        <v>1032</v>
      </c>
      <c r="R206" s="114"/>
      <c r="S206" s="114" t="s">
        <v>676</v>
      </c>
      <c r="T206" s="114">
        <v>101</v>
      </c>
      <c r="U206" s="116">
        <v>188</v>
      </c>
      <c r="V206" s="155">
        <f t="shared" si="19"/>
        <v>144.5</v>
      </c>
      <c r="W206" s="155">
        <v>1.4</v>
      </c>
      <c r="X206" s="124">
        <f t="shared" si="20"/>
        <v>103.21428571428572</v>
      </c>
      <c r="Y206" s="114" t="s">
        <v>2268</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89"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1372</v>
      </c>
      <c r="B207" s="114">
        <v>29360</v>
      </c>
      <c r="C207" s="114">
        <v>1</v>
      </c>
      <c r="D207" s="114"/>
      <c r="E207" s="114"/>
      <c r="F207" s="114">
        <v>60</v>
      </c>
      <c r="G207" s="115"/>
      <c r="H207" s="115"/>
      <c r="I207" s="115"/>
      <c r="J207" s="114"/>
      <c r="K207" s="116"/>
      <c r="L207" s="114"/>
      <c r="M207" s="116"/>
      <c r="N207" s="114"/>
      <c r="O207" s="116"/>
      <c r="P207" s="114"/>
      <c r="Q207" s="114" t="s">
        <v>1032</v>
      </c>
      <c r="R207" s="114"/>
      <c r="S207" s="114" t="s">
        <v>690</v>
      </c>
      <c r="T207" s="114">
        <v>120</v>
      </c>
      <c r="U207" s="116">
        <v>181</v>
      </c>
      <c r="V207" s="155">
        <f t="shared" si="19"/>
        <v>150.5</v>
      </c>
      <c r="W207" s="155">
        <v>1.8</v>
      </c>
      <c r="X207" s="124">
        <f t="shared" si="20"/>
        <v>83.611111111111114</v>
      </c>
      <c r="Y207" s="114" t="s">
        <v>2268</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89"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1373</v>
      </c>
      <c r="B208" s="114">
        <v>28345</v>
      </c>
      <c r="C208" s="114">
        <v>1</v>
      </c>
      <c r="D208" s="114"/>
      <c r="E208" s="114">
        <v>16</v>
      </c>
      <c r="F208" s="114"/>
      <c r="G208" s="115"/>
      <c r="H208" s="115">
        <v>15</v>
      </c>
      <c r="I208" s="115"/>
      <c r="J208" s="114"/>
      <c r="K208" s="116"/>
      <c r="L208" s="114">
        <v>13</v>
      </c>
      <c r="M208" s="116"/>
      <c r="N208" s="114"/>
      <c r="O208" s="116"/>
      <c r="P208" s="114"/>
      <c r="Q208" s="114" t="s">
        <v>1032</v>
      </c>
      <c r="R208" s="124"/>
      <c r="S208" s="114" t="s">
        <v>672</v>
      </c>
      <c r="T208" s="114">
        <v>74</v>
      </c>
      <c r="U208" s="116">
        <v>112</v>
      </c>
      <c r="V208" s="155">
        <f t="shared" si="19"/>
        <v>93</v>
      </c>
      <c r="W208" s="155">
        <v>1.3</v>
      </c>
      <c r="X208" s="124">
        <f t="shared" si="20"/>
        <v>71.538461538461533</v>
      </c>
      <c r="Y208" s="115" t="s">
        <v>2268</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89"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1374</v>
      </c>
      <c r="B209" s="114">
        <v>27913</v>
      </c>
      <c r="C209" s="114">
        <v>1</v>
      </c>
      <c r="D209" s="114"/>
      <c r="E209" s="114"/>
      <c r="F209" s="114">
        <v>26</v>
      </c>
      <c r="G209" s="115"/>
      <c r="H209" s="115"/>
      <c r="I209" s="115"/>
      <c r="J209" s="114"/>
      <c r="K209" s="116">
        <v>15</v>
      </c>
      <c r="L209" s="114">
        <v>21</v>
      </c>
      <c r="M209" s="116"/>
      <c r="N209" s="114"/>
      <c r="O209" s="116"/>
      <c r="P209" s="114"/>
      <c r="Q209" s="114" t="s">
        <v>1032</v>
      </c>
      <c r="R209" s="114"/>
      <c r="S209" s="114" t="s">
        <v>672</v>
      </c>
      <c r="T209" s="114">
        <v>109</v>
      </c>
      <c r="U209" s="116">
        <v>164</v>
      </c>
      <c r="V209" s="155">
        <f>(U209+T209)/2</f>
        <v>136.5</v>
      </c>
      <c r="W209" s="155">
        <v>1.9</v>
      </c>
      <c r="X209" s="124">
        <f>V209/W209</f>
        <v>71.842105263157904</v>
      </c>
      <c r="Y209" s="114" t="s">
        <v>2268</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89"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2268</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1032</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1375</v>
      </c>
      <c r="B212" s="838"/>
      <c r="C212" s="838"/>
      <c r="D212" s="742"/>
      <c r="E212" s="742"/>
      <c r="F212" s="742"/>
      <c r="G212" s="837"/>
      <c r="H212" s="837"/>
      <c r="I212" s="837"/>
      <c r="J212" s="742"/>
      <c r="K212" s="838"/>
      <c r="L212" s="742"/>
      <c r="M212" s="838"/>
      <c r="N212" s="742"/>
      <c r="O212" s="838"/>
      <c r="P212" s="742"/>
      <c r="Q212" s="742" t="s">
        <v>1032</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1032</v>
      </c>
      <c r="R213" s="114"/>
      <c r="S213" s="114" t="s">
        <v>663</v>
      </c>
      <c r="T213" s="114">
        <v>100</v>
      </c>
      <c r="U213" s="116">
        <v>187</v>
      </c>
      <c r="V213" s="155">
        <f t="shared" ref="V213:V258" si="23">(U213+T213)/2</f>
        <v>143.5</v>
      </c>
      <c r="W213" s="155">
        <v>1.5</v>
      </c>
      <c r="X213" s="124">
        <f t="shared" ref="X213:X258" si="24">V213/W213</f>
        <v>95.666666666666671</v>
      </c>
      <c r="Y213" s="115" t="s">
        <v>1376</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89" t="str">
        <f>HYPERLINK("https://tbc.wowhead.com/item="&amp;B213,A213)</f>
        <v>Akil'zon's Talonblade</v>
      </c>
      <c r="AK213" s="4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1377</v>
      </c>
      <c r="B214" s="114">
        <v>30881</v>
      </c>
      <c r="C214" s="114">
        <v>3</v>
      </c>
      <c r="D214" s="114"/>
      <c r="E214" s="114">
        <v>28</v>
      </c>
      <c r="F214" s="114">
        <v>56</v>
      </c>
      <c r="G214" s="114"/>
      <c r="H214" s="114"/>
      <c r="I214" s="115"/>
      <c r="J214" s="114"/>
      <c r="K214" s="114"/>
      <c r="L214" s="114"/>
      <c r="M214" s="114"/>
      <c r="N214" s="114"/>
      <c r="O214" s="114"/>
      <c r="P214" s="10"/>
      <c r="Q214" s="114" t="s">
        <v>1032</v>
      </c>
      <c r="R214" s="114"/>
      <c r="S214" s="114" t="s">
        <v>683</v>
      </c>
      <c r="T214" s="114">
        <v>182</v>
      </c>
      <c r="U214" s="114">
        <v>339</v>
      </c>
      <c r="V214" s="155">
        <f t="shared" si="23"/>
        <v>260.5</v>
      </c>
      <c r="W214" s="155">
        <v>2.6</v>
      </c>
      <c r="X214" s="124">
        <f t="shared" si="24"/>
        <v>100.19230769230769</v>
      </c>
      <c r="Y214" s="114" t="s">
        <v>1376</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89"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1032</v>
      </c>
      <c r="R215" s="114"/>
      <c r="S215" s="114" t="s">
        <v>682</v>
      </c>
      <c r="T215" s="114">
        <v>98</v>
      </c>
      <c r="U215" s="116">
        <v>183</v>
      </c>
      <c r="V215" s="155">
        <f t="shared" si="23"/>
        <v>140.5</v>
      </c>
      <c r="W215" s="155">
        <v>1.4</v>
      </c>
      <c r="X215" s="124">
        <f t="shared" si="24"/>
        <v>100.35714285714286</v>
      </c>
      <c r="Y215" s="115" t="s">
        <v>1376</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89"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1378</v>
      </c>
      <c r="B216" s="114">
        <v>28427</v>
      </c>
      <c r="C216" s="114">
        <v>1</v>
      </c>
      <c r="D216" s="114"/>
      <c r="E216" s="114">
        <v>19</v>
      </c>
      <c r="F216" s="114"/>
      <c r="G216" s="114"/>
      <c r="H216" s="114">
        <v>18</v>
      </c>
      <c r="I216" s="115"/>
      <c r="J216" s="114"/>
      <c r="K216" s="114"/>
      <c r="L216" s="114">
        <v>28</v>
      </c>
      <c r="M216" s="114"/>
      <c r="N216" s="114"/>
      <c r="O216" s="114"/>
      <c r="P216" s="10"/>
      <c r="Q216" s="114" t="s">
        <v>1032</v>
      </c>
      <c r="R216" s="114"/>
      <c r="S216" s="114" t="s">
        <v>685</v>
      </c>
      <c r="T216" s="114">
        <v>109</v>
      </c>
      <c r="U216" s="114">
        <v>203</v>
      </c>
      <c r="V216" s="155">
        <f t="shared" si="23"/>
        <v>156</v>
      </c>
      <c r="W216" s="155">
        <v>1.6</v>
      </c>
      <c r="X216" s="124">
        <f t="shared" si="24"/>
        <v>97.5</v>
      </c>
      <c r="Y216" s="114" t="s">
        <v>1376</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89"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1379</v>
      </c>
      <c r="B217" s="116">
        <v>28426</v>
      </c>
      <c r="C217" s="116">
        <v>1</v>
      </c>
      <c r="D217" s="114"/>
      <c r="E217" s="114">
        <v>17</v>
      </c>
      <c r="F217" s="114"/>
      <c r="G217" s="115"/>
      <c r="H217" s="115">
        <v>17</v>
      </c>
      <c r="I217" s="115"/>
      <c r="J217" s="114"/>
      <c r="K217" s="116"/>
      <c r="L217" s="114">
        <v>25</v>
      </c>
      <c r="M217" s="116"/>
      <c r="N217" s="114"/>
      <c r="O217" s="116"/>
      <c r="P217" s="114"/>
      <c r="Q217" s="114" t="s">
        <v>1032</v>
      </c>
      <c r="R217" s="114"/>
      <c r="S217" s="114" t="s">
        <v>685</v>
      </c>
      <c r="T217" s="114">
        <v>102</v>
      </c>
      <c r="U217" s="116">
        <v>190</v>
      </c>
      <c r="V217" s="155">
        <f t="shared" si="23"/>
        <v>146</v>
      </c>
      <c r="W217" s="155">
        <v>1.6</v>
      </c>
      <c r="X217" s="124">
        <f t="shared" si="24"/>
        <v>91.25</v>
      </c>
      <c r="Y217" s="115" t="s">
        <v>1376</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89"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1380</v>
      </c>
      <c r="B218" s="114">
        <v>31332</v>
      </c>
      <c r="C218" s="114">
        <v>1</v>
      </c>
      <c r="D218" s="114"/>
      <c r="E218" s="114"/>
      <c r="F218" s="114"/>
      <c r="G218" s="114"/>
      <c r="H218" s="114"/>
      <c r="I218" s="115"/>
      <c r="J218" s="114"/>
      <c r="K218" s="114"/>
      <c r="L218" s="114"/>
      <c r="M218" s="114"/>
      <c r="N218" s="114"/>
      <c r="O218" s="114"/>
      <c r="P218" s="10"/>
      <c r="Q218" s="114" t="s">
        <v>1032</v>
      </c>
      <c r="R218" s="114"/>
      <c r="S218" s="114" t="s">
        <v>673</v>
      </c>
      <c r="T218" s="114">
        <v>147</v>
      </c>
      <c r="U218" s="114">
        <v>275</v>
      </c>
      <c r="V218" s="155">
        <f t="shared" si="23"/>
        <v>211</v>
      </c>
      <c r="W218" s="155">
        <v>2.6</v>
      </c>
      <c r="X218" s="124">
        <f t="shared" si="24"/>
        <v>81.153846153846146</v>
      </c>
      <c r="Y218" s="114" t="s">
        <v>1376</v>
      </c>
      <c r="Z218" s="114"/>
      <c r="AA218" s="114"/>
      <c r="AB218" s="114"/>
      <c r="AC218" s="10" t="s">
        <v>756</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89"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2000</v>
      </c>
      <c r="B219" s="116">
        <v>35072</v>
      </c>
      <c r="C219" s="116">
        <v>5</v>
      </c>
      <c r="D219" s="114"/>
      <c r="E219" s="114"/>
      <c r="F219" s="114">
        <v>38</v>
      </c>
      <c r="G219" s="115">
        <v>22</v>
      </c>
      <c r="H219" s="115">
        <v>9</v>
      </c>
      <c r="I219" s="846"/>
      <c r="J219" s="114">
        <v>49</v>
      </c>
      <c r="K219" s="116"/>
      <c r="L219" s="114">
        <v>31</v>
      </c>
      <c r="M219" s="116"/>
      <c r="N219" s="114">
        <v>12</v>
      </c>
      <c r="O219" s="116"/>
      <c r="P219" s="114"/>
      <c r="Q219" s="114" t="s">
        <v>1032</v>
      </c>
      <c r="R219" s="114"/>
      <c r="S219" s="114" t="s">
        <v>676</v>
      </c>
      <c r="T219" s="114">
        <v>113</v>
      </c>
      <c r="U219" s="116">
        <v>211</v>
      </c>
      <c r="V219" s="155">
        <f>(U219+T219)/2</f>
        <v>162</v>
      </c>
      <c r="W219" s="155">
        <v>1.5</v>
      </c>
      <c r="X219" s="124">
        <f>V219/W219</f>
        <v>108</v>
      </c>
      <c r="Y219" s="114" t="s">
        <v>1376</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89"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2001</v>
      </c>
      <c r="B220" s="116">
        <v>35101</v>
      </c>
      <c r="C220" s="116">
        <v>5</v>
      </c>
      <c r="D220" s="114"/>
      <c r="E220" s="114"/>
      <c r="F220" s="114">
        <v>38</v>
      </c>
      <c r="G220" s="115">
        <v>22</v>
      </c>
      <c r="H220" s="115">
        <v>9</v>
      </c>
      <c r="I220" s="846"/>
      <c r="J220" s="114">
        <v>49</v>
      </c>
      <c r="K220" s="116"/>
      <c r="L220" s="114">
        <v>31</v>
      </c>
      <c r="M220" s="116"/>
      <c r="N220" s="114">
        <v>12</v>
      </c>
      <c r="O220" s="116"/>
      <c r="P220" s="114"/>
      <c r="Q220" s="114" t="s">
        <v>1032</v>
      </c>
      <c r="R220" s="114"/>
      <c r="S220" s="114" t="s">
        <v>676</v>
      </c>
      <c r="T220" s="114">
        <v>224</v>
      </c>
      <c r="U220" s="116">
        <v>337</v>
      </c>
      <c r="V220" s="155">
        <f>(U220+T220)/2</f>
        <v>280.5</v>
      </c>
      <c r="W220" s="155">
        <v>2.6</v>
      </c>
      <c r="X220" s="124">
        <f>V220/W220</f>
        <v>107.88461538461539</v>
      </c>
      <c r="Y220" s="114" t="s">
        <v>1376</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89"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985</v>
      </c>
      <c r="B221" s="114">
        <v>34164</v>
      </c>
      <c r="C221" s="114">
        <v>5</v>
      </c>
      <c r="D221" s="114"/>
      <c r="E221" s="114"/>
      <c r="F221" s="114"/>
      <c r="G221" s="114"/>
      <c r="H221" s="114"/>
      <c r="I221" s="115">
        <v>25</v>
      </c>
      <c r="J221" s="114"/>
      <c r="K221" s="114">
        <v>25</v>
      </c>
      <c r="L221" s="114">
        <v>36</v>
      </c>
      <c r="M221" s="114"/>
      <c r="N221" s="114"/>
      <c r="O221" s="114"/>
      <c r="P221" s="10"/>
      <c r="Q221" s="114" t="s">
        <v>1032</v>
      </c>
      <c r="R221" s="114"/>
      <c r="S221" s="114" t="s">
        <v>870</v>
      </c>
      <c r="T221" s="114">
        <v>113</v>
      </c>
      <c r="U221" s="114">
        <v>211</v>
      </c>
      <c r="V221" s="155">
        <f t="shared" si="23"/>
        <v>162</v>
      </c>
      <c r="W221" s="155">
        <v>1.5</v>
      </c>
      <c r="X221" s="124">
        <f t="shared" si="24"/>
        <v>108</v>
      </c>
      <c r="Y221" s="114" t="s">
        <v>1376</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89"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1381</v>
      </c>
      <c r="B222" s="114">
        <v>28267</v>
      </c>
      <c r="C222" s="114">
        <v>1</v>
      </c>
      <c r="D222" s="114"/>
      <c r="E222" s="114"/>
      <c r="F222" s="114">
        <v>30</v>
      </c>
      <c r="G222" s="114">
        <v>16</v>
      </c>
      <c r="H222" s="114"/>
      <c r="I222" s="115"/>
      <c r="J222" s="114"/>
      <c r="K222" s="114"/>
      <c r="L222" s="114">
        <v>13</v>
      </c>
      <c r="M222" s="114"/>
      <c r="N222" s="114"/>
      <c r="O222" s="114"/>
      <c r="P222" s="10"/>
      <c r="Q222" s="114" t="s">
        <v>1032</v>
      </c>
      <c r="R222" s="114"/>
      <c r="S222" s="114" t="s">
        <v>672</v>
      </c>
      <c r="T222" s="114">
        <v>130</v>
      </c>
      <c r="U222" s="114">
        <v>243</v>
      </c>
      <c r="V222" s="155">
        <f t="shared" si="23"/>
        <v>186.5</v>
      </c>
      <c r="W222" s="155">
        <v>2.6</v>
      </c>
      <c r="X222" s="124">
        <f t="shared" si="24"/>
        <v>71.730769230769226</v>
      </c>
      <c r="Y222" s="114" t="s">
        <v>1376</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89"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1382</v>
      </c>
      <c r="B223" s="116">
        <v>23540</v>
      </c>
      <c r="C223" s="116">
        <v>1</v>
      </c>
      <c r="D223" s="114"/>
      <c r="E223" s="114">
        <v>26</v>
      </c>
      <c r="F223" s="114"/>
      <c r="G223" s="115"/>
      <c r="H223" s="115"/>
      <c r="I223" s="115"/>
      <c r="J223" s="114"/>
      <c r="K223" s="116"/>
      <c r="L223" s="114">
        <v>15</v>
      </c>
      <c r="M223" s="116"/>
      <c r="N223" s="114"/>
      <c r="O223" s="116"/>
      <c r="P223" s="114"/>
      <c r="Q223" s="114" t="s">
        <v>1032</v>
      </c>
      <c r="R223" s="114"/>
      <c r="S223" s="114" t="s">
        <v>684</v>
      </c>
      <c r="T223" s="114">
        <v>128</v>
      </c>
      <c r="U223" s="116">
        <v>239</v>
      </c>
      <c r="V223" s="155">
        <f t="shared" si="23"/>
        <v>183.5</v>
      </c>
      <c r="W223" s="155">
        <v>2.2000000000000002</v>
      </c>
      <c r="X223" s="124">
        <f t="shared" si="24"/>
        <v>83.409090909090907</v>
      </c>
      <c r="Y223" s="115" t="s">
        <v>1376</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89"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1383</v>
      </c>
      <c r="B224" s="114">
        <v>28425</v>
      </c>
      <c r="C224" s="114">
        <v>1</v>
      </c>
      <c r="D224" s="114"/>
      <c r="E224" s="114">
        <v>16</v>
      </c>
      <c r="F224" s="114"/>
      <c r="G224" s="114"/>
      <c r="H224" s="114">
        <v>16</v>
      </c>
      <c r="I224" s="115"/>
      <c r="J224" s="114"/>
      <c r="K224" s="114"/>
      <c r="L224" s="114">
        <v>23</v>
      </c>
      <c r="M224" s="114"/>
      <c r="N224" s="114"/>
      <c r="O224" s="114"/>
      <c r="P224" s="10"/>
      <c r="Q224" s="114" t="s">
        <v>1032</v>
      </c>
      <c r="R224" s="114"/>
      <c r="S224" s="114" t="s">
        <v>685</v>
      </c>
      <c r="T224" s="114">
        <v>94</v>
      </c>
      <c r="U224" s="114">
        <v>176</v>
      </c>
      <c r="V224" s="155">
        <f t="shared" si="23"/>
        <v>135</v>
      </c>
      <c r="W224" s="155">
        <v>1.6</v>
      </c>
      <c r="X224" s="124">
        <f t="shared" si="24"/>
        <v>84.375</v>
      </c>
      <c r="Y224" s="114" t="s">
        <v>1376</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89"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1032</v>
      </c>
      <c r="R225" s="114"/>
      <c r="S225" s="114" t="s">
        <v>676</v>
      </c>
      <c r="T225" s="114">
        <v>95</v>
      </c>
      <c r="U225" s="116">
        <v>178</v>
      </c>
      <c r="V225" s="155">
        <f t="shared" si="23"/>
        <v>136.5</v>
      </c>
      <c r="W225" s="155">
        <v>1.5</v>
      </c>
      <c r="X225" s="124">
        <f t="shared" si="24"/>
        <v>91</v>
      </c>
      <c r="Y225" s="115" t="s">
        <v>1376</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89"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1384</v>
      </c>
      <c r="B226" s="114">
        <v>28295</v>
      </c>
      <c r="C226" s="114">
        <v>1</v>
      </c>
      <c r="D226" s="114"/>
      <c r="E226" s="114"/>
      <c r="F226" s="114">
        <v>28</v>
      </c>
      <c r="G226" s="114">
        <v>15</v>
      </c>
      <c r="H226" s="114">
        <v>9</v>
      </c>
      <c r="I226" s="115"/>
      <c r="J226" s="114"/>
      <c r="K226" s="114"/>
      <c r="L226" s="114">
        <v>21</v>
      </c>
      <c r="M226" s="114"/>
      <c r="N226" s="114">
        <v>10</v>
      </c>
      <c r="O226" s="114"/>
      <c r="P226" s="10"/>
      <c r="Q226" s="114" t="s">
        <v>1032</v>
      </c>
      <c r="R226" s="114"/>
      <c r="S226" s="114" t="s">
        <v>676</v>
      </c>
      <c r="T226" s="114">
        <v>189</v>
      </c>
      <c r="U226" s="114">
        <v>285</v>
      </c>
      <c r="V226" s="155">
        <f t="shared" si="23"/>
        <v>237</v>
      </c>
      <c r="W226" s="155">
        <v>2.6</v>
      </c>
      <c r="X226" s="124">
        <f t="shared" si="24"/>
        <v>91.153846153846146</v>
      </c>
      <c r="Y226" s="114" t="s">
        <v>1376</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89"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943</v>
      </c>
      <c r="B227" s="114">
        <v>28952</v>
      </c>
      <c r="C227" s="114">
        <v>1</v>
      </c>
      <c r="D227" s="114"/>
      <c r="E227" s="114"/>
      <c r="F227" s="114">
        <v>26</v>
      </c>
      <c r="G227" s="114">
        <v>13</v>
      </c>
      <c r="H227" s="114">
        <v>8</v>
      </c>
      <c r="I227" s="115"/>
      <c r="J227" s="114"/>
      <c r="K227" s="114"/>
      <c r="L227" s="114">
        <v>18</v>
      </c>
      <c r="M227" s="114"/>
      <c r="N227" s="114">
        <v>9</v>
      </c>
      <c r="O227" s="114"/>
      <c r="P227" s="10"/>
      <c r="Q227" s="114" t="s">
        <v>1032</v>
      </c>
      <c r="R227" s="114"/>
      <c r="S227" s="114" t="s">
        <v>676</v>
      </c>
      <c r="T227" s="114">
        <v>103</v>
      </c>
      <c r="U227" s="114">
        <v>155</v>
      </c>
      <c r="V227" s="155">
        <f t="shared" si="23"/>
        <v>129</v>
      </c>
      <c r="W227" s="155">
        <v>1.8</v>
      </c>
      <c r="X227" s="124">
        <f t="shared" si="24"/>
        <v>71.666666666666671</v>
      </c>
      <c r="Y227" s="114" t="s">
        <v>1376</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89"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944</v>
      </c>
      <c r="B228" s="114">
        <v>28956</v>
      </c>
      <c r="C228" s="114">
        <v>1</v>
      </c>
      <c r="D228" s="114"/>
      <c r="E228" s="114"/>
      <c r="F228" s="114">
        <v>26</v>
      </c>
      <c r="G228" s="114">
        <v>13</v>
      </c>
      <c r="H228" s="114">
        <v>8</v>
      </c>
      <c r="I228" s="115"/>
      <c r="J228" s="114"/>
      <c r="K228" s="114"/>
      <c r="L228" s="114">
        <v>18</v>
      </c>
      <c r="M228" s="114"/>
      <c r="N228" s="114">
        <v>9</v>
      </c>
      <c r="O228" s="114"/>
      <c r="P228" s="10"/>
      <c r="Q228" s="114" t="s">
        <v>1032</v>
      </c>
      <c r="R228" s="114"/>
      <c r="S228" s="114" t="s">
        <v>676</v>
      </c>
      <c r="T228" s="114">
        <v>149</v>
      </c>
      <c r="U228" s="114">
        <v>224</v>
      </c>
      <c r="V228" s="155">
        <f t="shared" si="23"/>
        <v>186.5</v>
      </c>
      <c r="W228" s="155">
        <v>2.6</v>
      </c>
      <c r="X228" s="124">
        <f t="shared" si="24"/>
        <v>71.730769230769226</v>
      </c>
      <c r="Y228" s="114" t="s">
        <v>1376</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89"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1385</v>
      </c>
      <c r="B229" s="116">
        <v>23054</v>
      </c>
      <c r="C229" s="116">
        <v>1</v>
      </c>
      <c r="D229" s="114"/>
      <c r="E229" s="114"/>
      <c r="F229" s="114">
        <v>40</v>
      </c>
      <c r="G229" s="115"/>
      <c r="H229" s="115"/>
      <c r="I229" s="115"/>
      <c r="J229" s="114"/>
      <c r="K229" s="116"/>
      <c r="L229" s="114">
        <v>15</v>
      </c>
      <c r="M229" s="116"/>
      <c r="N229" s="114"/>
      <c r="O229" s="116"/>
      <c r="P229" s="114"/>
      <c r="Q229" s="114" t="s">
        <v>1032</v>
      </c>
      <c r="R229" s="114"/>
      <c r="S229" s="114" t="s">
        <v>667</v>
      </c>
      <c r="T229" s="114">
        <v>138</v>
      </c>
      <c r="U229" s="116">
        <v>257</v>
      </c>
      <c r="V229" s="155">
        <f t="shared" si="23"/>
        <v>197.5</v>
      </c>
      <c r="W229" s="155">
        <v>2.7</v>
      </c>
      <c r="X229" s="124">
        <f t="shared" si="24"/>
        <v>73.148148148148138</v>
      </c>
      <c r="Y229" s="115" t="s">
        <v>1376</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89"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1032</v>
      </c>
      <c r="R230" s="114"/>
      <c r="S230" s="114" t="s">
        <v>663</v>
      </c>
      <c r="T230" s="114">
        <v>174</v>
      </c>
      <c r="U230" s="114">
        <v>323</v>
      </c>
      <c r="V230" s="155">
        <f t="shared" si="23"/>
        <v>248.5</v>
      </c>
      <c r="W230" s="155">
        <v>2.6</v>
      </c>
      <c r="X230" s="124">
        <f t="shared" si="24"/>
        <v>95.57692307692308</v>
      </c>
      <c r="Y230" s="114" t="s">
        <v>1376</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89"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2975</v>
      </c>
      <c r="B231" s="114">
        <v>23467</v>
      </c>
      <c r="C231" s="114">
        <v>1</v>
      </c>
      <c r="D231" s="114"/>
      <c r="E231" s="114"/>
      <c r="F231" s="114">
        <v>28</v>
      </c>
      <c r="G231" s="114">
        <v>14</v>
      </c>
      <c r="H231" s="114"/>
      <c r="I231" s="115"/>
      <c r="J231" s="114"/>
      <c r="K231" s="114"/>
      <c r="L231" s="114">
        <v>7</v>
      </c>
      <c r="M231" s="114"/>
      <c r="N231" s="114"/>
      <c r="O231" s="114"/>
      <c r="P231" s="10"/>
      <c r="Q231" s="114" t="s">
        <v>1032</v>
      </c>
      <c r="R231" s="114"/>
      <c r="S231" s="114" t="s">
        <v>676</v>
      </c>
      <c r="T231" s="114">
        <v>85</v>
      </c>
      <c r="U231" s="114">
        <v>129</v>
      </c>
      <c r="V231" s="155">
        <f t="shared" ref="V231" si="26">(U231+T231)/2</f>
        <v>107</v>
      </c>
      <c r="W231" s="155">
        <v>1.8</v>
      </c>
      <c r="X231" s="124">
        <f t="shared" ref="X231" si="27">V231/W231</f>
        <v>59.444444444444443</v>
      </c>
      <c r="Y231" s="114" t="s">
        <v>1376</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89"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946</v>
      </c>
      <c r="B232" s="114">
        <v>28926</v>
      </c>
      <c r="C232" s="114">
        <v>1</v>
      </c>
      <c r="D232" s="114"/>
      <c r="E232" s="114"/>
      <c r="F232" s="114">
        <v>26</v>
      </c>
      <c r="G232" s="114">
        <v>13</v>
      </c>
      <c r="H232" s="114">
        <v>8</v>
      </c>
      <c r="I232" s="115"/>
      <c r="J232" s="114"/>
      <c r="K232" s="114"/>
      <c r="L232" s="114">
        <v>18</v>
      </c>
      <c r="M232" s="114"/>
      <c r="N232" s="114">
        <v>9</v>
      </c>
      <c r="O232" s="114"/>
      <c r="P232" s="10"/>
      <c r="Q232" s="114" t="s">
        <v>1032</v>
      </c>
      <c r="R232" s="114"/>
      <c r="S232" s="114" t="s">
        <v>676</v>
      </c>
      <c r="T232" s="114">
        <v>103</v>
      </c>
      <c r="U232" s="114">
        <v>155</v>
      </c>
      <c r="V232" s="155">
        <f t="shared" si="23"/>
        <v>129</v>
      </c>
      <c r="W232" s="155">
        <v>1.8</v>
      </c>
      <c r="X232" s="124">
        <f t="shared" si="24"/>
        <v>71.666666666666671</v>
      </c>
      <c r="Y232" s="114" t="s">
        <v>1376</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89"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945</v>
      </c>
      <c r="B233" s="114">
        <v>28937</v>
      </c>
      <c r="C233" s="114">
        <v>1</v>
      </c>
      <c r="D233" s="114"/>
      <c r="E233" s="114"/>
      <c r="F233" s="114">
        <v>26</v>
      </c>
      <c r="G233" s="114">
        <v>13</v>
      </c>
      <c r="H233" s="114">
        <v>8</v>
      </c>
      <c r="I233" s="115"/>
      <c r="J233" s="114"/>
      <c r="K233" s="114"/>
      <c r="L233" s="114">
        <v>18</v>
      </c>
      <c r="M233" s="114"/>
      <c r="N233" s="114">
        <v>9</v>
      </c>
      <c r="O233" s="114"/>
      <c r="P233" s="10"/>
      <c r="Q233" s="114" t="s">
        <v>1032</v>
      </c>
      <c r="R233" s="114"/>
      <c r="S233" s="114" t="s">
        <v>676</v>
      </c>
      <c r="T233" s="114">
        <v>149</v>
      </c>
      <c r="U233" s="114">
        <v>224</v>
      </c>
      <c r="V233" s="155">
        <f t="shared" si="23"/>
        <v>186.5</v>
      </c>
      <c r="W233" s="155">
        <v>2.6</v>
      </c>
      <c r="X233" s="124">
        <f t="shared" si="24"/>
        <v>71.730769230769226</v>
      </c>
      <c r="Y233" s="114" t="s">
        <v>1376</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89"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1386</v>
      </c>
      <c r="B234" s="114">
        <v>29156</v>
      </c>
      <c r="C234" s="114">
        <v>1</v>
      </c>
      <c r="D234" s="114"/>
      <c r="E234" s="114"/>
      <c r="F234" s="114"/>
      <c r="G234" s="114"/>
      <c r="H234" s="114">
        <v>8</v>
      </c>
      <c r="I234" s="115"/>
      <c r="J234" s="114"/>
      <c r="K234" s="114"/>
      <c r="L234" s="114">
        <v>13</v>
      </c>
      <c r="M234" s="114"/>
      <c r="N234" s="114"/>
      <c r="O234" s="114">
        <v>16</v>
      </c>
      <c r="P234" s="10"/>
      <c r="Q234" s="114" t="s">
        <v>1032</v>
      </c>
      <c r="R234" s="114"/>
      <c r="S234" s="114" t="s">
        <v>675</v>
      </c>
      <c r="T234" s="114">
        <v>102</v>
      </c>
      <c r="U234" s="114">
        <v>190</v>
      </c>
      <c r="V234" s="155">
        <f t="shared" si="23"/>
        <v>146</v>
      </c>
      <c r="W234" s="155">
        <v>1.8</v>
      </c>
      <c r="X234" s="124">
        <f t="shared" si="24"/>
        <v>81.111111111111114</v>
      </c>
      <c r="Y234" s="114" t="s">
        <v>1376</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89"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1387</v>
      </c>
      <c r="B235" s="116">
        <v>30733</v>
      </c>
      <c r="C235" s="116">
        <v>1</v>
      </c>
      <c r="D235" s="114"/>
      <c r="E235" s="114"/>
      <c r="F235" s="114">
        <v>70</v>
      </c>
      <c r="G235" s="115"/>
      <c r="H235" s="115"/>
      <c r="I235" s="115"/>
      <c r="J235" s="114"/>
      <c r="K235" s="116"/>
      <c r="L235" s="114"/>
      <c r="M235" s="116"/>
      <c r="N235" s="114"/>
      <c r="O235" s="116"/>
      <c r="P235" s="114"/>
      <c r="Q235" s="114" t="s">
        <v>1032</v>
      </c>
      <c r="R235" s="114"/>
      <c r="S235" s="114" t="s">
        <v>681</v>
      </c>
      <c r="T235" s="114">
        <v>163</v>
      </c>
      <c r="U235" s="116">
        <v>304</v>
      </c>
      <c r="V235" s="155">
        <f t="shared" si="23"/>
        <v>233.5</v>
      </c>
      <c r="W235" s="155">
        <v>2.6</v>
      </c>
      <c r="X235" s="124">
        <f t="shared" si="24"/>
        <v>89.807692307692307</v>
      </c>
      <c r="Y235" s="115" t="s">
        <v>1376</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89"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3247</v>
      </c>
      <c r="B236" s="114">
        <v>23014</v>
      </c>
      <c r="C236" s="114">
        <v>1</v>
      </c>
      <c r="D236" s="114"/>
      <c r="E236" s="114"/>
      <c r="F236" s="114">
        <v>26</v>
      </c>
      <c r="G236" s="114">
        <v>14</v>
      </c>
      <c r="H236" s="114">
        <v>10</v>
      </c>
      <c r="I236" s="115"/>
      <c r="J236" s="114"/>
      <c r="K236" s="114"/>
      <c r="L236" s="114"/>
      <c r="M236" s="114"/>
      <c r="N236" s="114"/>
      <c r="O236" s="114"/>
      <c r="P236" s="10"/>
      <c r="Q236" s="114" t="s">
        <v>1032</v>
      </c>
      <c r="R236" s="114"/>
      <c r="S236" s="114" t="s">
        <v>667</v>
      </c>
      <c r="T236" s="114">
        <v>70</v>
      </c>
      <c r="U236" s="114">
        <v>131</v>
      </c>
      <c r="V236" s="155">
        <f t="shared" ref="V236" si="28">(U236+T236)/2</f>
        <v>100.5</v>
      </c>
      <c r="W236" s="155">
        <v>1.6</v>
      </c>
      <c r="X236" s="124">
        <f t="shared" ref="X236" si="29">V236/W236</f>
        <v>62.8125</v>
      </c>
      <c r="Y236" s="114" t="s">
        <v>1376</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89"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971</v>
      </c>
      <c r="B237" s="114">
        <v>34672</v>
      </c>
      <c r="C237" s="114">
        <v>5</v>
      </c>
      <c r="D237" s="114"/>
      <c r="E237" s="114"/>
      <c r="F237" s="114"/>
      <c r="G237" s="114"/>
      <c r="H237" s="114">
        <v>8</v>
      </c>
      <c r="I237" s="115"/>
      <c r="J237" s="114"/>
      <c r="K237" s="114">
        <v>11</v>
      </c>
      <c r="L237" s="114">
        <v>21</v>
      </c>
      <c r="M237" s="114"/>
      <c r="N237" s="114"/>
      <c r="O237" s="114">
        <v>13</v>
      </c>
      <c r="P237" s="10"/>
      <c r="Q237" s="114" t="s">
        <v>1032</v>
      </c>
      <c r="R237" s="114"/>
      <c r="S237" s="114" t="s">
        <v>675</v>
      </c>
      <c r="T237" s="114">
        <v>80</v>
      </c>
      <c r="U237" s="114">
        <v>121</v>
      </c>
      <c r="V237" s="155">
        <f t="shared" si="23"/>
        <v>100.5</v>
      </c>
      <c r="W237" s="155">
        <v>1.4</v>
      </c>
      <c r="X237" s="124">
        <f t="shared" si="24"/>
        <v>71.785714285714292</v>
      </c>
      <c r="Y237" s="114" t="s">
        <v>1376</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89"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1389</v>
      </c>
      <c r="B238" s="116">
        <v>28749</v>
      </c>
      <c r="C238" s="116">
        <v>1</v>
      </c>
      <c r="D238" s="114"/>
      <c r="E238" s="114"/>
      <c r="F238" s="114"/>
      <c r="G238" s="115"/>
      <c r="H238" s="115">
        <v>17</v>
      </c>
      <c r="I238" s="115"/>
      <c r="J238" s="114"/>
      <c r="K238" s="116"/>
      <c r="L238" s="114">
        <v>28</v>
      </c>
      <c r="M238" s="116"/>
      <c r="N238" s="114"/>
      <c r="O238" s="116">
        <v>13</v>
      </c>
      <c r="P238" s="114"/>
      <c r="Q238" s="114" t="s">
        <v>1032</v>
      </c>
      <c r="R238" s="114"/>
      <c r="S238" s="114" t="s">
        <v>671</v>
      </c>
      <c r="T238" s="114">
        <v>98</v>
      </c>
      <c r="U238" s="116">
        <v>182</v>
      </c>
      <c r="V238" s="155">
        <f t="shared" si="23"/>
        <v>140</v>
      </c>
      <c r="W238" s="155">
        <v>1.6</v>
      </c>
      <c r="X238" s="124">
        <f t="shared" si="24"/>
        <v>87.5</v>
      </c>
      <c r="Y238" s="115" t="s">
        <v>1376</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89"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959</v>
      </c>
      <c r="B239" s="114">
        <v>34703</v>
      </c>
      <c r="C239" s="114">
        <v>5</v>
      </c>
      <c r="D239" s="114"/>
      <c r="E239" s="114"/>
      <c r="F239" s="114">
        <f>28+IF(SetLat2p,30,0)</f>
        <v>28</v>
      </c>
      <c r="G239" s="114"/>
      <c r="H239" s="114"/>
      <c r="I239" s="115"/>
      <c r="J239" s="114">
        <v>98</v>
      </c>
      <c r="K239" s="114"/>
      <c r="L239" s="114">
        <v>21</v>
      </c>
      <c r="M239" s="114"/>
      <c r="N239" s="114"/>
      <c r="O239" s="116"/>
      <c r="P239" s="10" t="s">
        <v>960</v>
      </c>
      <c r="Q239" s="114" t="s">
        <v>1032</v>
      </c>
      <c r="R239" s="114"/>
      <c r="S239" s="114" t="s">
        <v>672</v>
      </c>
      <c r="T239" s="114">
        <v>130</v>
      </c>
      <c r="U239" s="114">
        <v>243</v>
      </c>
      <c r="V239" s="155">
        <f t="shared" si="23"/>
        <v>186.5</v>
      </c>
      <c r="W239" s="155">
        <v>2.6</v>
      </c>
      <c r="X239" s="124">
        <f t="shared" si="24"/>
        <v>71.730769230769226</v>
      </c>
      <c r="Y239" s="114" t="s">
        <v>1376</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89"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1391</v>
      </c>
      <c r="B240" s="114">
        <v>28189</v>
      </c>
      <c r="C240" s="114">
        <v>1</v>
      </c>
      <c r="D240" s="114"/>
      <c r="E240" s="114">
        <v>15</v>
      </c>
      <c r="F240" s="114">
        <v>26</v>
      </c>
      <c r="G240" s="114"/>
      <c r="H240" s="114"/>
      <c r="I240" s="115"/>
      <c r="J240" s="114"/>
      <c r="K240" s="114">
        <v>14</v>
      </c>
      <c r="L240" s="114"/>
      <c r="M240" s="114"/>
      <c r="N240" s="114"/>
      <c r="O240" s="116"/>
      <c r="P240" s="10" t="s">
        <v>960</v>
      </c>
      <c r="Q240" s="114" t="s">
        <v>1032</v>
      </c>
      <c r="R240" s="114"/>
      <c r="S240" s="114" t="s">
        <v>672</v>
      </c>
      <c r="T240" s="114">
        <v>70</v>
      </c>
      <c r="U240" s="114">
        <v>131</v>
      </c>
      <c r="V240" s="155">
        <f t="shared" si="23"/>
        <v>100.5</v>
      </c>
      <c r="W240" s="155">
        <v>1.4</v>
      </c>
      <c r="X240" s="124">
        <f t="shared" si="24"/>
        <v>71.785714285714292</v>
      </c>
      <c r="Y240" s="114" t="s">
        <v>1376</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89"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521</v>
      </c>
      <c r="B241" s="116">
        <v>32027</v>
      </c>
      <c r="C241" s="116">
        <v>2</v>
      </c>
      <c r="D241" s="114"/>
      <c r="E241" s="114"/>
      <c r="F241" s="114">
        <v>30</v>
      </c>
      <c r="G241" s="115">
        <v>19</v>
      </c>
      <c r="H241" s="115">
        <v>10</v>
      </c>
      <c r="I241" s="115"/>
      <c r="J241" s="114"/>
      <c r="K241" s="116"/>
      <c r="L241" s="114">
        <v>27</v>
      </c>
      <c r="M241" s="116"/>
      <c r="N241" s="114">
        <v>12</v>
      </c>
      <c r="O241" s="116"/>
      <c r="P241" s="114"/>
      <c r="Q241" s="114" t="s">
        <v>1032</v>
      </c>
      <c r="R241" s="114"/>
      <c r="S241" s="114" t="s">
        <v>676</v>
      </c>
      <c r="T241" s="114">
        <v>102</v>
      </c>
      <c r="U241" s="116">
        <v>191</v>
      </c>
      <c r="V241" s="155">
        <f t="shared" si="23"/>
        <v>146.5</v>
      </c>
      <c r="W241" s="155">
        <v>1.5</v>
      </c>
      <c r="X241" s="124">
        <f t="shared" si="24"/>
        <v>97.666666666666671</v>
      </c>
      <c r="Y241" s="115" t="s">
        <v>1376</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89"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1390</v>
      </c>
      <c r="B242" s="116">
        <v>32052</v>
      </c>
      <c r="C242" s="116">
        <v>2</v>
      </c>
      <c r="D242" s="114"/>
      <c r="E242" s="114"/>
      <c r="F242" s="114">
        <v>30</v>
      </c>
      <c r="G242" s="115">
        <v>19</v>
      </c>
      <c r="H242" s="115">
        <v>10</v>
      </c>
      <c r="I242" s="115"/>
      <c r="J242" s="114"/>
      <c r="K242" s="116"/>
      <c r="L242" s="114">
        <v>27</v>
      </c>
      <c r="M242" s="116"/>
      <c r="N242" s="114">
        <v>12</v>
      </c>
      <c r="O242" s="116"/>
      <c r="P242" s="114"/>
      <c r="Q242" s="114" t="s">
        <v>1032</v>
      </c>
      <c r="R242" s="114"/>
      <c r="S242" s="114" t="s">
        <v>676</v>
      </c>
      <c r="T242" s="114">
        <v>203</v>
      </c>
      <c r="U242" s="116">
        <v>305</v>
      </c>
      <c r="V242" s="155">
        <f t="shared" si="23"/>
        <v>254</v>
      </c>
      <c r="W242" s="155">
        <v>2.6</v>
      </c>
      <c r="X242" s="124">
        <f t="shared" si="24"/>
        <v>97.692307692307693</v>
      </c>
      <c r="Y242" s="115" t="s">
        <v>1376</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89"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984</v>
      </c>
      <c r="B243" s="114">
        <v>34214</v>
      </c>
      <c r="C243" s="114">
        <v>5</v>
      </c>
      <c r="D243" s="114"/>
      <c r="E243" s="114"/>
      <c r="F243" s="114"/>
      <c r="G243" s="114"/>
      <c r="H243" s="114">
        <v>17</v>
      </c>
      <c r="I243" s="115">
        <v>35</v>
      </c>
      <c r="J243" s="114"/>
      <c r="K243" s="114"/>
      <c r="L243" s="114">
        <v>27</v>
      </c>
      <c r="M243" s="114"/>
      <c r="N243" s="114"/>
      <c r="O243" s="114"/>
      <c r="P243" s="10"/>
      <c r="Q243" s="114" t="s">
        <v>1032</v>
      </c>
      <c r="R243" s="114"/>
      <c r="S243" s="114" t="s">
        <v>870</v>
      </c>
      <c r="T243" s="114">
        <v>196</v>
      </c>
      <c r="U243" s="114">
        <v>365</v>
      </c>
      <c r="V243" s="155">
        <f t="shared" si="23"/>
        <v>280.5</v>
      </c>
      <c r="W243" s="155">
        <v>2.6</v>
      </c>
      <c r="X243" s="124">
        <f t="shared" si="24"/>
        <v>107.88461538461539</v>
      </c>
      <c r="Y243" s="114" t="s">
        <v>1376</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89"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1392</v>
      </c>
      <c r="B244" s="114">
        <v>27673</v>
      </c>
      <c r="C244" s="114">
        <v>1</v>
      </c>
      <c r="D244" s="114"/>
      <c r="E244" s="114"/>
      <c r="F244" s="114">
        <v>40</v>
      </c>
      <c r="G244" s="116">
        <v>11</v>
      </c>
      <c r="H244" s="116"/>
      <c r="I244" s="115"/>
      <c r="J244" s="114"/>
      <c r="K244" s="114"/>
      <c r="L244" s="114">
        <v>12</v>
      </c>
      <c r="M244" s="114"/>
      <c r="N244" s="114"/>
      <c r="O244" s="116"/>
      <c r="P244" s="114"/>
      <c r="Q244" s="114" t="s">
        <v>1032</v>
      </c>
      <c r="R244" s="114"/>
      <c r="S244" s="114" t="s">
        <v>690</v>
      </c>
      <c r="T244" s="115">
        <v>120</v>
      </c>
      <c r="U244" s="114">
        <v>224</v>
      </c>
      <c r="V244" s="155">
        <f t="shared" si="23"/>
        <v>172</v>
      </c>
      <c r="W244" s="155">
        <v>2.4</v>
      </c>
      <c r="X244" s="124">
        <f t="shared" si="24"/>
        <v>71.666666666666671</v>
      </c>
      <c r="Y244" s="114" t="s">
        <v>1376</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89"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1635</v>
      </c>
      <c r="B245" s="114">
        <v>34609</v>
      </c>
      <c r="C245" s="114">
        <v>5</v>
      </c>
      <c r="D245" s="114"/>
      <c r="E245" s="114"/>
      <c r="F245" s="114">
        <v>38</v>
      </c>
      <c r="G245" s="114"/>
      <c r="H245" s="114"/>
      <c r="I245" s="115"/>
      <c r="J245" s="114">
        <v>126</v>
      </c>
      <c r="K245" s="114"/>
      <c r="L245" s="114">
        <v>27</v>
      </c>
      <c r="M245" s="114"/>
      <c r="N245" s="114"/>
      <c r="O245" s="116"/>
      <c r="P245" s="10"/>
      <c r="Q245" s="114" t="s">
        <v>1032</v>
      </c>
      <c r="R245" s="114"/>
      <c r="S245" s="114" t="s">
        <v>690</v>
      </c>
      <c r="T245" s="114">
        <v>96</v>
      </c>
      <c r="U245" s="114">
        <v>180</v>
      </c>
      <c r="V245" s="155">
        <f t="shared" si="23"/>
        <v>138</v>
      </c>
      <c r="W245" s="155">
        <v>1.5</v>
      </c>
      <c r="X245" s="124">
        <f t="shared" si="24"/>
        <v>92</v>
      </c>
      <c r="Y245" s="114" t="s">
        <v>1376</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89"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1393</v>
      </c>
      <c r="B246" s="114">
        <v>28311</v>
      </c>
      <c r="C246" s="114">
        <v>1</v>
      </c>
      <c r="D246" s="114"/>
      <c r="E246" s="114"/>
      <c r="F246" s="114"/>
      <c r="G246" s="114"/>
      <c r="H246" s="114"/>
      <c r="I246" s="115"/>
      <c r="J246" s="114"/>
      <c r="K246" s="114"/>
      <c r="L246" s="114"/>
      <c r="M246" s="114"/>
      <c r="N246" s="114"/>
      <c r="O246" s="116"/>
      <c r="P246" s="10"/>
      <c r="Q246" s="114" t="s">
        <v>1032</v>
      </c>
      <c r="R246" s="114"/>
      <c r="S246" s="114" t="s">
        <v>672</v>
      </c>
      <c r="T246" s="114">
        <v>75</v>
      </c>
      <c r="U246" s="114">
        <v>140</v>
      </c>
      <c r="V246" s="155">
        <f t="shared" si="23"/>
        <v>107.5</v>
      </c>
      <c r="W246" s="155">
        <v>1.5</v>
      </c>
      <c r="X246" s="124">
        <f t="shared" si="24"/>
        <v>71.666666666666671</v>
      </c>
      <c r="Y246" s="114" t="s">
        <v>1376</v>
      </c>
      <c r="Z246" s="114">
        <v>115</v>
      </c>
      <c r="AA246" s="114">
        <v>1</v>
      </c>
      <c r="AB246" s="114">
        <v>3</v>
      </c>
      <c r="AC246" s="10" t="s">
        <v>1394</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89"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1395</v>
      </c>
      <c r="B247" s="114">
        <v>28729</v>
      </c>
      <c r="C247" s="114">
        <v>1</v>
      </c>
      <c r="D247" s="114"/>
      <c r="E247" s="114">
        <v>14</v>
      </c>
      <c r="F247" s="114">
        <v>46</v>
      </c>
      <c r="G247" s="114"/>
      <c r="H247" s="114"/>
      <c r="I247" s="115"/>
      <c r="J247" s="114"/>
      <c r="K247" s="114"/>
      <c r="L247" s="114">
        <v>16</v>
      </c>
      <c r="M247" s="114"/>
      <c r="N247" s="114"/>
      <c r="O247" s="116"/>
      <c r="P247" s="10"/>
      <c r="Q247" s="114" t="s">
        <v>1032</v>
      </c>
      <c r="R247" s="114"/>
      <c r="S247" s="114" t="s">
        <v>671</v>
      </c>
      <c r="T247" s="114">
        <v>165</v>
      </c>
      <c r="U247" s="114">
        <v>308</v>
      </c>
      <c r="V247" s="155">
        <f t="shared" si="23"/>
        <v>236.5</v>
      </c>
      <c r="W247" s="155">
        <v>2.7</v>
      </c>
      <c r="X247" s="124">
        <f t="shared" si="24"/>
        <v>87.592592592592581</v>
      </c>
      <c r="Y247" s="114" t="s">
        <v>1376</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89"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1226</v>
      </c>
      <c r="B248" s="116">
        <v>30082</v>
      </c>
      <c r="C248" s="116">
        <v>2</v>
      </c>
      <c r="D248" s="114"/>
      <c r="E248" s="114">
        <v>15</v>
      </c>
      <c r="F248" s="114">
        <v>40</v>
      </c>
      <c r="G248" s="115"/>
      <c r="H248" s="115">
        <v>20</v>
      </c>
      <c r="I248" s="115"/>
      <c r="J248" s="114"/>
      <c r="K248" s="116"/>
      <c r="L248" s="114"/>
      <c r="M248" s="116"/>
      <c r="N248" s="114"/>
      <c r="O248" s="116"/>
      <c r="P248" s="114"/>
      <c r="Q248" s="114" t="s">
        <v>1032</v>
      </c>
      <c r="R248" s="114"/>
      <c r="S248" s="114" t="s">
        <v>666</v>
      </c>
      <c r="T248" s="114">
        <v>182</v>
      </c>
      <c r="U248" s="116">
        <v>339</v>
      </c>
      <c r="V248" s="155">
        <f t="shared" si="23"/>
        <v>260.5</v>
      </c>
      <c r="W248" s="155">
        <v>2.7</v>
      </c>
      <c r="X248" s="124">
        <f t="shared" si="24"/>
        <v>96.481481481481481</v>
      </c>
      <c r="Y248" s="115" t="s">
        <v>1376</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89"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1396</v>
      </c>
      <c r="B249" s="114">
        <v>23577</v>
      </c>
      <c r="C249" s="114">
        <v>1</v>
      </c>
      <c r="D249" s="114"/>
      <c r="E249" s="114"/>
      <c r="F249" s="114"/>
      <c r="G249" s="114"/>
      <c r="H249" s="114"/>
      <c r="I249" s="115"/>
      <c r="J249" s="114"/>
      <c r="K249" s="114">
        <v>14</v>
      </c>
      <c r="L249" s="114">
        <v>14</v>
      </c>
      <c r="M249" s="114"/>
      <c r="N249" s="114"/>
      <c r="O249" s="116"/>
      <c r="P249" s="10"/>
      <c r="Q249" s="114" t="s">
        <v>1032</v>
      </c>
      <c r="R249" s="114"/>
      <c r="S249" s="114" t="s">
        <v>667</v>
      </c>
      <c r="T249" s="114">
        <v>76</v>
      </c>
      <c r="U249" s="114">
        <v>143</v>
      </c>
      <c r="V249" s="155">
        <f t="shared" si="23"/>
        <v>109.5</v>
      </c>
      <c r="W249" s="155">
        <v>1.5</v>
      </c>
      <c r="X249" s="124">
        <f t="shared" si="24"/>
        <v>73</v>
      </c>
      <c r="Y249" s="114" t="s">
        <v>1376</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89"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1397</v>
      </c>
      <c r="B250" s="114">
        <v>29362</v>
      </c>
      <c r="C250" s="114">
        <v>1</v>
      </c>
      <c r="D250" s="114"/>
      <c r="E250" s="114"/>
      <c r="F250" s="114"/>
      <c r="G250" s="114"/>
      <c r="H250" s="114"/>
      <c r="I250" s="115"/>
      <c r="J250" s="114"/>
      <c r="K250" s="114"/>
      <c r="L250" s="114">
        <v>22</v>
      </c>
      <c r="M250" s="114">
        <v>19</v>
      </c>
      <c r="N250" s="114"/>
      <c r="O250" s="114">
        <v>13</v>
      </c>
      <c r="P250" s="10"/>
      <c r="Q250" s="114" t="s">
        <v>1032</v>
      </c>
      <c r="R250" s="114"/>
      <c r="S250" s="114" t="s">
        <v>690</v>
      </c>
      <c r="T250" s="114">
        <v>93</v>
      </c>
      <c r="U250" s="114">
        <v>174</v>
      </c>
      <c r="V250" s="155">
        <f t="shared" si="23"/>
        <v>133.5</v>
      </c>
      <c r="W250" s="155">
        <v>1.6</v>
      </c>
      <c r="X250" s="124">
        <f t="shared" si="24"/>
        <v>83.4375</v>
      </c>
      <c r="Y250" s="114" t="s">
        <v>1376</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89"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972</v>
      </c>
      <c r="B251" s="114">
        <v>34666</v>
      </c>
      <c r="C251" s="114">
        <v>5</v>
      </c>
      <c r="D251" s="114"/>
      <c r="E251" s="114">
        <v>14</v>
      </c>
      <c r="F251" s="114">
        <v>26</v>
      </c>
      <c r="G251" s="114"/>
      <c r="H251" s="114">
        <v>11</v>
      </c>
      <c r="I251" s="115"/>
      <c r="J251" s="114"/>
      <c r="K251" s="114"/>
      <c r="L251" s="114">
        <v>12</v>
      </c>
      <c r="M251" s="114"/>
      <c r="N251" s="114"/>
      <c r="O251" s="114"/>
      <c r="P251" s="10"/>
      <c r="Q251" s="114" t="s">
        <v>1032</v>
      </c>
      <c r="R251" s="114"/>
      <c r="S251" s="114" t="s">
        <v>675</v>
      </c>
      <c r="T251" s="114">
        <v>155</v>
      </c>
      <c r="U251" s="114">
        <v>233</v>
      </c>
      <c r="V251" s="155">
        <f t="shared" si="23"/>
        <v>194</v>
      </c>
      <c r="W251" s="155">
        <v>2.7</v>
      </c>
      <c r="X251" s="124">
        <f t="shared" si="24"/>
        <v>71.851851851851848</v>
      </c>
      <c r="Y251" s="114" t="s">
        <v>1376</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89"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1032</v>
      </c>
      <c r="R252" s="114"/>
      <c r="S252" s="114" t="s">
        <v>683</v>
      </c>
      <c r="T252" s="114">
        <v>112</v>
      </c>
      <c r="U252" s="116">
        <v>209</v>
      </c>
      <c r="V252" s="155">
        <f t="shared" si="23"/>
        <v>160.5</v>
      </c>
      <c r="W252" s="155">
        <v>1.6</v>
      </c>
      <c r="X252" s="124">
        <f t="shared" si="24"/>
        <v>100.3125</v>
      </c>
      <c r="Y252" s="115" t="s">
        <v>1376</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89"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1398</v>
      </c>
      <c r="B253" s="114">
        <v>19019</v>
      </c>
      <c r="C253" s="114">
        <v>1</v>
      </c>
      <c r="D253" s="114"/>
      <c r="E253" s="114">
        <v>5</v>
      </c>
      <c r="F253" s="114"/>
      <c r="G253" s="114"/>
      <c r="H253" s="114"/>
      <c r="I253" s="115"/>
      <c r="J253" s="114"/>
      <c r="K253" s="114"/>
      <c r="L253" s="114">
        <v>8</v>
      </c>
      <c r="M253" s="114"/>
      <c r="N253" s="114"/>
      <c r="O253" s="114"/>
      <c r="P253" s="10"/>
      <c r="Q253" s="114" t="s">
        <v>1032</v>
      </c>
      <c r="R253" s="114"/>
      <c r="S253" s="114" t="s">
        <v>667</v>
      </c>
      <c r="T253" s="114">
        <v>60</v>
      </c>
      <c r="U253" s="114">
        <v>145</v>
      </c>
      <c r="V253" s="155">
        <f t="shared" si="23"/>
        <v>102.5</v>
      </c>
      <c r="W253" s="155">
        <v>1.9</v>
      </c>
      <c r="X253" s="124">
        <f t="shared" si="24"/>
        <v>53.947368421052637</v>
      </c>
      <c r="Y253" s="114" t="s">
        <v>1376</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89"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1760</v>
      </c>
      <c r="B254" s="116">
        <v>33734</v>
      </c>
      <c r="C254" s="116">
        <v>3</v>
      </c>
      <c r="D254" s="114"/>
      <c r="E254" s="114"/>
      <c r="F254" s="114">
        <v>34</v>
      </c>
      <c r="G254" s="115">
        <v>21</v>
      </c>
      <c r="H254" s="115">
        <v>8</v>
      </c>
      <c r="I254" s="846"/>
      <c r="J254" s="114">
        <v>49</v>
      </c>
      <c r="K254" s="116"/>
      <c r="L254" s="114">
        <v>30</v>
      </c>
      <c r="M254" s="116"/>
      <c r="N254" s="114">
        <v>12</v>
      </c>
      <c r="O254" s="116"/>
      <c r="P254" s="114"/>
      <c r="Q254" s="114" t="s">
        <v>1032</v>
      </c>
      <c r="R254" s="114"/>
      <c r="S254" s="114" t="s">
        <v>676</v>
      </c>
      <c r="T254" s="114">
        <v>108</v>
      </c>
      <c r="U254" s="116">
        <v>201</v>
      </c>
      <c r="V254" s="155">
        <f t="shared" si="23"/>
        <v>154.5</v>
      </c>
      <c r="W254" s="155">
        <v>1.5</v>
      </c>
      <c r="X254" s="124">
        <f t="shared" si="24"/>
        <v>103</v>
      </c>
      <c r="Y254" s="114" t="s">
        <v>1376</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89"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1767</v>
      </c>
      <c r="B255" s="116">
        <v>33762</v>
      </c>
      <c r="C255" s="116">
        <v>3</v>
      </c>
      <c r="D255" s="114"/>
      <c r="E255" s="114"/>
      <c r="F255" s="114">
        <v>34</v>
      </c>
      <c r="G255" s="115">
        <v>21</v>
      </c>
      <c r="H255" s="115">
        <v>8</v>
      </c>
      <c r="I255" s="846"/>
      <c r="J255" s="114">
        <v>49</v>
      </c>
      <c r="K255" s="116"/>
      <c r="L255" s="114">
        <v>30</v>
      </c>
      <c r="M255" s="116"/>
      <c r="N255" s="114">
        <v>12</v>
      </c>
      <c r="O255" s="116"/>
      <c r="P255" s="114"/>
      <c r="Q255" s="114" t="s">
        <v>1032</v>
      </c>
      <c r="R255" s="114"/>
      <c r="S255" s="114" t="s">
        <v>676</v>
      </c>
      <c r="T255" s="114">
        <v>214</v>
      </c>
      <c r="U255" s="116">
        <v>322</v>
      </c>
      <c r="V255" s="155">
        <f t="shared" si="23"/>
        <v>268</v>
      </c>
      <c r="W255" s="155">
        <v>2.6</v>
      </c>
      <c r="X255" s="124">
        <f t="shared" si="24"/>
        <v>103.07692307692308</v>
      </c>
      <c r="Y255" s="114" t="s">
        <v>1376</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89"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1032</v>
      </c>
      <c r="R256" s="114"/>
      <c r="S256" s="114" t="s">
        <v>675</v>
      </c>
      <c r="T256" s="114">
        <v>147</v>
      </c>
      <c r="U256" s="116">
        <v>275</v>
      </c>
      <c r="V256" s="155">
        <f t="shared" si="23"/>
        <v>211</v>
      </c>
      <c r="W256" s="155">
        <v>2.6</v>
      </c>
      <c r="X256" s="124">
        <f t="shared" si="24"/>
        <v>81.153846153846146</v>
      </c>
      <c r="Y256" s="115" t="s">
        <v>1376</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89"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1032</v>
      </c>
      <c r="R257" s="114"/>
      <c r="S257" s="114" t="s">
        <v>682</v>
      </c>
      <c r="T257" s="114">
        <v>107</v>
      </c>
      <c r="U257" s="116">
        <v>199</v>
      </c>
      <c r="V257" s="155">
        <f t="shared" si="23"/>
        <v>153</v>
      </c>
      <c r="W257" s="155">
        <v>1.4</v>
      </c>
      <c r="X257" s="124">
        <f t="shared" si="24"/>
        <v>109.28571428571429</v>
      </c>
      <c r="Y257" s="115" t="s">
        <v>1376</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89"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1032</v>
      </c>
      <c r="R258" s="114"/>
      <c r="S258" s="114" t="s">
        <v>679</v>
      </c>
      <c r="T258" s="114">
        <v>248</v>
      </c>
      <c r="U258" s="114">
        <v>461</v>
      </c>
      <c r="V258" s="155">
        <f t="shared" si="23"/>
        <v>354.5</v>
      </c>
      <c r="W258" s="155">
        <v>2.9</v>
      </c>
      <c r="X258" s="124">
        <f t="shared" si="24"/>
        <v>122.24137931034483</v>
      </c>
      <c r="Y258" s="114" t="s">
        <v>1376</v>
      </c>
      <c r="Z258" s="114"/>
      <c r="AA258" s="114"/>
      <c r="AB258" s="114"/>
      <c r="AC258" s="10" t="s">
        <v>561</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89"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1032</v>
      </c>
      <c r="R259" s="114"/>
      <c r="S259" s="114" t="s">
        <v>690</v>
      </c>
      <c r="T259" s="114">
        <v>85</v>
      </c>
      <c r="U259" s="116">
        <v>159</v>
      </c>
      <c r="V259" s="155">
        <f>(U259+T259)/2</f>
        <v>122</v>
      </c>
      <c r="W259" s="155">
        <v>1.7</v>
      </c>
      <c r="X259" s="124">
        <f>V259/W259</f>
        <v>71.764705882352942</v>
      </c>
      <c r="Y259" s="115" t="s">
        <v>1376</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89"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1376</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1032</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1032</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605</v>
      </c>
      <c r="B263" s="116">
        <v>27747</v>
      </c>
      <c r="C263" s="116">
        <v>1</v>
      </c>
      <c r="D263" s="114"/>
      <c r="E263" s="114">
        <v>15</v>
      </c>
      <c r="F263" s="114">
        <v>10</v>
      </c>
      <c r="G263" s="115"/>
      <c r="H263" s="115">
        <v>11</v>
      </c>
      <c r="I263" s="115"/>
      <c r="J263" s="114"/>
      <c r="K263" s="116"/>
      <c r="L263" s="114">
        <v>10</v>
      </c>
      <c r="M263" s="116"/>
      <c r="N263" s="114"/>
      <c r="O263" s="116"/>
      <c r="P263" s="114"/>
      <c r="Q263" s="114" t="s">
        <v>1032</v>
      </c>
      <c r="R263" s="114"/>
      <c r="S263" s="114" t="s">
        <v>690</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89"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1994</v>
      </c>
      <c r="B264" s="116">
        <v>35037</v>
      </c>
      <c r="C264" s="116">
        <v>5</v>
      </c>
      <c r="D264" s="114"/>
      <c r="E264" s="114"/>
      <c r="F264" s="114">
        <v>38</v>
      </c>
      <c r="G264" s="115">
        <v>22</v>
      </c>
      <c r="H264" s="115">
        <v>9</v>
      </c>
      <c r="I264" s="846"/>
      <c r="J264" s="114">
        <v>49</v>
      </c>
      <c r="K264" s="116"/>
      <c r="L264" s="114">
        <v>31</v>
      </c>
      <c r="M264" s="116"/>
      <c r="N264" s="114">
        <v>12</v>
      </c>
      <c r="O264" s="116"/>
      <c r="P264" s="114"/>
      <c r="Q264" s="114" t="s">
        <v>1032</v>
      </c>
      <c r="R264" s="114"/>
      <c r="S264" s="114" t="s">
        <v>676</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89"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1995</v>
      </c>
      <c r="B265" s="116">
        <v>35038</v>
      </c>
      <c r="C265" s="116">
        <v>5</v>
      </c>
      <c r="D265" s="114"/>
      <c r="E265" s="114"/>
      <c r="F265" s="114">
        <v>38</v>
      </c>
      <c r="G265" s="115">
        <v>22</v>
      </c>
      <c r="H265" s="115">
        <v>9</v>
      </c>
      <c r="I265" s="846"/>
      <c r="J265" s="114">
        <v>49</v>
      </c>
      <c r="K265" s="116"/>
      <c r="L265" s="114">
        <v>31</v>
      </c>
      <c r="M265" s="116"/>
      <c r="N265" s="114">
        <v>12</v>
      </c>
      <c r="O265" s="116"/>
      <c r="P265" s="114"/>
      <c r="Q265" s="114" t="s">
        <v>1032</v>
      </c>
      <c r="R265" s="114"/>
      <c r="S265" s="114" t="s">
        <v>676</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89"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1032</v>
      </c>
      <c r="R266" s="114"/>
      <c r="S266" s="114" t="s">
        <v>667</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89"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1032</v>
      </c>
      <c r="R267" s="114"/>
      <c r="S267" s="114" t="s">
        <v>679</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89"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1032</v>
      </c>
      <c r="R268" s="114"/>
      <c r="S268" s="114" t="s">
        <v>683</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89"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1034</v>
      </c>
      <c r="R269" s="114" t="s">
        <v>1065</v>
      </c>
      <c r="S269" s="114" t="s">
        <v>663</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89"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1032</v>
      </c>
      <c r="R270" s="114"/>
      <c r="S270" s="114" t="s">
        <v>676</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89"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949</v>
      </c>
      <c r="B271" s="116">
        <v>28947</v>
      </c>
      <c r="C271" s="116">
        <v>1</v>
      </c>
      <c r="D271" s="114"/>
      <c r="E271" s="114"/>
      <c r="F271" s="114">
        <v>26</v>
      </c>
      <c r="G271" s="115">
        <v>13</v>
      </c>
      <c r="H271" s="115">
        <v>8</v>
      </c>
      <c r="I271" s="115"/>
      <c r="J271" s="114"/>
      <c r="K271" s="116"/>
      <c r="L271" s="114">
        <v>18</v>
      </c>
      <c r="M271" s="116"/>
      <c r="N271" s="114">
        <v>9</v>
      </c>
      <c r="O271" s="116"/>
      <c r="P271" s="114"/>
      <c r="Q271" s="114" t="s">
        <v>1032</v>
      </c>
      <c r="R271" s="114"/>
      <c r="S271" s="114" t="s">
        <v>676</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89"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1677</v>
      </c>
      <c r="B272" s="116">
        <v>34203</v>
      </c>
      <c r="C272" s="116">
        <v>5</v>
      </c>
      <c r="D272" s="114"/>
      <c r="E272" s="114"/>
      <c r="F272" s="114">
        <v>46</v>
      </c>
      <c r="G272" s="115"/>
      <c r="H272" s="115">
        <v>20</v>
      </c>
      <c r="I272" s="115">
        <v>31</v>
      </c>
      <c r="J272" s="114"/>
      <c r="K272" s="116"/>
      <c r="L272" s="114"/>
      <c r="M272" s="116"/>
      <c r="N272" s="114"/>
      <c r="O272" s="116"/>
      <c r="P272" s="114"/>
      <c r="Q272" s="114" t="s">
        <v>1032</v>
      </c>
      <c r="R272" s="114"/>
      <c r="S272" s="114" t="s">
        <v>870</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89"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950</v>
      </c>
      <c r="B273" s="116">
        <v>28922</v>
      </c>
      <c r="C273" s="116">
        <v>1</v>
      </c>
      <c r="D273" s="114"/>
      <c r="E273" s="114"/>
      <c r="F273" s="114">
        <v>26</v>
      </c>
      <c r="G273" s="115">
        <v>13</v>
      </c>
      <c r="H273" s="115">
        <v>8</v>
      </c>
      <c r="I273" s="115"/>
      <c r="J273" s="114"/>
      <c r="K273" s="116"/>
      <c r="L273" s="114">
        <v>18</v>
      </c>
      <c r="M273" s="116"/>
      <c r="N273" s="114">
        <v>9</v>
      </c>
      <c r="O273" s="116"/>
      <c r="P273" s="114"/>
      <c r="Q273" s="114" t="s">
        <v>1032</v>
      </c>
      <c r="R273" s="114"/>
      <c r="S273" s="114" t="s">
        <v>676</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89"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1032</v>
      </c>
      <c r="R274" s="114"/>
      <c r="S274" s="114" t="s">
        <v>676</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89"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700</v>
      </c>
      <c r="B275" s="116">
        <v>34346</v>
      </c>
      <c r="C275" s="116">
        <v>5</v>
      </c>
      <c r="D275" s="114"/>
      <c r="E275" s="114"/>
      <c r="F275" s="114">
        <v>46</v>
      </c>
      <c r="G275" s="115"/>
      <c r="H275" s="115"/>
      <c r="I275" s="115"/>
      <c r="J275" s="114">
        <v>140</v>
      </c>
      <c r="K275" s="116"/>
      <c r="L275" s="114">
        <v>22</v>
      </c>
      <c r="M275" s="114"/>
      <c r="N275" s="114"/>
      <c r="O275" s="116"/>
      <c r="P275" s="114"/>
      <c r="Q275" s="114" t="s">
        <v>1040</v>
      </c>
      <c r="R275" s="114" t="s">
        <v>1337</v>
      </c>
      <c r="S275" s="114" t="s">
        <v>870</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89"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1623</v>
      </c>
      <c r="B276" s="116">
        <v>28315</v>
      </c>
      <c r="C276" s="116">
        <v>1</v>
      </c>
      <c r="D276" s="114"/>
      <c r="E276" s="114"/>
      <c r="F276" s="114">
        <v>22</v>
      </c>
      <c r="G276" s="115">
        <v>21</v>
      </c>
      <c r="H276" s="115"/>
      <c r="I276" s="115"/>
      <c r="J276" s="114"/>
      <c r="K276" s="116"/>
      <c r="L276" s="114">
        <v>13</v>
      </c>
      <c r="M276" s="116"/>
      <c r="N276" s="114"/>
      <c r="O276" s="116"/>
      <c r="P276" s="114"/>
      <c r="Q276" s="114" t="s">
        <v>1032</v>
      </c>
      <c r="R276" s="114"/>
      <c r="S276" s="114" t="s">
        <v>672</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89"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1032</v>
      </c>
      <c r="R277" s="114"/>
      <c r="S277" s="114" t="s">
        <v>676</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89"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1761</v>
      </c>
      <c r="B278" s="116">
        <v>33705</v>
      </c>
      <c r="C278" s="116">
        <v>3</v>
      </c>
      <c r="D278" s="114"/>
      <c r="E278" s="114"/>
      <c r="F278" s="114">
        <v>34</v>
      </c>
      <c r="G278" s="115">
        <v>21</v>
      </c>
      <c r="H278" s="115">
        <v>8</v>
      </c>
      <c r="I278" s="846"/>
      <c r="J278" s="114">
        <v>49</v>
      </c>
      <c r="K278" s="116"/>
      <c r="L278" s="114">
        <v>30</v>
      </c>
      <c r="M278" s="116"/>
      <c r="N278" s="114">
        <v>12</v>
      </c>
      <c r="O278" s="116"/>
      <c r="P278" s="114"/>
      <c r="Q278" s="114" t="s">
        <v>1032</v>
      </c>
      <c r="R278" s="114"/>
      <c r="S278" s="114" t="s">
        <v>676</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89"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1032</v>
      </c>
      <c r="R279" s="114"/>
      <c r="S279" s="114" t="s">
        <v>690</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89"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1881</v>
      </c>
      <c r="B280" s="116">
        <v>34950</v>
      </c>
      <c r="C280" s="116">
        <v>5</v>
      </c>
      <c r="D280" s="114"/>
      <c r="E280" s="114"/>
      <c r="F280" s="114">
        <v>44</v>
      </c>
      <c r="G280" s="115"/>
      <c r="H280" s="115">
        <v>21</v>
      </c>
      <c r="I280" s="847">
        <v>23</v>
      </c>
      <c r="J280" s="114"/>
      <c r="K280" s="116"/>
      <c r="L280" s="114"/>
      <c r="M280" s="116"/>
      <c r="N280" s="114"/>
      <c r="O280" s="116"/>
      <c r="P280" s="114"/>
      <c r="Q280" s="114" t="s">
        <v>1032</v>
      </c>
      <c r="R280" s="114"/>
      <c r="S280" s="114" t="s">
        <v>690</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89"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1032</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909</v>
      </c>
      <c r="B283" s="838"/>
      <c r="C283" s="838"/>
      <c r="D283" s="742"/>
      <c r="E283" s="742"/>
      <c r="F283" s="742"/>
      <c r="G283" s="837"/>
      <c r="H283" s="837"/>
      <c r="I283" s="837"/>
      <c r="J283" s="742"/>
      <c r="K283" s="838"/>
      <c r="L283" s="742"/>
      <c r="M283" s="838"/>
      <c r="N283" s="742"/>
      <c r="O283" s="838"/>
      <c r="P283" s="742"/>
      <c r="Q283" s="742" t="s">
        <v>1032</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1206</v>
      </c>
      <c r="B284" s="116">
        <v>32661</v>
      </c>
      <c r="C284" s="116">
        <v>3</v>
      </c>
      <c r="D284" s="114"/>
      <c r="E284" s="114"/>
      <c r="F284" s="114">
        <v>22</v>
      </c>
      <c r="G284" s="115">
        <v>20</v>
      </c>
      <c r="H284" s="115">
        <v>8</v>
      </c>
      <c r="I284" s="115"/>
      <c r="J284" s="114"/>
      <c r="K284" s="116"/>
      <c r="L284" s="114"/>
      <c r="M284" s="116"/>
      <c r="N284" s="114"/>
      <c r="O284" s="116"/>
      <c r="P284" s="114"/>
      <c r="Q284" s="114" t="s">
        <v>1032</v>
      </c>
      <c r="R284" s="114"/>
      <c r="S284" s="114" t="s">
        <v>673</v>
      </c>
      <c r="T284" s="114">
        <v>90</v>
      </c>
      <c r="U284" s="116">
        <v>168</v>
      </c>
      <c r="V284" s="155">
        <f t="shared" ref="V284:V308" si="33">(U284+T284)/2</f>
        <v>129</v>
      </c>
      <c r="W284" s="155">
        <v>1.8</v>
      </c>
      <c r="X284" s="124">
        <f t="shared" ref="X284:X308" si="34">V284/W284</f>
        <v>71.666666666666671</v>
      </c>
      <c r="Y284" s="115" t="s">
        <v>910</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89"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1916</v>
      </c>
      <c r="B285" s="116">
        <v>27901</v>
      </c>
      <c r="C285" s="116">
        <v>1</v>
      </c>
      <c r="D285" s="114"/>
      <c r="E285" s="114"/>
      <c r="F285" s="114"/>
      <c r="G285" s="115"/>
      <c r="H285" s="115"/>
      <c r="I285" s="115">
        <f>132*itGenProc10sOH</f>
        <v>28.890023702641724</v>
      </c>
      <c r="J285" s="114"/>
      <c r="K285" s="116"/>
      <c r="L285" s="114"/>
      <c r="M285" s="116"/>
      <c r="N285" s="114"/>
      <c r="O285" s="116"/>
      <c r="P285" s="114"/>
      <c r="Q285" s="114" t="s">
        <v>1044</v>
      </c>
      <c r="R285" s="114" t="s">
        <v>1464</v>
      </c>
      <c r="S285" s="114" t="s">
        <v>672</v>
      </c>
      <c r="T285" s="114">
        <v>73</v>
      </c>
      <c r="U285" s="116">
        <v>136</v>
      </c>
      <c r="V285" s="155">
        <f t="shared" si="33"/>
        <v>104.5</v>
      </c>
      <c r="W285" s="155">
        <v>1.5</v>
      </c>
      <c r="X285" s="124">
        <f t="shared" si="34"/>
        <v>69.666666666666671</v>
      </c>
      <c r="Y285" s="115" t="s">
        <v>910</v>
      </c>
      <c r="Z285" s="114"/>
      <c r="AA285" s="114"/>
      <c r="AB285" s="114"/>
      <c r="AC285" s="10" t="s">
        <v>616</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89"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911</v>
      </c>
      <c r="B286" s="116">
        <v>28210</v>
      </c>
      <c r="C286" s="116">
        <v>1</v>
      </c>
      <c r="D286" s="114"/>
      <c r="E286" s="114"/>
      <c r="F286" s="114">
        <v>22</v>
      </c>
      <c r="G286" s="115">
        <v>21</v>
      </c>
      <c r="H286" s="115"/>
      <c r="I286" s="115"/>
      <c r="J286" s="114"/>
      <c r="K286" s="116"/>
      <c r="L286" s="114">
        <v>12</v>
      </c>
      <c r="M286" s="116"/>
      <c r="N286" s="114"/>
      <c r="O286" s="116"/>
      <c r="P286" s="114"/>
      <c r="Q286" s="114" t="s">
        <v>1032</v>
      </c>
      <c r="R286" s="114"/>
      <c r="S286" s="114" t="s">
        <v>690</v>
      </c>
      <c r="T286" s="114">
        <v>130</v>
      </c>
      <c r="U286" s="116">
        <v>243</v>
      </c>
      <c r="V286" s="155">
        <f t="shared" si="33"/>
        <v>186.5</v>
      </c>
      <c r="W286" s="155">
        <v>2.6</v>
      </c>
      <c r="X286" s="124">
        <f t="shared" si="34"/>
        <v>71.730769230769226</v>
      </c>
      <c r="Y286" s="115" t="s">
        <v>910</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89"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1993</v>
      </c>
      <c r="B287" s="116">
        <v>34988</v>
      </c>
      <c r="C287" s="116">
        <v>5</v>
      </c>
      <c r="D287" s="114"/>
      <c r="E287" s="114"/>
      <c r="F287" s="114">
        <v>38</v>
      </c>
      <c r="G287" s="115">
        <v>21</v>
      </c>
      <c r="H287" s="115">
        <v>9</v>
      </c>
      <c r="I287" s="846"/>
      <c r="J287" s="114">
        <v>49</v>
      </c>
      <c r="K287" s="116"/>
      <c r="L287" s="114">
        <v>31</v>
      </c>
      <c r="M287" s="116"/>
      <c r="N287" s="114">
        <v>12</v>
      </c>
      <c r="O287" s="116"/>
      <c r="P287" s="114"/>
      <c r="Q287" s="114" t="s">
        <v>1032</v>
      </c>
      <c r="R287" s="114"/>
      <c r="S287" s="114" t="s">
        <v>676</v>
      </c>
      <c r="T287" s="114">
        <v>113</v>
      </c>
      <c r="U287" s="116">
        <v>211</v>
      </c>
      <c r="V287" s="155">
        <f>(U287+T287)/2</f>
        <v>162</v>
      </c>
      <c r="W287" s="155">
        <v>1.5</v>
      </c>
      <c r="X287" s="124">
        <f>V287/W287</f>
        <v>108</v>
      </c>
      <c r="Y287" s="114" t="s">
        <v>910</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89"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1999</v>
      </c>
      <c r="B288" s="116">
        <v>35071</v>
      </c>
      <c r="C288" s="116">
        <v>5</v>
      </c>
      <c r="D288" s="114"/>
      <c r="E288" s="114"/>
      <c r="F288" s="114">
        <v>38</v>
      </c>
      <c r="G288" s="115">
        <v>21</v>
      </c>
      <c r="H288" s="115">
        <v>9</v>
      </c>
      <c r="I288" s="846"/>
      <c r="J288" s="114">
        <v>49</v>
      </c>
      <c r="K288" s="116"/>
      <c r="L288" s="114">
        <v>31</v>
      </c>
      <c r="M288" s="116"/>
      <c r="N288" s="114">
        <v>12</v>
      </c>
      <c r="O288" s="116"/>
      <c r="P288" s="114"/>
      <c r="Q288" s="114" t="s">
        <v>1032</v>
      </c>
      <c r="R288" s="114"/>
      <c r="S288" s="114" t="s">
        <v>676</v>
      </c>
      <c r="T288" s="114">
        <v>196</v>
      </c>
      <c r="U288" s="116">
        <v>365</v>
      </c>
      <c r="V288" s="155">
        <f>(U288+T288)/2</f>
        <v>280.5</v>
      </c>
      <c r="W288" s="155">
        <v>2.6</v>
      </c>
      <c r="X288" s="124">
        <f>V288/W288</f>
        <v>107.88461538461539</v>
      </c>
      <c r="Y288" s="114" t="s">
        <v>910</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89"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1042</v>
      </c>
      <c r="R289" s="114" t="s">
        <v>1337</v>
      </c>
      <c r="S289" s="114" t="s">
        <v>671</v>
      </c>
      <c r="T289" s="114">
        <v>159</v>
      </c>
      <c r="U289" s="116">
        <v>296</v>
      </c>
      <c r="V289" s="155">
        <f t="shared" si="33"/>
        <v>227.5</v>
      </c>
      <c r="W289" s="155">
        <v>2.6</v>
      </c>
      <c r="X289" s="124">
        <f t="shared" si="34"/>
        <v>87.5</v>
      </c>
      <c r="Y289" s="114" t="s">
        <v>910</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89"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1624</v>
      </c>
      <c r="B290" s="116">
        <v>28302</v>
      </c>
      <c r="C290" s="116">
        <v>1</v>
      </c>
      <c r="D290" s="114"/>
      <c r="E290" s="114"/>
      <c r="F290" s="114">
        <v>28</v>
      </c>
      <c r="G290" s="115">
        <v>15</v>
      </c>
      <c r="H290" s="115">
        <v>9</v>
      </c>
      <c r="I290" s="846"/>
      <c r="J290" s="114"/>
      <c r="K290" s="116"/>
      <c r="L290" s="114">
        <v>21</v>
      </c>
      <c r="M290" s="116"/>
      <c r="N290" s="114">
        <v>10</v>
      </c>
      <c r="O290" s="116"/>
      <c r="P290" s="114"/>
      <c r="Q290" s="114" t="s">
        <v>1032</v>
      </c>
      <c r="R290" s="114"/>
      <c r="S290" s="114" t="s">
        <v>676</v>
      </c>
      <c r="T290" s="114">
        <v>95</v>
      </c>
      <c r="U290" s="116">
        <v>178</v>
      </c>
      <c r="V290" s="155">
        <f t="shared" si="33"/>
        <v>136.5</v>
      </c>
      <c r="W290" s="155">
        <v>1.5</v>
      </c>
      <c r="X290" s="124">
        <f t="shared" si="34"/>
        <v>91</v>
      </c>
      <c r="Y290" s="114" t="s">
        <v>910</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89"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1032</v>
      </c>
      <c r="R291" s="114"/>
      <c r="S291" s="114" t="s">
        <v>676</v>
      </c>
      <c r="T291" s="114">
        <v>189</v>
      </c>
      <c r="U291" s="116">
        <v>285</v>
      </c>
      <c r="V291" s="155">
        <f t="shared" si="33"/>
        <v>237</v>
      </c>
      <c r="W291" s="155">
        <v>2.6</v>
      </c>
      <c r="X291" s="124">
        <f t="shared" si="34"/>
        <v>91.153846153846146</v>
      </c>
      <c r="Y291" s="114" t="s">
        <v>910</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89"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951</v>
      </c>
      <c r="B292" s="116">
        <v>28950</v>
      </c>
      <c r="C292" s="116">
        <v>1</v>
      </c>
      <c r="D292" s="114"/>
      <c r="E292" s="114"/>
      <c r="F292" s="114">
        <v>26</v>
      </c>
      <c r="G292" s="115">
        <v>13</v>
      </c>
      <c r="H292" s="115">
        <v>8</v>
      </c>
      <c r="I292" s="846"/>
      <c r="J292" s="114"/>
      <c r="K292" s="116"/>
      <c r="L292" s="114">
        <v>18</v>
      </c>
      <c r="M292" s="116"/>
      <c r="N292" s="114">
        <v>9</v>
      </c>
      <c r="O292" s="116"/>
      <c r="P292" s="114"/>
      <c r="Q292" s="114" t="s">
        <v>1032</v>
      </c>
      <c r="R292" s="114"/>
      <c r="S292" s="114" t="s">
        <v>676</v>
      </c>
      <c r="T292" s="114">
        <v>103</v>
      </c>
      <c r="U292" s="116">
        <v>155</v>
      </c>
      <c r="V292" s="155">
        <f t="shared" si="33"/>
        <v>129</v>
      </c>
      <c r="W292" s="155">
        <v>1.8</v>
      </c>
      <c r="X292" s="124">
        <f t="shared" si="34"/>
        <v>71.666666666666671</v>
      </c>
      <c r="Y292" s="114" t="s">
        <v>910</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89"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952</v>
      </c>
      <c r="B293" s="116">
        <v>28951</v>
      </c>
      <c r="C293" s="116">
        <v>1</v>
      </c>
      <c r="D293" s="114"/>
      <c r="E293" s="114"/>
      <c r="F293" s="114">
        <v>26</v>
      </c>
      <c r="G293" s="115">
        <v>13</v>
      </c>
      <c r="H293" s="115">
        <v>8</v>
      </c>
      <c r="I293" s="846"/>
      <c r="J293" s="114"/>
      <c r="K293" s="116"/>
      <c r="L293" s="114">
        <v>18</v>
      </c>
      <c r="M293" s="116"/>
      <c r="N293" s="114">
        <v>9</v>
      </c>
      <c r="O293" s="116"/>
      <c r="P293" s="114"/>
      <c r="Q293" s="114" t="s">
        <v>1032</v>
      </c>
      <c r="R293" s="114"/>
      <c r="S293" s="114" t="s">
        <v>676</v>
      </c>
      <c r="T293" s="114">
        <v>149</v>
      </c>
      <c r="U293" s="116">
        <v>224</v>
      </c>
      <c r="V293" s="155">
        <f t="shared" si="33"/>
        <v>186.5</v>
      </c>
      <c r="W293" s="155">
        <v>2.6</v>
      </c>
      <c r="X293" s="124">
        <f t="shared" si="34"/>
        <v>71.730769230769226</v>
      </c>
      <c r="Y293" s="114" t="s">
        <v>910</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89"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953</v>
      </c>
      <c r="B294" s="116">
        <v>28924</v>
      </c>
      <c r="C294" s="116">
        <v>1</v>
      </c>
      <c r="D294" s="114"/>
      <c r="E294" s="114"/>
      <c r="F294" s="114">
        <v>26</v>
      </c>
      <c r="G294" s="115">
        <v>13</v>
      </c>
      <c r="H294" s="115">
        <v>8</v>
      </c>
      <c r="I294" s="846"/>
      <c r="J294" s="114"/>
      <c r="K294" s="116"/>
      <c r="L294" s="114">
        <v>18</v>
      </c>
      <c r="M294" s="116"/>
      <c r="N294" s="114">
        <v>9</v>
      </c>
      <c r="O294" s="116"/>
      <c r="P294" s="114"/>
      <c r="Q294" s="114" t="s">
        <v>1032</v>
      </c>
      <c r="R294" s="114"/>
      <c r="S294" s="114" t="s">
        <v>676</v>
      </c>
      <c r="T294" s="114">
        <v>103</v>
      </c>
      <c r="U294" s="116">
        <v>155</v>
      </c>
      <c r="V294" s="155">
        <f t="shared" si="33"/>
        <v>129</v>
      </c>
      <c r="W294" s="155">
        <v>1.8</v>
      </c>
      <c r="X294" s="124">
        <f t="shared" si="34"/>
        <v>71.666666666666671</v>
      </c>
      <c r="Y294" s="114" t="s">
        <v>910</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89"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854</v>
      </c>
      <c r="B295" s="116">
        <v>28925</v>
      </c>
      <c r="C295" s="116">
        <v>1</v>
      </c>
      <c r="D295" s="114"/>
      <c r="E295" s="114"/>
      <c r="F295" s="114">
        <v>26</v>
      </c>
      <c r="G295" s="115">
        <v>13</v>
      </c>
      <c r="H295" s="115">
        <v>8</v>
      </c>
      <c r="I295" s="846"/>
      <c r="J295" s="114"/>
      <c r="K295" s="116"/>
      <c r="L295" s="114">
        <v>18</v>
      </c>
      <c r="M295" s="116"/>
      <c r="N295" s="114">
        <v>9</v>
      </c>
      <c r="O295" s="116"/>
      <c r="P295" s="114"/>
      <c r="Q295" s="114" t="s">
        <v>1032</v>
      </c>
      <c r="R295" s="114"/>
      <c r="S295" s="114" t="s">
        <v>676</v>
      </c>
      <c r="T295" s="114">
        <v>149</v>
      </c>
      <c r="U295" s="116">
        <v>224</v>
      </c>
      <c r="V295" s="155">
        <f t="shared" si="33"/>
        <v>186.5</v>
      </c>
      <c r="W295" s="155">
        <v>2.6</v>
      </c>
      <c r="X295" s="124">
        <f t="shared" si="34"/>
        <v>71.730769230769226</v>
      </c>
      <c r="Y295" s="114" t="s">
        <v>910</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89"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1625</v>
      </c>
      <c r="B296" s="116">
        <v>31958</v>
      </c>
      <c r="C296" s="116">
        <v>2</v>
      </c>
      <c r="D296" s="114"/>
      <c r="E296" s="114"/>
      <c r="F296" s="114">
        <v>30</v>
      </c>
      <c r="G296" s="115">
        <v>19</v>
      </c>
      <c r="H296" s="115">
        <v>10</v>
      </c>
      <c r="I296" s="115"/>
      <c r="J296" s="114"/>
      <c r="K296" s="116"/>
      <c r="L296" s="114">
        <v>27</v>
      </c>
      <c r="M296" s="114"/>
      <c r="N296" s="114">
        <v>12</v>
      </c>
      <c r="O296" s="116"/>
      <c r="P296" s="114"/>
      <c r="Q296" s="114" t="s">
        <v>1032</v>
      </c>
      <c r="R296" s="114"/>
      <c r="S296" s="114" t="s">
        <v>676</v>
      </c>
      <c r="T296" s="115">
        <v>102</v>
      </c>
      <c r="U296" s="114">
        <v>191</v>
      </c>
      <c r="V296" s="155">
        <f t="shared" si="33"/>
        <v>146.5</v>
      </c>
      <c r="W296" s="155">
        <v>1.5</v>
      </c>
      <c r="X296" s="124">
        <f t="shared" si="34"/>
        <v>97.666666666666671</v>
      </c>
      <c r="Y296" s="114" t="s">
        <v>910</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89"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1032</v>
      </c>
      <c r="R297" s="114"/>
      <c r="S297" s="114" t="s">
        <v>676</v>
      </c>
      <c r="T297" s="115">
        <v>177</v>
      </c>
      <c r="U297" s="114">
        <v>330</v>
      </c>
      <c r="V297" s="155">
        <f t="shared" si="33"/>
        <v>253.5</v>
      </c>
      <c r="W297" s="155">
        <v>2.6</v>
      </c>
      <c r="X297" s="124">
        <f t="shared" si="34"/>
        <v>97.5</v>
      </c>
      <c r="Y297" s="114" t="s">
        <v>910</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89"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812</v>
      </c>
      <c r="B298" s="116">
        <v>29996</v>
      </c>
      <c r="C298" s="116">
        <v>2</v>
      </c>
      <c r="D298" s="114"/>
      <c r="E298" s="114"/>
      <c r="F298" s="114">
        <v>52</v>
      </c>
      <c r="G298" s="115"/>
      <c r="H298" s="115"/>
      <c r="I298" s="115"/>
      <c r="J298" s="114"/>
      <c r="K298" s="116"/>
      <c r="L298" s="114"/>
      <c r="M298" s="116"/>
      <c r="N298" s="114"/>
      <c r="O298" s="116"/>
      <c r="P298" s="114"/>
      <c r="Q298" s="114" t="s">
        <v>1032</v>
      </c>
      <c r="R298" s="114"/>
      <c r="S298" s="114" t="s">
        <v>679</v>
      </c>
      <c r="T298" s="114">
        <v>189</v>
      </c>
      <c r="U298" s="116">
        <v>352</v>
      </c>
      <c r="V298" s="155">
        <f t="shared" si="33"/>
        <v>270.5</v>
      </c>
      <c r="W298" s="155">
        <v>2.7</v>
      </c>
      <c r="X298" s="124">
        <f t="shared" si="34"/>
        <v>100.18518518518518</v>
      </c>
      <c r="Y298" s="115" t="s">
        <v>910</v>
      </c>
      <c r="Z298" s="114"/>
      <c r="AA298" s="114"/>
      <c r="AB298" s="114"/>
      <c r="AC298" s="10" t="s">
        <v>614</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89"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1032</v>
      </c>
      <c r="R299" s="114"/>
      <c r="S299" s="114" t="s">
        <v>684</v>
      </c>
      <c r="T299" s="114">
        <v>140</v>
      </c>
      <c r="U299" s="116">
        <v>261</v>
      </c>
      <c r="V299" s="155">
        <f t="shared" si="33"/>
        <v>200.5</v>
      </c>
      <c r="W299" s="155">
        <v>2.4</v>
      </c>
      <c r="X299" s="124">
        <f t="shared" si="34"/>
        <v>83.541666666666671</v>
      </c>
      <c r="Y299" s="114" t="s">
        <v>910</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89"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1626</v>
      </c>
      <c r="B300" s="116">
        <v>32943</v>
      </c>
      <c r="C300" s="116">
        <v>3</v>
      </c>
      <c r="D300" s="114"/>
      <c r="E300" s="114"/>
      <c r="F300" s="114">
        <v>40</v>
      </c>
      <c r="G300" s="115"/>
      <c r="H300" s="115">
        <v>19</v>
      </c>
      <c r="I300" s="115">
        <v>27</v>
      </c>
      <c r="J300" s="114"/>
      <c r="K300" s="116"/>
      <c r="L300" s="114"/>
      <c r="M300" s="116"/>
      <c r="N300" s="114"/>
      <c r="O300" s="116"/>
      <c r="P300" s="114"/>
      <c r="Q300" s="114" t="s">
        <v>1032</v>
      </c>
      <c r="R300" s="114"/>
      <c r="S300" s="114" t="s">
        <v>682</v>
      </c>
      <c r="T300" s="114">
        <v>105</v>
      </c>
      <c r="U300" s="116">
        <v>196</v>
      </c>
      <c r="V300" s="155">
        <f t="shared" si="33"/>
        <v>150.5</v>
      </c>
      <c r="W300" s="155">
        <v>1.5</v>
      </c>
      <c r="X300" s="124">
        <f t="shared" si="34"/>
        <v>100.33333333333333</v>
      </c>
      <c r="Y300" s="114" t="s">
        <v>910</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89"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528</v>
      </c>
      <c r="B301" s="116">
        <v>32262</v>
      </c>
      <c r="C301" s="116">
        <v>3</v>
      </c>
      <c r="D301" s="114"/>
      <c r="E301" s="114"/>
      <c r="F301" s="114">
        <v>50</v>
      </c>
      <c r="G301" s="115"/>
      <c r="H301" s="115"/>
      <c r="I301" s="846"/>
      <c r="J301" s="114"/>
      <c r="K301" s="116"/>
      <c r="L301" s="114"/>
      <c r="M301" s="116"/>
      <c r="N301" s="114"/>
      <c r="O301" s="116"/>
      <c r="P301" s="114"/>
      <c r="Q301" s="114" t="s">
        <v>1032</v>
      </c>
      <c r="R301" s="114"/>
      <c r="S301" s="114" t="s">
        <v>682</v>
      </c>
      <c r="T301" s="114">
        <v>196</v>
      </c>
      <c r="U301" s="116">
        <v>365</v>
      </c>
      <c r="V301" s="155">
        <f t="shared" si="33"/>
        <v>280.5</v>
      </c>
      <c r="W301" s="155">
        <v>2.8</v>
      </c>
      <c r="X301" s="124">
        <f t="shared" si="34"/>
        <v>100.17857142857143</v>
      </c>
      <c r="Y301" s="114" t="s">
        <v>910</v>
      </c>
      <c r="Z301" s="114"/>
      <c r="AA301" s="114"/>
      <c r="AB301" s="114"/>
      <c r="AC301" s="10" t="s">
        <v>615</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89"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1232</v>
      </c>
      <c r="B302" s="116">
        <v>32536</v>
      </c>
      <c r="C302" s="116">
        <v>3</v>
      </c>
      <c r="D302" s="114"/>
      <c r="E302" s="114">
        <v>14</v>
      </c>
      <c r="F302" s="114">
        <v>28</v>
      </c>
      <c r="G302" s="115"/>
      <c r="H302" s="115"/>
      <c r="I302" s="846"/>
      <c r="J302" s="114"/>
      <c r="K302" s="116"/>
      <c r="L302" s="114">
        <v>21</v>
      </c>
      <c r="M302" s="116"/>
      <c r="N302" s="114"/>
      <c r="O302" s="116"/>
      <c r="P302" s="114"/>
      <c r="Q302" s="114" t="s">
        <v>1032</v>
      </c>
      <c r="R302" s="114"/>
      <c r="S302" s="114" t="s">
        <v>674</v>
      </c>
      <c r="T302" s="114">
        <v>125</v>
      </c>
      <c r="U302" s="116">
        <v>233</v>
      </c>
      <c r="V302" s="155">
        <f t="shared" si="33"/>
        <v>179</v>
      </c>
      <c r="W302" s="155">
        <v>2.5</v>
      </c>
      <c r="X302" s="124">
        <f t="shared" si="34"/>
        <v>71.599999999999994</v>
      </c>
      <c r="Y302" s="114" t="s">
        <v>910</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89"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1233</v>
      </c>
      <c r="B303" s="116">
        <v>32536</v>
      </c>
      <c r="C303" s="116">
        <v>3</v>
      </c>
      <c r="D303" s="114">
        <v>14</v>
      </c>
      <c r="E303" s="114">
        <v>14</v>
      </c>
      <c r="F303" s="114"/>
      <c r="G303" s="115"/>
      <c r="H303" s="115"/>
      <c r="I303" s="846"/>
      <c r="J303" s="114"/>
      <c r="K303" s="116"/>
      <c r="L303" s="114">
        <v>21</v>
      </c>
      <c r="M303" s="116"/>
      <c r="N303" s="114"/>
      <c r="O303" s="116"/>
      <c r="P303" s="114"/>
      <c r="Q303" s="114" t="s">
        <v>1032</v>
      </c>
      <c r="R303" s="114"/>
      <c r="S303" s="114" t="s">
        <v>674</v>
      </c>
      <c r="T303" s="114">
        <v>125</v>
      </c>
      <c r="U303" s="116">
        <v>233</v>
      </c>
      <c r="V303" s="155">
        <f t="shared" si="33"/>
        <v>179</v>
      </c>
      <c r="W303" s="155">
        <v>2.5</v>
      </c>
      <c r="X303" s="124">
        <f t="shared" si="34"/>
        <v>71.599999999999994</v>
      </c>
      <c r="Y303" s="114" t="s">
        <v>910</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89"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1234</v>
      </c>
      <c r="B304" s="116">
        <v>32536</v>
      </c>
      <c r="C304" s="116">
        <v>3</v>
      </c>
      <c r="D304" s="114">
        <v>14</v>
      </c>
      <c r="E304" s="114"/>
      <c r="F304" s="114"/>
      <c r="G304" s="115"/>
      <c r="H304" s="115"/>
      <c r="I304" s="846"/>
      <c r="J304" s="114"/>
      <c r="K304" s="116"/>
      <c r="L304" s="114">
        <v>21</v>
      </c>
      <c r="M304" s="116"/>
      <c r="N304" s="114"/>
      <c r="O304" s="116">
        <v>14</v>
      </c>
      <c r="P304" s="114"/>
      <c r="Q304" s="114" t="s">
        <v>1032</v>
      </c>
      <c r="R304" s="114"/>
      <c r="S304" s="114" t="s">
        <v>674</v>
      </c>
      <c r="T304" s="114">
        <v>125</v>
      </c>
      <c r="U304" s="116">
        <v>233</v>
      </c>
      <c r="V304" s="155">
        <f t="shared" si="33"/>
        <v>179</v>
      </c>
      <c r="W304" s="155">
        <v>2.5</v>
      </c>
      <c r="X304" s="124">
        <f t="shared" si="34"/>
        <v>71.599999999999994</v>
      </c>
      <c r="Y304" s="114" t="s">
        <v>910</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89"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1235</v>
      </c>
      <c r="B305" s="116">
        <v>32536</v>
      </c>
      <c r="C305" s="116">
        <v>3</v>
      </c>
      <c r="D305" s="114">
        <v>14</v>
      </c>
      <c r="E305" s="114"/>
      <c r="F305" s="114"/>
      <c r="G305" s="115">
        <v>14</v>
      </c>
      <c r="H305" s="115"/>
      <c r="I305" s="846"/>
      <c r="J305" s="114"/>
      <c r="K305" s="116"/>
      <c r="L305" s="114">
        <v>21</v>
      </c>
      <c r="M305" s="116"/>
      <c r="N305" s="114"/>
      <c r="O305" s="116"/>
      <c r="P305" s="114"/>
      <c r="Q305" s="114" t="s">
        <v>1032</v>
      </c>
      <c r="R305" s="114"/>
      <c r="S305" s="114" t="s">
        <v>674</v>
      </c>
      <c r="T305" s="114">
        <v>125</v>
      </c>
      <c r="U305" s="116">
        <v>233</v>
      </c>
      <c r="V305" s="155">
        <f t="shared" si="33"/>
        <v>179</v>
      </c>
      <c r="W305" s="155">
        <v>2.5</v>
      </c>
      <c r="X305" s="124">
        <f t="shared" si="34"/>
        <v>71.599999999999994</v>
      </c>
      <c r="Y305" s="114" t="s">
        <v>910</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89"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1032</v>
      </c>
      <c r="R306" s="114"/>
      <c r="S306" s="114" t="s">
        <v>672</v>
      </c>
      <c r="T306" s="114">
        <v>100</v>
      </c>
      <c r="U306" s="116">
        <v>187</v>
      </c>
      <c r="V306" s="155">
        <f t="shared" si="33"/>
        <v>143.5</v>
      </c>
      <c r="W306" s="155">
        <v>2</v>
      </c>
      <c r="X306" s="124">
        <f t="shared" si="34"/>
        <v>71.75</v>
      </c>
      <c r="Y306" s="114" t="s">
        <v>910</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89"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1032</v>
      </c>
      <c r="R307" s="114"/>
      <c r="S307" s="114" t="s">
        <v>690</v>
      </c>
      <c r="T307" s="114">
        <v>90</v>
      </c>
      <c r="U307" s="116">
        <v>168</v>
      </c>
      <c r="V307" s="155">
        <f t="shared" si="33"/>
        <v>129</v>
      </c>
      <c r="W307" s="155">
        <v>1.8</v>
      </c>
      <c r="X307" s="124">
        <f t="shared" si="34"/>
        <v>71.666666666666671</v>
      </c>
      <c r="Y307" s="114" t="s">
        <v>910</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89"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1762</v>
      </c>
      <c r="B308" s="116">
        <v>33662</v>
      </c>
      <c r="C308" s="116">
        <v>3</v>
      </c>
      <c r="D308" s="114"/>
      <c r="E308" s="114"/>
      <c r="F308" s="114">
        <v>34</v>
      </c>
      <c r="G308" s="115">
        <v>21</v>
      </c>
      <c r="H308" s="115">
        <v>8</v>
      </c>
      <c r="I308" s="846"/>
      <c r="J308" s="114">
        <v>49</v>
      </c>
      <c r="K308" s="116"/>
      <c r="L308" s="114">
        <v>30</v>
      </c>
      <c r="M308" s="116"/>
      <c r="N308" s="114">
        <v>12</v>
      </c>
      <c r="O308" s="116"/>
      <c r="P308" s="114"/>
      <c r="Q308" s="114" t="s">
        <v>1032</v>
      </c>
      <c r="R308" s="114"/>
      <c r="S308" s="114" t="s">
        <v>676</v>
      </c>
      <c r="T308" s="114">
        <v>108</v>
      </c>
      <c r="U308" s="116">
        <v>201</v>
      </c>
      <c r="V308" s="155">
        <f t="shared" si="33"/>
        <v>154.5</v>
      </c>
      <c r="W308" s="155">
        <v>1.5</v>
      </c>
      <c r="X308" s="124">
        <f t="shared" si="34"/>
        <v>103</v>
      </c>
      <c r="Y308" s="114" t="s">
        <v>910</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89"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1765</v>
      </c>
      <c r="B309" s="116">
        <v>33733</v>
      </c>
      <c r="C309" s="116">
        <v>3</v>
      </c>
      <c r="D309" s="114"/>
      <c r="E309" s="114"/>
      <c r="F309" s="114">
        <v>34</v>
      </c>
      <c r="G309" s="115">
        <v>21</v>
      </c>
      <c r="H309" s="115">
        <v>8</v>
      </c>
      <c r="I309" s="846"/>
      <c r="J309" s="114">
        <v>49</v>
      </c>
      <c r="K309" s="116"/>
      <c r="L309" s="114">
        <v>30</v>
      </c>
      <c r="M309" s="116"/>
      <c r="N309" s="114">
        <v>12</v>
      </c>
      <c r="O309" s="116"/>
      <c r="P309" s="114"/>
      <c r="Q309" s="114" t="s">
        <v>1032</v>
      </c>
      <c r="R309" s="114"/>
      <c r="S309" s="114" t="s">
        <v>676</v>
      </c>
      <c r="T309" s="114">
        <v>187</v>
      </c>
      <c r="U309" s="116">
        <v>349</v>
      </c>
      <c r="V309" s="155">
        <f>(U309+T309)/2</f>
        <v>268</v>
      </c>
      <c r="W309" s="155">
        <v>2.6</v>
      </c>
      <c r="X309" s="124">
        <f>V309/W309</f>
        <v>103.07692307692308</v>
      </c>
      <c r="Y309" s="114" t="s">
        <v>910</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89"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910</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607</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3127</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3128</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3129</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3130</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3131</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workbookViewId="0"/>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2795</v>
      </c>
      <c r="C1" s="800" t="s">
        <v>1213</v>
      </c>
      <c r="D1" s="800" t="s">
        <v>1214</v>
      </c>
      <c r="E1" s="800" t="s">
        <v>1215</v>
      </c>
      <c r="F1" s="800" t="s">
        <v>2139</v>
      </c>
      <c r="G1" s="800" t="s">
        <v>2138</v>
      </c>
      <c r="H1" s="800" t="s">
        <v>767</v>
      </c>
      <c r="I1" s="800" t="s">
        <v>1218</v>
      </c>
      <c r="J1" s="800" t="s">
        <v>770</v>
      </c>
      <c r="K1" s="800" t="s">
        <v>1221</v>
      </c>
      <c r="L1" s="800" t="s">
        <v>1222</v>
      </c>
      <c r="M1" s="800" t="s">
        <v>1704</v>
      </c>
      <c r="N1" s="800" t="s">
        <v>1933</v>
      </c>
      <c r="O1" s="800" t="s">
        <v>1224</v>
      </c>
      <c r="P1" s="800" t="s">
        <v>1225</v>
      </c>
      <c r="Q1" s="800" t="s">
        <v>147</v>
      </c>
      <c r="R1" s="800">
        <v>0</v>
      </c>
      <c r="S1" s="801"/>
      <c r="T1" s="802" t="s">
        <v>1688</v>
      </c>
      <c r="U1" s="133"/>
      <c r="V1" s="6"/>
      <c r="W1" s="48"/>
      <c r="X1" s="48" t="s">
        <v>1537</v>
      </c>
      <c r="Y1" s="48"/>
      <c r="Z1" s="47" t="s">
        <v>1315</v>
      </c>
      <c r="AA1" s="48" t="s">
        <v>1965</v>
      </c>
      <c r="AB1" s="48" t="s">
        <v>1966</v>
      </c>
      <c r="AC1" s="48" t="s">
        <v>1967</v>
      </c>
      <c r="AD1" s="48" t="s">
        <v>1968</v>
      </c>
      <c r="AE1" s="48" t="s">
        <v>1969</v>
      </c>
      <c r="AF1" s="48" t="s">
        <v>1970</v>
      </c>
      <c r="AG1" s="48" t="s">
        <v>1971</v>
      </c>
      <c r="AH1" s="48" t="s">
        <v>1972</v>
      </c>
      <c r="AI1" s="6">
        <v>1</v>
      </c>
      <c r="AJ1" s="6">
        <v>2</v>
      </c>
      <c r="AK1" s="6">
        <v>3</v>
      </c>
      <c r="AL1" s="6">
        <v>4</v>
      </c>
      <c r="AM1" s="6">
        <v>5</v>
      </c>
    </row>
    <row r="2" spans="1:39" ht="11.25" customHeight="1">
      <c r="A2" s="10" t="s">
        <v>2206</v>
      </c>
      <c r="B2" s="114"/>
      <c r="C2" s="114"/>
      <c r="D2" s="114"/>
      <c r="E2" s="114"/>
      <c r="F2" s="115"/>
      <c r="G2" s="115"/>
      <c r="H2" s="114"/>
      <c r="I2" s="114"/>
      <c r="J2" s="116"/>
      <c r="K2" s="768"/>
      <c r="L2" s="768"/>
      <c r="M2" s="785"/>
      <c r="N2" s="786"/>
      <c r="O2" s="114" t="s">
        <v>1973</v>
      </c>
      <c r="P2" s="124"/>
      <c r="Q2" s="792"/>
      <c r="R2" s="791"/>
      <c r="S2" s="750"/>
      <c r="T2" s="713" t="str">
        <f>" "</f>
        <v xml:space="preserve"> </v>
      </c>
      <c r="U2" s="124"/>
      <c r="W2" s="6" t="s">
        <v>1650</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1974</v>
      </c>
      <c r="B3" s="114">
        <v>1</v>
      </c>
      <c r="C3" s="114"/>
      <c r="D3" s="114">
        <v>15</v>
      </c>
      <c r="E3" s="114"/>
      <c r="F3" s="115"/>
      <c r="G3" s="115"/>
      <c r="H3" s="114"/>
      <c r="I3" s="114"/>
      <c r="J3" s="116"/>
      <c r="K3" s="768"/>
      <c r="L3" s="768"/>
      <c r="M3" s="785"/>
      <c r="N3" s="786">
        <v>2564</v>
      </c>
      <c r="O3" s="114" t="s">
        <v>1973</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1272</v>
      </c>
      <c r="X3" s="48">
        <f>VLOOKUP('Gear &amp; Buffs'!$B$12,MHTempEnchantStats,17,FALSE)</f>
        <v>0</v>
      </c>
      <c r="Y3" s="48"/>
      <c r="Z3" s="48"/>
      <c r="AA3" s="141" t="s">
        <v>1975</v>
      </c>
      <c r="AB3" s="140"/>
      <c r="AC3" s="48"/>
      <c r="AD3" s="140"/>
      <c r="AE3" s="6"/>
      <c r="AF3" s="6"/>
      <c r="AG3" s="6"/>
      <c r="AH3" s="6"/>
      <c r="AI3" s="6"/>
      <c r="AJ3" s="6"/>
      <c r="AK3" s="6"/>
      <c r="AL3" s="6"/>
      <c r="AM3" s="6"/>
    </row>
    <row r="4" spans="1:39" ht="11.25" customHeight="1">
      <c r="A4" s="10" t="s">
        <v>1976</v>
      </c>
      <c r="B4" s="114">
        <v>1</v>
      </c>
      <c r="C4" s="124">
        <f>(100-IF(CharLevel&gt;60,(CharLevel-60)*4,0))*enCrMHup</f>
        <v>33.876973758418337</v>
      </c>
      <c r="D4" s="114"/>
      <c r="E4" s="114"/>
      <c r="F4" s="115"/>
      <c r="G4" s="115"/>
      <c r="H4" s="114"/>
      <c r="I4" s="114"/>
      <c r="J4" s="116"/>
      <c r="K4" s="768"/>
      <c r="L4" s="768"/>
      <c r="M4" s="785"/>
      <c r="N4" s="786">
        <v>1900</v>
      </c>
      <c r="O4" s="114" t="s">
        <v>1973</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1275</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2840</v>
      </c>
      <c r="B5" s="114">
        <v>1</v>
      </c>
      <c r="C5" s="124"/>
      <c r="D5" s="114"/>
      <c r="E5" s="114"/>
      <c r="F5" s="115"/>
      <c r="G5" s="115"/>
      <c r="H5" s="114"/>
      <c r="I5" s="114"/>
      <c r="J5" s="116"/>
      <c r="K5" s="768"/>
      <c r="L5" s="768"/>
      <c r="M5" s="785"/>
      <c r="N5" s="786">
        <v>912</v>
      </c>
      <c r="O5" s="114" t="s">
        <v>1973</v>
      </c>
      <c r="P5" s="124"/>
      <c r="Q5" s="793">
        <f>'Damage Calc'!I48*'Damage Calc'!L48*6*$AA$2*100</f>
        <v>27.818134119832962</v>
      </c>
      <c r="R5" s="116">
        <f>IF(OR(IF(includep1,$B5&lt;=1), IF(includep2,$B5&lt;=2), IF(includep3,$B5&lt;=3), IF(includep4,$B5&lt;=4), IF(includep5,$B5&lt;=5)),MAX($R$1:R4)+1,"")</f>
        <v>3</v>
      </c>
      <c r="S5" s="750">
        <v>3</v>
      </c>
      <c r="T5" s="713" t="str">
        <f t="shared" si="0"/>
        <v>Demonslaying</v>
      </c>
      <c r="U5" s="124"/>
      <c r="W5" s="6" t="s">
        <v>1278</v>
      </c>
      <c r="X5" s="1345">
        <f>VLOOKUP('Gear &amp; Buffs'!$B$18,OHTempEnchantStats,17,FALSE)</f>
        <v>77.558933726510688</v>
      </c>
      <c r="Y5" s="48"/>
      <c r="Z5" s="48"/>
      <c r="AA5" s="141"/>
      <c r="AB5" s="141"/>
      <c r="AC5" s="48"/>
      <c r="AD5" s="48"/>
      <c r="AE5" s="6"/>
      <c r="AF5" s="6"/>
      <c r="AG5" s="6"/>
      <c r="AH5" s="6"/>
      <c r="AI5" s="6"/>
      <c r="AJ5" s="6"/>
      <c r="AK5" s="6"/>
      <c r="AL5" s="6"/>
      <c r="AM5" s="6"/>
    </row>
    <row r="6" spans="1:39" ht="11.25" customHeight="1">
      <c r="A6" s="10" t="s">
        <v>1664</v>
      </c>
      <c r="B6" s="114">
        <v>4</v>
      </c>
      <c r="C6" s="114"/>
      <c r="D6" s="114"/>
      <c r="E6" s="114"/>
      <c r="F6" s="115"/>
      <c r="G6" s="115"/>
      <c r="H6" s="114"/>
      <c r="I6" s="124">
        <f>840*IF('Gear &amp; Buffs'!B17="Executioner",enExBHup,enExMHup)</f>
        <v>474.27763261785674</v>
      </c>
      <c r="J6" s="116"/>
      <c r="K6" s="768"/>
      <c r="L6" s="768"/>
      <c r="M6" s="785"/>
      <c r="N6" s="786">
        <v>3225</v>
      </c>
      <c r="O6" s="114" t="s">
        <v>1973</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1977</v>
      </c>
      <c r="B7" s="114">
        <v>1</v>
      </c>
      <c r="C7" s="114"/>
      <c r="D7" s="114"/>
      <c r="E7" s="114"/>
      <c r="F7" s="115"/>
      <c r="G7" s="115"/>
      <c r="H7" s="114"/>
      <c r="I7" s="114"/>
      <c r="J7" s="116"/>
      <c r="K7" s="768"/>
      <c r="L7" s="768"/>
      <c r="M7" s="785"/>
      <c r="N7" s="786">
        <v>803</v>
      </c>
      <c r="O7" s="114" t="s">
        <v>1973</v>
      </c>
      <c r="P7" s="124"/>
      <c r="Q7" s="793">
        <f>'Damage Calc'!I48*'Damage Calc'!L48*6*$AA$2*40*(1+(0.01*miseryimp)*misery)*IF(CoE,1.25,1)</f>
        <v>14.604520412912304</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1468</v>
      </c>
      <c r="B8" s="114">
        <v>1</v>
      </c>
      <c r="C8" s="114"/>
      <c r="D8" s="114">
        <v>20</v>
      </c>
      <c r="E8" s="114"/>
      <c r="F8" s="115"/>
      <c r="G8" s="115"/>
      <c r="H8" s="114"/>
      <c r="I8" s="114"/>
      <c r="J8" s="116"/>
      <c r="K8" s="768"/>
      <c r="L8" s="768"/>
      <c r="M8" s="785"/>
      <c r="N8" s="786">
        <v>3222</v>
      </c>
      <c r="O8" s="114" t="s">
        <v>1973</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1638</v>
      </c>
      <c r="B9" s="114">
        <v>1</v>
      </c>
      <c r="C9" s="114"/>
      <c r="D9" s="114"/>
      <c r="E9" s="114"/>
      <c r="F9" s="115"/>
      <c r="G9" s="115"/>
      <c r="H9" s="114"/>
      <c r="I9" s="114"/>
      <c r="J9" s="116"/>
      <c r="K9" s="768"/>
      <c r="L9" s="768"/>
      <c r="M9" s="785"/>
      <c r="N9" s="786">
        <v>1898</v>
      </c>
      <c r="O9" s="114" t="s">
        <v>1973</v>
      </c>
      <c r="P9" s="124"/>
      <c r="Q9" s="793">
        <f>'Damage Calc'!I48*'Damage Calc'!L48*6*$AA$2*19*IF(SW,1.1,1)*(1+(0.01*miseryimp)*misery)</f>
        <v>6.1046895325973436</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1639</v>
      </c>
      <c r="B10" s="114">
        <v>2</v>
      </c>
      <c r="C10" s="114"/>
      <c r="D10" s="114"/>
      <c r="E10" s="114"/>
      <c r="F10" s="115"/>
      <c r="G10" s="115"/>
      <c r="H10" s="114"/>
      <c r="I10" s="114"/>
      <c r="J10" s="116"/>
      <c r="K10" s="768">
        <v>7</v>
      </c>
      <c r="L10" s="768">
        <v>7</v>
      </c>
      <c r="M10" s="785">
        <v>7</v>
      </c>
      <c r="N10" s="786">
        <v>963</v>
      </c>
      <c r="O10" s="114" t="s">
        <v>1973</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1228</v>
      </c>
      <c r="B11" s="114">
        <v>1</v>
      </c>
      <c r="C11" s="21"/>
      <c r="D11" s="789">
        <f>120*enMnMHup</f>
        <v>67.753947516836675</v>
      </c>
      <c r="E11" s="21"/>
      <c r="F11" s="21"/>
      <c r="G11" s="21"/>
      <c r="H11" s="21"/>
      <c r="I11" s="21"/>
      <c r="J11" s="789">
        <f>2*hasterate*enMnMHup</f>
        <v>17.807127231989124</v>
      </c>
      <c r="K11" s="768"/>
      <c r="L11" s="768"/>
      <c r="M11" s="768"/>
      <c r="N11" s="786">
        <v>2673</v>
      </c>
      <c r="O11" s="114" t="s">
        <v>1973</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2839</v>
      </c>
      <c r="B12" s="114">
        <v>1</v>
      </c>
      <c r="C12" s="21"/>
      <c r="D12" s="789"/>
      <c r="E12" s="21"/>
      <c r="F12" s="21"/>
      <c r="G12" s="21"/>
      <c r="H12" s="21"/>
      <c r="I12" s="21"/>
      <c r="J12" s="789"/>
      <c r="K12" s="768">
        <v>5</v>
      </c>
      <c r="L12" s="768">
        <v>5</v>
      </c>
      <c r="M12" s="768">
        <v>5</v>
      </c>
      <c r="N12" s="786">
        <v>1897</v>
      </c>
      <c r="O12" s="114" t="s">
        <v>1973</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3104</v>
      </c>
      <c r="W13" s="48"/>
      <c r="X13" s="48"/>
      <c r="Y13" s="48"/>
      <c r="Z13" s="48"/>
      <c r="AA13" s="6"/>
      <c r="AB13" s="795" t="s">
        <v>1640</v>
      </c>
      <c r="AC13" s="796">
        <f>AC14*12</f>
        <v>13.397746339819724</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1287</v>
      </c>
      <c r="W14" s="48"/>
      <c r="X14" s="48"/>
      <c r="Y14" s="6"/>
      <c r="Z14" s="6"/>
      <c r="AA14" s="48"/>
      <c r="AB14" s="795" t="s">
        <v>1641</v>
      </c>
      <c r="AC14" s="797">
        <f>IF(mhtemp="deadly poison VII",'Damage Calc'!K48,0)+IF(ohtemp="deadly poison VII",'Damage Calc'!K49,0)</f>
        <v>1.1164788616516437</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3105</v>
      </c>
      <c r="W15" s="145">
        <f>bMHthit</f>
        <v>0.97956097560975608</v>
      </c>
      <c r="X15" s="145"/>
      <c r="Y15" s="48"/>
      <c r="Z15" s="149"/>
      <c r="AA15" s="6"/>
      <c r="AB15" s="795" t="s">
        <v>1642</v>
      </c>
      <c r="AC15" s="798">
        <f>$AB$2*($AA$2+mpsn)</f>
        <v>0.24899999999999997</v>
      </c>
      <c r="AD15" s="798"/>
      <c r="AE15" s="6"/>
      <c r="AF15" s="6"/>
      <c r="AG15" s="6"/>
    </row>
    <row r="16" spans="1:39" ht="11.25" customHeight="1" thickBot="1">
      <c r="A16" s="799" t="s">
        <v>1644</v>
      </c>
      <c r="B16" s="800" t="s">
        <v>2795</v>
      </c>
      <c r="C16" s="800" t="s">
        <v>1213</v>
      </c>
      <c r="D16" s="800" t="s">
        <v>1214</v>
      </c>
      <c r="E16" s="800" t="s">
        <v>1215</v>
      </c>
      <c r="F16" s="800" t="s">
        <v>2139</v>
      </c>
      <c r="G16" s="800" t="s">
        <v>2138</v>
      </c>
      <c r="H16" s="800" t="s">
        <v>767</v>
      </c>
      <c r="I16" s="800" t="s">
        <v>1218</v>
      </c>
      <c r="J16" s="800" t="s">
        <v>1016</v>
      </c>
      <c r="K16" s="800" t="s">
        <v>1221</v>
      </c>
      <c r="L16" s="800" t="s">
        <v>1222</v>
      </c>
      <c r="M16" s="800" t="s">
        <v>1704</v>
      </c>
      <c r="N16" s="800" t="s">
        <v>146</v>
      </c>
      <c r="O16" s="800" t="s">
        <v>1224</v>
      </c>
      <c r="P16" s="800" t="s">
        <v>1225</v>
      </c>
      <c r="Q16" s="800" t="s">
        <v>147</v>
      </c>
      <c r="R16" s="800">
        <v>0</v>
      </c>
      <c r="S16" s="801"/>
      <c r="T16" s="802" t="s">
        <v>1688</v>
      </c>
      <c r="U16" s="124"/>
      <c r="V16" s="6" t="s">
        <v>1187</v>
      </c>
      <c r="W16" s="145">
        <f>bMHcrit</f>
        <v>0.22111169225206101</v>
      </c>
      <c r="X16" s="145"/>
      <c r="Y16" s="48"/>
      <c r="Z16" s="48"/>
      <c r="AA16" s="48"/>
      <c r="AB16" s="795" t="s">
        <v>1643</v>
      </c>
      <c r="AC16" s="796">
        <f>IF(AC13*AC15&gt;0,AC13*AC15,1)</f>
        <v>3.336038838615111</v>
      </c>
      <c r="AD16" s="796"/>
      <c r="AE16" s="6"/>
      <c r="AF16" s="6"/>
      <c r="AG16" s="6"/>
    </row>
    <row r="17" spans="1:39" ht="11.25" customHeight="1">
      <c r="A17" s="10" t="s">
        <v>2206</v>
      </c>
      <c r="B17" s="114"/>
      <c r="C17" s="114"/>
      <c r="D17" s="114"/>
      <c r="E17" s="114"/>
      <c r="F17" s="115"/>
      <c r="G17" s="115"/>
      <c r="H17" s="114"/>
      <c r="I17" s="114"/>
      <c r="J17" s="116"/>
      <c r="K17" s="768"/>
      <c r="L17" s="768"/>
      <c r="M17" s="785"/>
      <c r="N17" s="786"/>
      <c r="O17" s="114" t="s">
        <v>1973</v>
      </c>
      <c r="P17" s="124"/>
      <c r="Q17" s="792"/>
      <c r="R17" s="791"/>
      <c r="S17" s="748"/>
      <c r="T17" s="712" t="str">
        <f>" "</f>
        <v xml:space="preserve"> </v>
      </c>
      <c r="U17" s="124"/>
      <c r="V17" s="6" t="s">
        <v>1185</v>
      </c>
      <c r="W17" s="145">
        <f>bMHhit</f>
        <v>0.51844928335769502</v>
      </c>
      <c r="X17" s="145"/>
      <c r="Y17" s="48"/>
      <c r="Z17" s="48"/>
      <c r="AA17" s="6"/>
      <c r="AB17" s="48"/>
      <c r="AC17" s="48"/>
      <c r="AD17" s="48"/>
      <c r="AE17" s="6"/>
      <c r="AF17" s="6"/>
      <c r="AG17" s="6"/>
    </row>
    <row r="18" spans="1:39" ht="11.25" customHeight="1">
      <c r="A18" s="10" t="s">
        <v>1285</v>
      </c>
      <c r="B18" s="114">
        <v>1</v>
      </c>
      <c r="C18" s="114"/>
      <c r="D18" s="114"/>
      <c r="E18" s="114"/>
      <c r="F18" s="115">
        <v>14</v>
      </c>
      <c r="G18" s="115"/>
      <c r="H18" s="114"/>
      <c r="I18" s="114"/>
      <c r="J18" s="116"/>
      <c r="K18" s="768">
        <v>12</v>
      </c>
      <c r="L18" s="768">
        <v>12</v>
      </c>
      <c r="M18" s="785">
        <v>12</v>
      </c>
      <c r="N18" s="786"/>
      <c r="O18" s="114" t="s">
        <v>1973</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1102</v>
      </c>
      <c r="W18" s="145">
        <f>bMHglan</f>
        <v>0.24</v>
      </c>
      <c r="X18" s="48"/>
      <c r="Y18" s="48"/>
      <c r="Z18" s="149"/>
      <c r="AA18" s="48"/>
      <c r="AB18" s="48"/>
      <c r="AC18" s="6" t="s">
        <v>1645</v>
      </c>
      <c r="AD18" s="147"/>
      <c r="AE18" s="6"/>
      <c r="AF18" s="6"/>
      <c r="AG18" s="6"/>
    </row>
    <row r="19" spans="1:39" ht="11.25" customHeight="1">
      <c r="A19" s="10" t="s">
        <v>1649</v>
      </c>
      <c r="B19" s="114">
        <v>1</v>
      </c>
      <c r="C19" s="114"/>
      <c r="D19" s="114"/>
      <c r="E19" s="114"/>
      <c r="F19" s="115"/>
      <c r="G19" s="115"/>
      <c r="H19" s="114"/>
      <c r="I19" s="114"/>
      <c r="J19" s="116"/>
      <c r="K19" s="768"/>
      <c r="L19" s="768"/>
      <c r="M19" s="785"/>
      <c r="N19" s="786"/>
      <c r="O19" s="114" t="s">
        <v>1973</v>
      </c>
      <c r="P19" s="124"/>
      <c r="Q19" s="793">
        <f>IF(Talents!$O$18="Yes",'Damage Calc'!K48*($AA$2+mpsn)*$AD$2*$AF$2*(Talents!$C$23*0.04+1)*(1+(0.01*miseryimp)*misery)*(1+(thunderfury*thunderfurydps)),0)</f>
        <v>38.502009507025427</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1263</v>
      </c>
      <c r="W19" s="145">
        <f>bMHgfact</f>
        <v>0.75</v>
      </c>
      <c r="X19" s="48" t="s">
        <v>91</v>
      </c>
      <c r="Y19" s="48" t="s">
        <v>92</v>
      </c>
      <c r="Z19" s="48" t="s">
        <v>93</v>
      </c>
      <c r="AA19" s="48"/>
      <c r="AB19" s="6"/>
      <c r="AC19" s="6" t="s">
        <v>1025</v>
      </c>
      <c r="AD19" s="6" t="s">
        <v>1646</v>
      </c>
      <c r="AE19" s="6" t="s">
        <v>1647</v>
      </c>
      <c r="AF19" s="6" t="s">
        <v>1648</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1973</v>
      </c>
      <c r="P20" s="124"/>
      <c r="Q20" s="793"/>
      <c r="R20" s="116">
        <f>IF(OR(IF(includep1,$B20&lt;=1), IF(includep2,$B20&lt;=2), IF(includep3,$B20&lt;=3), IF(includep4,$B20&lt;=4), IF(includep5,$B20&lt;=5)),MAX($R$16:R19)+1,"")</f>
        <v>3</v>
      </c>
      <c r="S20" s="750">
        <v>3</v>
      </c>
      <c r="T20" s="713" t="str">
        <f t="shared" si="1"/>
        <v>Consecrated Sharpening Stone</v>
      </c>
      <c r="U20" s="124"/>
      <c r="V20" s="48" t="s">
        <v>1264</v>
      </c>
      <c r="W20" s="1345">
        <f>bfWFea</f>
        <v>0.15313810351325544</v>
      </c>
      <c r="X20" s="1345">
        <f>SUM('Damage Calc'!F5:F7)*bfWFea</f>
        <v>0.17454294295415593</v>
      </c>
      <c r="Y20" s="1345">
        <f>instsec*bfWFea</f>
        <v>4.7299592110256798E-2</v>
      </c>
      <c r="Z20" s="48" t="s">
        <v>95</v>
      </c>
      <c r="AA20" s="48"/>
      <c r="AB20" s="148" t="s">
        <v>1651</v>
      </c>
      <c r="AC20" s="6">
        <f>12/AC16</f>
        <v>3.5970804239741878</v>
      </c>
      <c r="AD20" s="48">
        <v>1</v>
      </c>
      <c r="AE20" s="6">
        <v>0</v>
      </c>
      <c r="AF20" s="6">
        <v>0</v>
      </c>
      <c r="AG20" s="6">
        <v>0</v>
      </c>
    </row>
    <row r="21" spans="1:39" ht="11.25" customHeight="1">
      <c r="A21" s="10" t="s">
        <v>2205</v>
      </c>
      <c r="B21" s="114">
        <v>1</v>
      </c>
      <c r="C21" s="114"/>
      <c r="D21" s="114"/>
      <c r="E21" s="114"/>
      <c r="F21" s="115"/>
      <c r="G21" s="115"/>
      <c r="H21" s="114"/>
      <c r="I21" s="114"/>
      <c r="J21" s="116"/>
      <c r="K21" s="768"/>
      <c r="L21" s="768"/>
      <c r="M21" s="785"/>
      <c r="N21" s="786"/>
      <c r="O21" s="114" t="s">
        <v>1973</v>
      </c>
      <c r="P21" s="124"/>
      <c r="Q21" s="793">
        <f>IF(Talents!$O$18="Yes",($AD$28*$AC$2/12*(Talents!$C$23*0.04+1)*(1+(0.01*miseryimp)*misery)*(1+(thunderfury*thunderfurydps)))-lostdp,0)</f>
        <v>77.558933726510688</v>
      </c>
      <c r="R21" s="116">
        <f>IF(OR(IF(includep1,$B21&lt;=1), IF(includep2,$B21&lt;=2), IF(includep3,$B21&lt;=3), IF(includep4,$B21&lt;=4), IF(includep5,$B21&lt;=5)),MAX($R$16:R20)+1,"")</f>
        <v>4</v>
      </c>
      <c r="S21" s="750">
        <v>4</v>
      </c>
      <c r="T21" s="713" t="str">
        <f t="shared" si="1"/>
        <v>Deadly Poison VII</v>
      </c>
      <c r="U21" s="124"/>
      <c r="V21" s="145" t="s">
        <v>3108</v>
      </c>
      <c r="W21" s="1345">
        <f>445*(1+15%*bfWFtl)/14*bMHspd*(W17+W18*W19+W16*bMHcfact)</f>
        <v>123.97430039356702</v>
      </c>
      <c r="X21" s="1345">
        <f>445*(1+15%*bfWFtl)/14*bOHspd*(W17+W18*W19+W16*bOHcfact)*bOHdamfac</f>
        <v>50.066544389709762</v>
      </c>
      <c r="Y21" s="1345">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147.08846114176649</v>
      </c>
      <c r="Z21" s="48" t="s">
        <v>95</v>
      </c>
      <c r="AA21" s="48"/>
      <c r="AB21" s="131" t="s">
        <v>1273</v>
      </c>
      <c r="AC21" s="6">
        <f>12/(1+AC16/(1-EXP(-AC16)))</f>
        <v>2.6911226696331791</v>
      </c>
      <c r="AD21" s="48">
        <f>1-EXP(-AC13*AC15)</f>
        <v>0.96442239238532301</v>
      </c>
      <c r="AE21" s="6">
        <v>12</v>
      </c>
      <c r="AF21" s="6">
        <f>AD20-AD21</f>
        <v>3.5577607614676987E-2</v>
      </c>
      <c r="AG21" s="6">
        <v>1</v>
      </c>
    </row>
    <row r="22" spans="1:39" ht="11.25" customHeight="1">
      <c r="A22" s="10" t="s">
        <v>2838</v>
      </c>
      <c r="B22" s="114">
        <v>1</v>
      </c>
      <c r="C22" s="114"/>
      <c r="D22" s="114"/>
      <c r="E22" s="114"/>
      <c r="F22" s="115"/>
      <c r="G22" s="115"/>
      <c r="H22" s="114"/>
      <c r="I22" s="114"/>
      <c r="J22" s="116"/>
      <c r="K22" s="768">
        <v>8</v>
      </c>
      <c r="L22" s="768">
        <v>8</v>
      </c>
      <c r="M22" s="785">
        <v>8</v>
      </c>
      <c r="N22" s="786"/>
      <c r="O22" s="114" t="s">
        <v>1973</v>
      </c>
      <c r="P22" s="124"/>
      <c r="Q22" s="793"/>
      <c r="R22" s="116">
        <f>IF(OR(IF(includep1,$B22&lt;=1), IF(includep2,$B22&lt;=2), IF(includep3,$B22&lt;=3), IF(includep4,$B22&lt;=4), IF(includep5,$B22&lt;=5)),MAX($R$16:R21)+1,"")</f>
        <v>5</v>
      </c>
      <c r="S22" s="750">
        <v>5</v>
      </c>
      <c r="T22" s="713" t="str">
        <f t="shared" si="1"/>
        <v>Dense Sharpening Stone</v>
      </c>
      <c r="U22" s="124"/>
      <c r="V22" s="145" t="s">
        <v>2252</v>
      </c>
      <c r="W22" s="1345">
        <f>W21*W20*armor*bGlobDam+X21*X20*armor*bGlobDam+Y21*Y20*armor*bGlobDam</f>
        <v>27.290231355562383</v>
      </c>
      <c r="X22" s="48" t="s">
        <v>3106</v>
      </c>
      <c r="Y22" s="48"/>
      <c r="Z22" s="48"/>
      <c r="AA22" s="48"/>
      <c r="AB22" s="131" t="s">
        <v>1276</v>
      </c>
      <c r="AC22" s="6">
        <f>12/(1+AC16/(1-EXP(-AC16)))</f>
        <v>2.6911226696331791</v>
      </c>
      <c r="AD22" s="48">
        <f>(1-EXP(-AC13*AC15))^2</f>
        <v>0.9301105509342299</v>
      </c>
      <c r="AE22" s="6">
        <v>12</v>
      </c>
      <c r="AF22" s="6">
        <f>AD21-AD22</f>
        <v>3.4311841451093117E-2</v>
      </c>
      <c r="AG22" s="6">
        <v>2</v>
      </c>
    </row>
    <row r="23" spans="1:39" ht="11.25" customHeight="1">
      <c r="A23" s="10" t="s">
        <v>1280</v>
      </c>
      <c r="B23" s="114">
        <v>1</v>
      </c>
      <c r="C23" s="114"/>
      <c r="D23" s="114"/>
      <c r="E23" s="114"/>
      <c r="F23" s="115">
        <v>28</v>
      </c>
      <c r="G23" s="115"/>
      <c r="H23" s="114"/>
      <c r="I23" s="114"/>
      <c r="J23" s="116"/>
      <c r="K23" s="768"/>
      <c r="L23" s="768"/>
      <c r="M23" s="785"/>
      <c r="N23" s="786"/>
      <c r="O23" s="114" t="s">
        <v>1973</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1279</v>
      </c>
      <c r="AC23" s="6">
        <f>12/(1+AC16/(1-EXP(-AC16)))</f>
        <v>2.6911226696331791</v>
      </c>
      <c r="AD23" s="48">
        <f>(1-EXP(-AC13*AC15))^3</f>
        <v>0.89701944271482081</v>
      </c>
      <c r="AE23" s="6">
        <v>12</v>
      </c>
      <c r="AF23" s="6">
        <f>AD22-AD23</f>
        <v>3.3091108219409082E-2</v>
      </c>
      <c r="AG23" s="6">
        <v>3</v>
      </c>
    </row>
    <row r="24" spans="1:39" ht="11.25" customHeight="1">
      <c r="A24" s="10" t="s">
        <v>1274</v>
      </c>
      <c r="B24" s="114">
        <v>1</v>
      </c>
      <c r="C24" s="114"/>
      <c r="D24" s="114"/>
      <c r="E24" s="114"/>
      <c r="F24" s="115"/>
      <c r="G24" s="115"/>
      <c r="H24" s="114"/>
      <c r="I24" s="114"/>
      <c r="J24" s="116"/>
      <c r="K24" s="768">
        <v>12</v>
      </c>
      <c r="L24" s="768">
        <v>12</v>
      </c>
      <c r="M24" s="785">
        <v>12</v>
      </c>
      <c r="N24" s="786"/>
      <c r="O24" s="114" t="s">
        <v>1973</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1281</v>
      </c>
      <c r="AC24" s="6">
        <f>12/(1+AC16/(1-EXP(-AC16)))</f>
        <v>2.6911226696331791</v>
      </c>
      <c r="AD24" s="48">
        <f>(1-EXP(-AC13*AC15))^4</f>
        <v>0.86510563695917664</v>
      </c>
      <c r="AE24" s="6">
        <v>12</v>
      </c>
      <c r="AF24" s="6">
        <f>AD23-AD24</f>
        <v>3.1913805755644176E-2</v>
      </c>
      <c r="AG24" s="6">
        <v>4</v>
      </c>
    </row>
    <row r="25" spans="1:39" ht="11.25" customHeight="1">
      <c r="A25" s="10" t="s">
        <v>1277</v>
      </c>
      <c r="B25" s="114">
        <v>1</v>
      </c>
      <c r="C25" s="114"/>
      <c r="D25" s="114"/>
      <c r="E25" s="114"/>
      <c r="F25" s="115"/>
      <c r="G25" s="115"/>
      <c r="H25" s="114"/>
      <c r="I25" s="114"/>
      <c r="J25" s="116"/>
      <c r="K25" s="768"/>
      <c r="L25" s="768"/>
      <c r="M25" s="785"/>
      <c r="N25" s="786"/>
      <c r="O25" s="114" t="s">
        <v>1973</v>
      </c>
      <c r="P25" s="124"/>
      <c r="Q25" s="793">
        <f>IF(Talents!O36="No",W25*AA2*'Damage Calc'!K48*MHspd*(1+(0.01*miseryimp)*misery),0)</f>
        <v>61.0282015398449</v>
      </c>
      <c r="R25" s="116">
        <f>IF(OR(IF(includep1,$B25&lt;=1), IF(includep2,$B25&lt;=2), IF(includep3,$B25&lt;=3), IF(includep4,$B25&lt;=4), IF(includep5,$B25&lt;=5)),MAX($R$16:R24)+1,"")</f>
        <v>8</v>
      </c>
      <c r="S25" s="750">
        <v>8</v>
      </c>
      <c r="T25" s="713" t="str">
        <f t="shared" si="1"/>
        <v>Flametongue</v>
      </c>
      <c r="U25" s="124"/>
      <c r="V25" s="6" t="s">
        <v>3107</v>
      </c>
      <c r="W25" s="1346">
        <f>14.924*(1+'Gear &amp; Buffs'!C111*0.06)*IF(CoE,1.25,1)</f>
        <v>20.893599999999999</v>
      </c>
      <c r="X25" s="6"/>
      <c r="Y25" s="6"/>
      <c r="Z25" s="6"/>
      <c r="AA25" s="6"/>
      <c r="AB25" s="131" t="s">
        <v>1283</v>
      </c>
      <c r="AC25" s="6">
        <f>IF(time=0, AC24/EXP(-AC13*AC15), MIN(AC24/EXP(-AC13*AC15), time-SUMPRODUCT(AC21:AC24,AD21:AD24)))</f>
        <v>75.640911518822918</v>
      </c>
      <c r="AD25" s="48">
        <f>(1-EXP(-AC13*AC15))^5</f>
        <v>0.83432724806219782</v>
      </c>
      <c r="AE25" s="6">
        <v>0</v>
      </c>
      <c r="AF25" s="6">
        <v>0</v>
      </c>
      <c r="AG25" s="6">
        <v>5</v>
      </c>
    </row>
    <row r="26" spans="1:39" ht="11.25" customHeight="1">
      <c r="A26" s="10" t="s">
        <v>1282</v>
      </c>
      <c r="B26" s="114">
        <v>1</v>
      </c>
      <c r="C26" s="114"/>
      <c r="D26" s="114"/>
      <c r="E26" s="114"/>
      <c r="F26" s="115"/>
      <c r="G26" s="115"/>
      <c r="H26" s="114"/>
      <c r="I26" s="114"/>
      <c r="J26" s="116"/>
      <c r="K26" s="768"/>
      <c r="L26" s="768"/>
      <c r="M26" s="785"/>
      <c r="N26" s="786"/>
      <c r="O26" s="114" t="s">
        <v>1973</v>
      </c>
      <c r="P26" s="124"/>
      <c r="Q26" s="793">
        <f>IF(Talents!$O$18="Yes",'Damage Calc'!K48*($AA$2+mpsn)*$AD$2*$AE$2*(Talents!$C$23*0.04+1)*(1+(0.01*miseryimp)*misery)*(1+(thunderfury*thunderfurydps)),0)</f>
        <v>42.780010563361593</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76.546869273163907</v>
      </c>
      <c r="AD26" s="48"/>
      <c r="AE26" s="6">
        <f>SUMPRODUCT(AE20:AE25,AF20:AF25)</f>
        <v>1.6187323564898803</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59.794681295664603</v>
      </c>
      <c r="I27" s="114"/>
      <c r="J27" s="116"/>
      <c r="K27" s="768"/>
      <c r="L27" s="768"/>
      <c r="M27" s="785"/>
      <c r="N27" s="786"/>
      <c r="O27" s="114" t="s">
        <v>1973</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339.70221952026475</v>
      </c>
      <c r="AD27" s="48"/>
      <c r="AE27" s="6">
        <f>SUMPRODUCT(AE20:AE25,AF20:AF25,$AG20:$AG25)</f>
        <v>3.973558058372006</v>
      </c>
      <c r="AF27" s="6"/>
      <c r="AG27" s="6"/>
      <c r="AH27" s="6"/>
      <c r="AI27" s="6"/>
      <c r="AJ27" s="6"/>
      <c r="AK27" s="6"/>
      <c r="AL27" s="6"/>
      <c r="AM27" s="6"/>
    </row>
    <row r="28" spans="1:39" ht="11.25" customHeight="1">
      <c r="A28" s="10" t="s">
        <v>520</v>
      </c>
      <c r="B28" s="114">
        <v>1</v>
      </c>
      <c r="C28" s="114"/>
      <c r="D28" s="114"/>
      <c r="E28" s="114"/>
      <c r="F28" s="115"/>
      <c r="G28" s="115"/>
      <c r="H28" s="114"/>
      <c r="I28" s="114"/>
      <c r="J28" s="116"/>
      <c r="K28" s="768"/>
      <c r="L28" s="768"/>
      <c r="M28" s="785"/>
      <c r="N28" s="786"/>
      <c r="O28" s="114" t="s">
        <v>1973</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4.3967649504824644</v>
      </c>
      <c r="AE28" s="6"/>
      <c r="AF28" s="6"/>
      <c r="AG28" s="6"/>
      <c r="AH28" s="6"/>
      <c r="AI28" s="6"/>
      <c r="AJ28" s="6"/>
      <c r="AK28" s="6"/>
      <c r="AL28" s="6"/>
      <c r="AM28" s="6"/>
    </row>
    <row r="29" spans="1:39" ht="11.25" customHeight="1">
      <c r="A29" s="10" t="s">
        <v>1284</v>
      </c>
      <c r="B29" s="114">
        <v>1</v>
      </c>
      <c r="C29" s="114"/>
      <c r="D29" s="114"/>
      <c r="E29" s="114"/>
      <c r="F29" s="115"/>
      <c r="G29" s="115"/>
      <c r="H29" s="114"/>
      <c r="I29" s="114"/>
      <c r="J29" s="116"/>
      <c r="K29" s="768"/>
      <c r="L29" s="768"/>
      <c r="M29" s="785"/>
      <c r="N29" s="786"/>
      <c r="O29" s="114" t="s">
        <v>1973</v>
      </c>
      <c r="P29" s="124"/>
      <c r="Q29" s="793">
        <f>IF(Talents!$O$18="Yes",'Damage Calc'!K48*($AA$2+mpsn)*$AG$2*$AH$2*(Talents!$C$23*0.04+1)*(1+(0.01*miseryimp)*misery)*(1+(thunderfury*thunderfurydps)),0)</f>
        <v>24.535594293692672</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1288</v>
      </c>
      <c r="B33" s="800" t="s">
        <v>2795</v>
      </c>
      <c r="C33" s="800" t="s">
        <v>1213</v>
      </c>
      <c r="D33" s="800" t="s">
        <v>1214</v>
      </c>
      <c r="E33" s="800" t="s">
        <v>1215</v>
      </c>
      <c r="F33" s="800" t="s">
        <v>2139</v>
      </c>
      <c r="G33" s="800" t="s">
        <v>2138</v>
      </c>
      <c r="H33" s="800" t="s">
        <v>767</v>
      </c>
      <c r="I33" s="800" t="s">
        <v>1218</v>
      </c>
      <c r="J33" s="800" t="s">
        <v>770</v>
      </c>
      <c r="K33" s="800" t="s">
        <v>1221</v>
      </c>
      <c r="L33" s="800" t="s">
        <v>1222</v>
      </c>
      <c r="M33" s="800" t="s">
        <v>1704</v>
      </c>
      <c r="N33" s="800" t="s">
        <v>146</v>
      </c>
      <c r="O33" s="800" t="s">
        <v>1224</v>
      </c>
      <c r="P33" s="800" t="s">
        <v>1225</v>
      </c>
      <c r="Q33" s="800" t="s">
        <v>147</v>
      </c>
      <c r="R33" s="800">
        <v>0</v>
      </c>
      <c r="S33" s="801"/>
      <c r="T33" s="802" t="s">
        <v>1688</v>
      </c>
      <c r="U33" s="124"/>
      <c r="V33" s="48"/>
      <c r="W33" s="48"/>
      <c r="X33" s="48"/>
      <c r="AH33" s="6"/>
      <c r="AI33" s="6"/>
      <c r="AJ33" s="6"/>
      <c r="AK33" s="6"/>
      <c r="AL33" s="6"/>
      <c r="AM33" s="6"/>
    </row>
    <row r="34" spans="1:39" ht="11.25" customHeight="1">
      <c r="A34" s="10" t="s">
        <v>2206</v>
      </c>
      <c r="B34" s="114"/>
      <c r="C34" s="114"/>
      <c r="D34" s="114"/>
      <c r="E34" s="114"/>
      <c r="F34" s="115"/>
      <c r="G34" s="115"/>
      <c r="H34" s="114"/>
      <c r="I34" s="114"/>
      <c r="J34" s="116"/>
      <c r="K34" s="768"/>
      <c r="L34" s="768"/>
      <c r="M34" s="785"/>
      <c r="N34" s="786"/>
      <c r="O34" s="114" t="s">
        <v>1973</v>
      </c>
      <c r="P34" s="124"/>
      <c r="Q34" s="792"/>
      <c r="R34" s="791"/>
      <c r="S34" s="750"/>
      <c r="T34" s="713" t="str">
        <f>" "</f>
        <v xml:space="preserve"> </v>
      </c>
      <c r="U34" s="124"/>
      <c r="V34" s="48"/>
      <c r="W34" s="48"/>
      <c r="X34" s="48"/>
      <c r="AH34" s="6"/>
      <c r="AI34" s="6"/>
      <c r="AJ34" s="6"/>
      <c r="AK34" s="6"/>
      <c r="AL34" s="6"/>
      <c r="AM34" s="6"/>
    </row>
    <row r="35" spans="1:39" ht="11.25" customHeight="1">
      <c r="A35" s="10" t="s">
        <v>1974</v>
      </c>
      <c r="B35" s="114">
        <v>1</v>
      </c>
      <c r="C35" s="114"/>
      <c r="D35" s="114">
        <v>15</v>
      </c>
      <c r="E35" s="114"/>
      <c r="F35" s="115"/>
      <c r="G35" s="115"/>
      <c r="H35" s="114"/>
      <c r="I35" s="114"/>
      <c r="J35" s="116"/>
      <c r="K35" s="768"/>
      <c r="L35" s="768"/>
      <c r="M35" s="785"/>
      <c r="N35" s="786">
        <v>2564</v>
      </c>
      <c r="O35" s="114" t="s">
        <v>1973</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1976</v>
      </c>
      <c r="B36" s="114">
        <v>1</v>
      </c>
      <c r="C36" s="124">
        <f>(100-IF(CharLevel&gt;60,(CharLevel-60)*4,0))*enCrOHup</f>
        <v>18.581213318271931</v>
      </c>
      <c r="D36" s="114"/>
      <c r="E36" s="114"/>
      <c r="F36" s="115"/>
      <c r="G36" s="115"/>
      <c r="H36" s="114"/>
      <c r="I36" s="114"/>
      <c r="J36" s="116"/>
      <c r="K36" s="768"/>
      <c r="L36" s="768"/>
      <c r="M36" s="785"/>
      <c r="N36" s="786">
        <v>1900</v>
      </c>
      <c r="O36" s="114" t="s">
        <v>1973</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2840</v>
      </c>
      <c r="B37" s="114">
        <v>1</v>
      </c>
      <c r="C37" s="124"/>
      <c r="D37" s="114"/>
      <c r="E37" s="114"/>
      <c r="F37" s="115"/>
      <c r="G37" s="115"/>
      <c r="H37" s="114"/>
      <c r="I37" s="114"/>
      <c r="J37" s="116"/>
      <c r="K37" s="768"/>
      <c r="L37" s="768"/>
      <c r="M37" s="785"/>
      <c r="N37" s="786">
        <v>912</v>
      </c>
      <c r="O37" s="114" t="s">
        <v>1973</v>
      </c>
      <c r="P37" s="124"/>
      <c r="Q37" s="793">
        <f>'Damage Calc'!I49*'Damage Calc'!L49*6*$AA$2*100</f>
        <v>12.973484372392097</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1664</v>
      </c>
      <c r="B38" s="114">
        <v>4</v>
      </c>
      <c r="C38" s="114"/>
      <c r="D38" s="114"/>
      <c r="E38" s="114"/>
      <c r="F38" s="115"/>
      <c r="G38" s="115"/>
      <c r="H38" s="114"/>
      <c r="I38" s="124">
        <f>840*IF('Gear &amp; Buffs'!B11="Executioner",0,enExOHup)</f>
        <v>260.13698645580706</v>
      </c>
      <c r="J38" s="116"/>
      <c r="K38" s="768"/>
      <c r="L38" s="768"/>
      <c r="M38" s="785"/>
      <c r="N38" s="786">
        <v>3225</v>
      </c>
      <c r="O38" s="114" t="s">
        <v>1973</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1977</v>
      </c>
      <c r="B39" s="114">
        <v>1</v>
      </c>
      <c r="C39" s="114"/>
      <c r="D39" s="114"/>
      <c r="E39" s="114"/>
      <c r="F39" s="115"/>
      <c r="G39" s="115"/>
      <c r="H39" s="114"/>
      <c r="I39" s="114"/>
      <c r="J39" s="116"/>
      <c r="K39" s="768"/>
      <c r="L39" s="768"/>
      <c r="M39" s="785"/>
      <c r="N39" s="786">
        <v>803</v>
      </c>
      <c r="O39" s="114" t="s">
        <v>1973</v>
      </c>
      <c r="P39" s="124"/>
      <c r="Q39" s="793">
        <f>'Damage Calc'!I49*'Damage Calc'!L49*6*$AA$2*40*(1+(0.01*miseryimp)*misery)*IF(CoE,1.25,1)</f>
        <v>6.8110792955058503</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1468</v>
      </c>
      <c r="B40" s="114">
        <v>1</v>
      </c>
      <c r="C40" s="114"/>
      <c r="D40" s="114">
        <v>20</v>
      </c>
      <c r="E40" s="114"/>
      <c r="F40" s="115"/>
      <c r="G40" s="115"/>
      <c r="H40" s="114"/>
      <c r="I40" s="114"/>
      <c r="J40" s="116"/>
      <c r="K40" s="768"/>
      <c r="L40" s="768"/>
      <c r="M40" s="785"/>
      <c r="N40" s="786">
        <v>3222</v>
      </c>
      <c r="O40" s="114" t="s">
        <v>1973</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1638</v>
      </c>
      <c r="B41" s="114">
        <v>1</v>
      </c>
      <c r="C41" s="114"/>
      <c r="D41" s="114"/>
      <c r="E41" s="114"/>
      <c r="F41" s="115"/>
      <c r="G41" s="115"/>
      <c r="H41" s="114"/>
      <c r="I41" s="114"/>
      <c r="J41" s="116"/>
      <c r="K41" s="768"/>
      <c r="L41" s="768"/>
      <c r="M41" s="785"/>
      <c r="N41" s="786">
        <v>1898</v>
      </c>
      <c r="O41" s="114" t="s">
        <v>1973</v>
      </c>
      <c r="P41" s="124"/>
      <c r="Q41" s="793">
        <f>'Damage Calc'!I49*'Damage Calc'!L49*6*$AA$2*19*IF(SW,1.1,1)*(1+(0.01*miseryimp)*misery)</f>
        <v>2.8470311455214459</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1639</v>
      </c>
      <c r="B42" s="114">
        <v>2</v>
      </c>
      <c r="C42" s="114"/>
      <c r="D42" s="114"/>
      <c r="E42" s="114"/>
      <c r="F42" s="115"/>
      <c r="G42" s="115"/>
      <c r="H42" s="114"/>
      <c r="I42" s="114"/>
      <c r="J42" s="116"/>
      <c r="K42" s="768">
        <v>7</v>
      </c>
      <c r="L42" s="768">
        <v>7</v>
      </c>
      <c r="M42" s="785">
        <v>7</v>
      </c>
      <c r="N42" s="786">
        <v>963</v>
      </c>
      <c r="O42" s="114" t="s">
        <v>1973</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1228</v>
      </c>
      <c r="B43" s="114">
        <v>1</v>
      </c>
      <c r="C43" s="21"/>
      <c r="D43" s="789">
        <f>120*enMnOHup</f>
        <v>37.162426636543863</v>
      </c>
      <c r="E43" s="21"/>
      <c r="F43" s="21"/>
      <c r="G43" s="21"/>
      <c r="H43" s="21"/>
      <c r="I43" s="21"/>
      <c r="J43" s="789">
        <f>2*hasterate*enMnOHup</f>
        <v>9.7670480262711425</v>
      </c>
      <c r="K43" s="768"/>
      <c r="L43" s="768"/>
      <c r="M43" s="768"/>
      <c r="N43" s="786">
        <v>2673</v>
      </c>
      <c r="O43" s="114" t="s">
        <v>1973</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2839</v>
      </c>
      <c r="B44" s="114">
        <v>1</v>
      </c>
      <c r="C44" s="21"/>
      <c r="D44" s="789"/>
      <c r="E44" s="21"/>
      <c r="F44" s="21"/>
      <c r="G44" s="21"/>
      <c r="H44" s="21"/>
      <c r="I44" s="21"/>
      <c r="J44" s="789"/>
      <c r="K44" s="768">
        <v>5</v>
      </c>
      <c r="L44" s="768">
        <v>5</v>
      </c>
      <c r="M44" s="768">
        <v>5</v>
      </c>
      <c r="N44" s="786">
        <v>1897</v>
      </c>
      <c r="O44" s="114" t="s">
        <v>1973</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562</v>
      </c>
      <c r="B48" s="800" t="s">
        <v>2795</v>
      </c>
      <c r="C48" s="800" t="s">
        <v>1213</v>
      </c>
      <c r="D48" s="800" t="s">
        <v>1214</v>
      </c>
      <c r="E48" s="800" t="s">
        <v>1215</v>
      </c>
      <c r="F48" s="800" t="s">
        <v>2139</v>
      </c>
      <c r="G48" s="800" t="s">
        <v>2138</v>
      </c>
      <c r="H48" s="800" t="s">
        <v>767</v>
      </c>
      <c r="I48" s="800" t="s">
        <v>1218</v>
      </c>
      <c r="J48" s="800" t="s">
        <v>1016</v>
      </c>
      <c r="K48" s="800" t="s">
        <v>1221</v>
      </c>
      <c r="L48" s="800" t="s">
        <v>1222</v>
      </c>
      <c r="M48" s="800" t="s">
        <v>1704</v>
      </c>
      <c r="N48" s="800" t="s">
        <v>146</v>
      </c>
      <c r="O48" s="800" t="s">
        <v>1224</v>
      </c>
      <c r="P48" s="800" t="s">
        <v>1225</v>
      </c>
      <c r="Q48" s="800" t="s">
        <v>147</v>
      </c>
      <c r="R48" s="800">
        <v>0</v>
      </c>
      <c r="S48" s="801"/>
      <c r="T48" s="802" t="s">
        <v>1688</v>
      </c>
      <c r="U48" s="124"/>
      <c r="Y48" s="48"/>
      <c r="Z48" s="48"/>
      <c r="AA48" s="48"/>
      <c r="AB48" s="48"/>
      <c r="AC48" s="48"/>
      <c r="AD48" s="48"/>
    </row>
    <row r="49" spans="1:30" ht="11.25" customHeight="1">
      <c r="A49" s="10" t="s">
        <v>2206</v>
      </c>
      <c r="B49" s="114"/>
      <c r="C49" s="114"/>
      <c r="D49" s="114"/>
      <c r="E49" s="114"/>
      <c r="F49" s="115"/>
      <c r="G49" s="115"/>
      <c r="H49" s="114"/>
      <c r="I49" s="114"/>
      <c r="J49" s="116"/>
      <c r="K49" s="768"/>
      <c r="L49" s="768"/>
      <c r="M49" s="785"/>
      <c r="N49" s="786"/>
      <c r="O49" s="114" t="s">
        <v>1973</v>
      </c>
      <c r="P49" s="124"/>
      <c r="Q49" s="792"/>
      <c r="R49" s="791"/>
      <c r="S49" s="750"/>
      <c r="T49" s="713" t="str">
        <f>" "</f>
        <v xml:space="preserve"> </v>
      </c>
      <c r="U49" s="124"/>
      <c r="Y49" s="48"/>
      <c r="Z49" s="48"/>
      <c r="AA49" s="48"/>
      <c r="AB49" s="48"/>
      <c r="AC49" s="48"/>
      <c r="AD49" s="48"/>
    </row>
    <row r="50" spans="1:30" ht="11.25" customHeight="1">
      <c r="A50" s="10" t="s">
        <v>1285</v>
      </c>
      <c r="B50" s="114">
        <v>1</v>
      </c>
      <c r="C50" s="114"/>
      <c r="D50" s="114"/>
      <c r="E50" s="114"/>
      <c r="F50" s="115">
        <v>14</v>
      </c>
      <c r="G50" s="115"/>
      <c r="H50" s="114"/>
      <c r="I50" s="114"/>
      <c r="J50" s="116"/>
      <c r="K50" s="768">
        <v>12</v>
      </c>
      <c r="L50" s="768">
        <v>12</v>
      </c>
      <c r="M50" s="785">
        <v>12</v>
      </c>
      <c r="N50" s="786"/>
      <c r="O50" s="114" t="s">
        <v>1973</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1649</v>
      </c>
      <c r="B51" s="114">
        <v>1</v>
      </c>
      <c r="C51" s="114"/>
      <c r="D51" s="114"/>
      <c r="E51" s="114"/>
      <c r="F51" s="115"/>
      <c r="G51" s="115"/>
      <c r="H51" s="114"/>
      <c r="I51" s="114"/>
      <c r="J51" s="116"/>
      <c r="K51" s="768"/>
      <c r="L51" s="768"/>
      <c r="M51" s="785"/>
      <c r="N51" s="786"/>
      <c r="O51" s="114" t="s">
        <v>1973</v>
      </c>
      <c r="P51" s="124"/>
      <c r="Q51" s="793">
        <f>IF(Talents!$O$18="Yes",'Damage Calc'!K49*($AA$2+mpsn)*$AD$2*$AF$2*(Talents!$C$23*0.04+1)*(1+(0.01*miseryimp)*misery)*(1+(thunderfury*thunderfurydps)),0)</f>
        <v>33.347044230796655</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1973</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2205</v>
      </c>
      <c r="B53" s="114">
        <v>1</v>
      </c>
      <c r="C53" s="114"/>
      <c r="D53" s="114"/>
      <c r="E53" s="114"/>
      <c r="F53" s="115"/>
      <c r="G53" s="115"/>
      <c r="H53" s="114"/>
      <c r="I53" s="114"/>
      <c r="J53" s="116"/>
      <c r="K53" s="768"/>
      <c r="L53" s="768"/>
      <c r="M53" s="785"/>
      <c r="N53" s="786"/>
      <c r="O53" s="114" t="s">
        <v>1973</v>
      </c>
      <c r="P53" s="124"/>
      <c r="Q53" s="793">
        <f>IF(Talents!$O$18="Yes",($AD$28*$AC$2/12*(Talents!$C$23*0.04+1)*(1+(0.01*miseryimp)*misery)*(1+(thunderfury*thunderfurydps)))-lostdp,0)</f>
        <v>77.558933726510688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2838</v>
      </c>
      <c r="B54" s="114">
        <v>1</v>
      </c>
      <c r="C54" s="114"/>
      <c r="D54" s="114"/>
      <c r="E54" s="114"/>
      <c r="F54" s="115"/>
      <c r="G54" s="115"/>
      <c r="H54" s="114"/>
      <c r="I54" s="114"/>
      <c r="J54" s="116"/>
      <c r="K54" s="768">
        <v>8</v>
      </c>
      <c r="L54" s="768">
        <v>8</v>
      </c>
      <c r="M54" s="785">
        <v>8</v>
      </c>
      <c r="N54" s="786"/>
      <c r="O54" s="114" t="s">
        <v>1973</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1280</v>
      </c>
      <c r="B55" s="114">
        <v>1</v>
      </c>
      <c r="C55" s="114"/>
      <c r="D55" s="114"/>
      <c r="E55" s="114"/>
      <c r="F55" s="115">
        <v>28</v>
      </c>
      <c r="G55" s="115"/>
      <c r="H55" s="114"/>
      <c r="I55" s="114"/>
      <c r="J55" s="116"/>
      <c r="K55" s="768"/>
      <c r="L55" s="768"/>
      <c r="M55" s="785"/>
      <c r="N55" s="786"/>
      <c r="O55" s="114" t="s">
        <v>1973</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1274</v>
      </c>
      <c r="B56" s="114">
        <v>1</v>
      </c>
      <c r="C56" s="114"/>
      <c r="D56" s="114"/>
      <c r="E56" s="114"/>
      <c r="F56" s="115"/>
      <c r="G56" s="115"/>
      <c r="H56" s="114"/>
      <c r="I56" s="114"/>
      <c r="J56" s="116"/>
      <c r="K56" s="768">
        <v>12</v>
      </c>
      <c r="L56" s="768">
        <v>12</v>
      </c>
      <c r="M56" s="785">
        <v>12</v>
      </c>
      <c r="N56" s="786"/>
      <c r="O56" s="114" t="s">
        <v>1973</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1282</v>
      </c>
      <c r="B57" s="114">
        <v>1</v>
      </c>
      <c r="C57" s="114"/>
      <c r="D57" s="114"/>
      <c r="E57" s="114"/>
      <c r="F57" s="115"/>
      <c r="G57" s="115"/>
      <c r="H57" s="114"/>
      <c r="I57" s="114"/>
      <c r="J57" s="116"/>
      <c r="K57" s="768"/>
      <c r="L57" s="768"/>
      <c r="M57" s="785"/>
      <c r="N57" s="786"/>
      <c r="O57" s="114" t="s">
        <v>1973</v>
      </c>
      <c r="P57" s="124"/>
      <c r="Q57" s="793">
        <f>IF(Talents!$O$18="Yes",'Damage Calc'!K49*($AA$2+mpsn)*$AD$2*$AE$2*(Talents!$C$23*0.04+1)*(1+(0.01*miseryimp)*misery)*(1+(thunderfury*thunderfurydps)),0)</f>
        <v>37.052271367551839</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58.856819863347049</v>
      </c>
      <c r="I58" s="114"/>
      <c r="J58" s="116"/>
      <c r="K58" s="768"/>
      <c r="L58" s="768"/>
      <c r="M58" s="785"/>
      <c r="N58" s="786"/>
      <c r="O58" s="114" t="s">
        <v>1973</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1284</v>
      </c>
      <c r="B59" s="114">
        <v>1</v>
      </c>
      <c r="C59" s="114"/>
      <c r="D59" s="114"/>
      <c r="E59" s="114"/>
      <c r="F59" s="115"/>
      <c r="G59" s="115"/>
      <c r="H59" s="114"/>
      <c r="I59" s="114"/>
      <c r="J59" s="116"/>
      <c r="K59" s="768"/>
      <c r="L59" s="768"/>
      <c r="M59" s="785"/>
      <c r="N59" s="786"/>
      <c r="O59" s="114" t="s">
        <v>1973</v>
      </c>
      <c r="P59" s="124"/>
      <c r="Q59" s="793">
        <f>IF(Talents!$O$18="Yes",'Damage Calc'!K49*($AA$2+mpsn)*$AG$2*$AH$2*(Talents!$C$23*0.04+1)*(1+(0.01*miseryimp)*misery)*(1+(thunderfury*thunderfurydps)),0)</f>
        <v>21.250567401978262</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3101</v>
      </c>
      <c r="B1" s="699" t="s">
        <v>1213</v>
      </c>
      <c r="C1" s="699" t="s">
        <v>1214</v>
      </c>
      <c r="D1" s="699" t="s">
        <v>1215</v>
      </c>
      <c r="E1" s="699" t="s">
        <v>2139</v>
      </c>
      <c r="F1" s="699" t="s">
        <v>2138</v>
      </c>
      <c r="G1" s="699" t="s">
        <v>767</v>
      </c>
      <c r="H1" s="699" t="s">
        <v>264</v>
      </c>
      <c r="I1" s="699" t="s">
        <v>2423</v>
      </c>
      <c r="J1" s="699"/>
      <c r="K1" s="699"/>
      <c r="L1" s="699"/>
      <c r="M1" s="699" t="s">
        <v>1217</v>
      </c>
      <c r="O1" s="6" t="s">
        <v>3100</v>
      </c>
    </row>
    <row r="2" spans="1:17">
      <c r="A2" s="142" t="s">
        <v>2461</v>
      </c>
      <c r="B2" s="120">
        <f>23+74</f>
        <v>97</v>
      </c>
      <c r="C2" s="120">
        <f>19+135</f>
        <v>154</v>
      </c>
      <c r="D2" s="120">
        <f>24+68</f>
        <v>92</v>
      </c>
      <c r="E2" s="337"/>
      <c r="F2" s="337"/>
      <c r="G2" s="120"/>
      <c r="H2" s="120"/>
      <c r="I2" s="120"/>
      <c r="J2" s="120"/>
      <c r="K2" s="120"/>
      <c r="L2" s="120"/>
      <c r="M2" s="120"/>
      <c r="N2" s="217"/>
      <c r="O2" s="120">
        <v>0</v>
      </c>
      <c r="P2" s="120"/>
      <c r="Q2" s="120" t="s">
        <v>144</v>
      </c>
    </row>
    <row r="3" spans="1:17">
      <c r="A3" s="142" t="s">
        <v>2462</v>
      </c>
      <c r="B3" s="120">
        <f>16+74</f>
        <v>90</v>
      </c>
      <c r="C3" s="120">
        <f>26+135</f>
        <v>161</v>
      </c>
      <c r="D3" s="120">
        <f>20+68</f>
        <v>88</v>
      </c>
      <c r="E3" s="337"/>
      <c r="F3" s="120"/>
      <c r="G3" s="120"/>
      <c r="H3" s="120"/>
      <c r="I3" s="120"/>
      <c r="J3" s="120"/>
      <c r="K3" s="120"/>
      <c r="L3" s="120"/>
      <c r="M3" s="120"/>
      <c r="N3" s="120"/>
      <c r="O3" s="120">
        <v>1</v>
      </c>
      <c r="P3" s="120"/>
      <c r="Q3" s="120" t="s">
        <v>750</v>
      </c>
    </row>
    <row r="4" spans="1:17">
      <c r="A4" s="142" t="s">
        <v>2463</v>
      </c>
      <c r="B4" s="120">
        <f>21+74</f>
        <v>95</v>
      </c>
      <c r="C4" s="120">
        <f>23+135</f>
        <v>158</v>
      </c>
      <c r="D4" s="120">
        <f>21+68</f>
        <v>89</v>
      </c>
      <c r="E4" s="217"/>
      <c r="F4" s="120"/>
      <c r="G4" s="120"/>
      <c r="H4" s="120"/>
      <c r="I4" s="120"/>
      <c r="J4" s="120"/>
      <c r="K4" s="120"/>
      <c r="L4" s="120"/>
      <c r="M4" s="120"/>
      <c r="N4" s="120"/>
      <c r="O4" s="120">
        <v>2</v>
      </c>
      <c r="P4" s="120"/>
      <c r="Q4" s="120"/>
    </row>
    <row r="5" spans="1:17">
      <c r="A5" s="142" t="s">
        <v>2464</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2465</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2466</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2467</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461</v>
      </c>
      <c r="C1" s="659">
        <v>3003</v>
      </c>
      <c r="D1" s="659" t="s">
        <v>464</v>
      </c>
      <c r="E1" s="659">
        <v>24061</v>
      </c>
      <c r="F1" s="659" t="s">
        <v>303</v>
      </c>
      <c r="G1" s="659">
        <v>0</v>
      </c>
      <c r="H1" s="659" t="s">
        <v>1688</v>
      </c>
      <c r="J1" s="659" t="s">
        <v>1688</v>
      </c>
      <c r="K1" s="659">
        <v>25894</v>
      </c>
      <c r="L1" s="659" t="s">
        <v>293</v>
      </c>
    </row>
    <row r="2" spans="1:12">
      <c r="A2" s="659">
        <v>34679</v>
      </c>
      <c r="B2" s="659" t="s">
        <v>2028</v>
      </c>
      <c r="C2" s="659">
        <v>0</v>
      </c>
      <c r="D2" s="659" t="s">
        <v>1688</v>
      </c>
      <c r="E2" s="659">
        <v>0</v>
      </c>
      <c r="F2" s="659" t="s">
        <v>1688</v>
      </c>
      <c r="G2" s="659">
        <v>0</v>
      </c>
      <c r="H2" s="659" t="s">
        <v>1688</v>
      </c>
      <c r="I2" s="659">
        <v>0</v>
      </c>
      <c r="J2" s="659" t="s">
        <v>1688</v>
      </c>
    </row>
    <row r="3" spans="1:12">
      <c r="A3" s="659">
        <v>28755</v>
      </c>
      <c r="B3" s="659" t="s">
        <v>1444</v>
      </c>
      <c r="C3" s="659">
        <v>2996</v>
      </c>
      <c r="D3" s="659" t="s">
        <v>1408</v>
      </c>
      <c r="E3" s="659">
        <v>24061</v>
      </c>
      <c r="F3" s="659" t="s">
        <v>303</v>
      </c>
      <c r="G3" s="659">
        <v>24051</v>
      </c>
      <c r="H3" s="659" t="s">
        <v>1982</v>
      </c>
      <c r="I3" s="659">
        <v>0</v>
      </c>
      <c r="J3" s="659" t="s">
        <v>1688</v>
      </c>
    </row>
    <row r="4" spans="1:12">
      <c r="A4" s="659">
        <v>11840</v>
      </c>
      <c r="B4" s="659" t="s">
        <v>1688</v>
      </c>
      <c r="C4" s="659">
        <v>0</v>
      </c>
      <c r="D4" s="659" t="s">
        <v>1688</v>
      </c>
      <c r="E4" s="659">
        <v>0</v>
      </c>
      <c r="F4" s="659" t="s">
        <v>1688</v>
      </c>
      <c r="G4" s="659">
        <v>0</v>
      </c>
      <c r="H4" s="659" t="s">
        <v>1688</v>
      </c>
      <c r="I4" s="659">
        <v>0</v>
      </c>
      <c r="J4" s="659" t="s">
        <v>1688</v>
      </c>
    </row>
    <row r="5" spans="1:12">
      <c r="A5" s="659">
        <v>25831</v>
      </c>
      <c r="B5" s="659" t="s">
        <v>815</v>
      </c>
      <c r="C5" s="659">
        <v>0</v>
      </c>
      <c r="D5" s="659" t="s">
        <v>1688</v>
      </c>
      <c r="E5" s="659">
        <v>24061</v>
      </c>
      <c r="F5" s="659" t="s">
        <v>303</v>
      </c>
      <c r="G5" s="659">
        <v>24061</v>
      </c>
      <c r="H5" s="659" t="s">
        <v>303</v>
      </c>
      <c r="I5" s="659">
        <v>24051</v>
      </c>
      <c r="J5" s="659" t="s">
        <v>1982</v>
      </c>
    </row>
    <row r="6" spans="1:12">
      <c r="A6" s="659">
        <v>28750</v>
      </c>
      <c r="B6" s="659" t="s">
        <v>1522</v>
      </c>
      <c r="C6" s="659">
        <v>0</v>
      </c>
      <c r="D6" s="659" t="s">
        <v>1688</v>
      </c>
      <c r="E6" s="659">
        <v>24061</v>
      </c>
      <c r="F6" s="659" t="s">
        <v>303</v>
      </c>
      <c r="G6" s="659">
        <v>24061</v>
      </c>
      <c r="H6" s="659" t="s">
        <v>303</v>
      </c>
      <c r="I6" s="659">
        <v>0</v>
      </c>
      <c r="J6" s="659" t="s">
        <v>1688</v>
      </c>
    </row>
    <row r="7" spans="1:12">
      <c r="A7" s="659">
        <v>29046</v>
      </c>
      <c r="B7" s="659" t="s">
        <v>482</v>
      </c>
      <c r="C7" s="659">
        <v>3010</v>
      </c>
      <c r="D7" s="659" t="s">
        <v>1413</v>
      </c>
      <c r="E7" s="659">
        <v>0</v>
      </c>
      <c r="F7" s="659" t="s">
        <v>1688</v>
      </c>
      <c r="G7" s="659">
        <v>0</v>
      </c>
      <c r="H7" s="659" t="s">
        <v>1688</v>
      </c>
      <c r="I7" s="659">
        <v>0</v>
      </c>
      <c r="J7" s="659" t="s">
        <v>1688</v>
      </c>
    </row>
    <row r="8" spans="1:12">
      <c r="A8" s="659">
        <v>28545</v>
      </c>
      <c r="B8" s="659" t="s">
        <v>255</v>
      </c>
      <c r="C8" s="659">
        <v>2657</v>
      </c>
      <c r="D8" s="659" t="s">
        <v>257</v>
      </c>
      <c r="E8" s="659">
        <v>24061</v>
      </c>
      <c r="F8" s="659" t="s">
        <v>303</v>
      </c>
      <c r="G8" s="659">
        <v>24051</v>
      </c>
      <c r="H8" s="659" t="s">
        <v>1982</v>
      </c>
      <c r="I8" s="659">
        <v>0</v>
      </c>
      <c r="J8" s="659" t="s">
        <v>1688</v>
      </c>
    </row>
    <row r="9" spans="1:12">
      <c r="A9" s="659">
        <v>29966</v>
      </c>
      <c r="B9" s="659" t="s">
        <v>1304</v>
      </c>
      <c r="C9" s="659">
        <v>1593</v>
      </c>
      <c r="D9" s="659" t="s">
        <v>1270</v>
      </c>
      <c r="E9" s="659">
        <v>31863</v>
      </c>
      <c r="F9" s="659" t="s">
        <v>2285</v>
      </c>
      <c r="G9" s="659">
        <v>0</v>
      </c>
      <c r="H9" s="659" t="s">
        <v>1688</v>
      </c>
      <c r="I9" s="659">
        <v>0</v>
      </c>
      <c r="J9" s="659" t="s">
        <v>1688</v>
      </c>
    </row>
    <row r="10" spans="1:12">
      <c r="A10" s="659">
        <v>33539</v>
      </c>
      <c r="B10" s="659" t="s">
        <v>1433</v>
      </c>
      <c r="C10" s="659">
        <v>2564</v>
      </c>
      <c r="D10" s="659" t="s">
        <v>2076</v>
      </c>
      <c r="E10" s="659">
        <v>0</v>
      </c>
      <c r="F10" s="659" t="s">
        <v>1688</v>
      </c>
      <c r="G10" s="659">
        <v>0</v>
      </c>
      <c r="H10" s="659" t="s">
        <v>1688</v>
      </c>
      <c r="I10" s="659">
        <v>0</v>
      </c>
      <c r="J10" s="659" t="s">
        <v>1688</v>
      </c>
    </row>
    <row r="11" spans="1:12">
      <c r="A11" s="659">
        <v>33919</v>
      </c>
      <c r="B11" s="659" t="s">
        <v>159</v>
      </c>
      <c r="C11" s="659">
        <v>0</v>
      </c>
      <c r="D11" s="659" t="s">
        <v>1688</v>
      </c>
      <c r="E11" s="659">
        <v>0</v>
      </c>
      <c r="F11" s="659" t="s">
        <v>1688</v>
      </c>
      <c r="G11" s="659">
        <v>0</v>
      </c>
      <c r="H11" s="659" t="s">
        <v>1688</v>
      </c>
      <c r="I11" s="659">
        <v>0</v>
      </c>
      <c r="J11" s="659" t="s">
        <v>1688</v>
      </c>
    </row>
    <row r="12" spans="1:12">
      <c r="A12" s="659">
        <v>33057</v>
      </c>
      <c r="B12" s="659" t="s">
        <v>2468</v>
      </c>
      <c r="C12" s="659">
        <v>0</v>
      </c>
      <c r="D12" s="659" t="s">
        <v>1688</v>
      </c>
      <c r="E12" s="659">
        <v>0</v>
      </c>
      <c r="F12" s="659" t="s">
        <v>1688</v>
      </c>
      <c r="G12" s="659">
        <v>0</v>
      </c>
      <c r="H12" s="659" t="s">
        <v>1688</v>
      </c>
      <c r="I12" s="659">
        <v>0</v>
      </c>
      <c r="J12" s="659" t="s">
        <v>1688</v>
      </c>
    </row>
    <row r="13" spans="1:12">
      <c r="A13" s="659">
        <v>28041</v>
      </c>
      <c r="B13" s="659" t="s">
        <v>184</v>
      </c>
      <c r="C13" s="659">
        <v>0</v>
      </c>
      <c r="D13" s="659" t="s">
        <v>1688</v>
      </c>
      <c r="E13" s="659">
        <v>0</v>
      </c>
      <c r="F13" s="659" t="s">
        <v>1688</v>
      </c>
      <c r="G13" s="659">
        <v>0</v>
      </c>
      <c r="H13" s="659" t="s">
        <v>1688</v>
      </c>
      <c r="I13" s="659">
        <v>0</v>
      </c>
      <c r="J13" s="659" t="s">
        <v>1688</v>
      </c>
    </row>
    <row r="14" spans="1:12">
      <c r="A14" s="659">
        <v>34472</v>
      </c>
      <c r="B14" s="659" t="s">
        <v>990</v>
      </c>
      <c r="C14" s="659">
        <v>0</v>
      </c>
      <c r="D14" s="659" t="s">
        <v>1688</v>
      </c>
      <c r="E14" s="659">
        <v>0</v>
      </c>
      <c r="F14" s="659" t="s">
        <v>1688</v>
      </c>
      <c r="G14" s="659">
        <v>0</v>
      </c>
      <c r="H14" s="659" t="s">
        <v>1688</v>
      </c>
      <c r="I14" s="659">
        <v>0</v>
      </c>
      <c r="J14" s="659" t="s">
        <v>1688</v>
      </c>
    </row>
    <row r="15" spans="1:12">
      <c r="A15" s="659">
        <v>27519</v>
      </c>
      <c r="B15" s="659" t="s">
        <v>1412</v>
      </c>
      <c r="C15" s="659">
        <v>0</v>
      </c>
      <c r="D15" s="659" t="s">
        <v>1688</v>
      </c>
      <c r="E15" s="659">
        <v>0</v>
      </c>
      <c r="F15" s="659" t="s">
        <v>1688</v>
      </c>
      <c r="G15" s="659">
        <v>0</v>
      </c>
      <c r="H15" s="659" t="s">
        <v>1688</v>
      </c>
      <c r="I15" s="659">
        <v>0</v>
      </c>
      <c r="J15" s="659" t="s">
        <v>1688</v>
      </c>
    </row>
    <row r="16" spans="1:12">
      <c r="A16" s="659">
        <v>28295</v>
      </c>
      <c r="B16" s="659" t="s">
        <v>1384</v>
      </c>
      <c r="C16" s="659">
        <v>2673</v>
      </c>
      <c r="D16" s="659" t="s">
        <v>1228</v>
      </c>
      <c r="E16" s="659">
        <v>0</v>
      </c>
      <c r="F16" s="659" t="s">
        <v>1688</v>
      </c>
      <c r="G16" s="659">
        <v>0</v>
      </c>
      <c r="H16" s="659" t="s">
        <v>1688</v>
      </c>
      <c r="I16" s="659">
        <v>0</v>
      </c>
      <c r="J16" s="659" t="s">
        <v>1688</v>
      </c>
    </row>
    <row r="17" spans="1:10">
      <c r="A17" s="659">
        <v>32027</v>
      </c>
      <c r="B17" s="659" t="s">
        <v>521</v>
      </c>
      <c r="C17" s="659">
        <v>2673</v>
      </c>
      <c r="D17" s="659" t="s">
        <v>1228</v>
      </c>
      <c r="E17" s="659">
        <v>0</v>
      </c>
      <c r="F17" s="659" t="s">
        <v>1688</v>
      </c>
      <c r="G17" s="659">
        <v>0</v>
      </c>
      <c r="H17" s="659" t="s">
        <v>1688</v>
      </c>
      <c r="I17" s="659">
        <v>0</v>
      </c>
      <c r="J17" s="659" t="s">
        <v>1688</v>
      </c>
    </row>
    <row r="18" spans="1:10">
      <c r="A18" s="659">
        <v>28826</v>
      </c>
      <c r="B18" s="659" t="s">
        <v>1150</v>
      </c>
      <c r="C18" s="659">
        <v>0</v>
      </c>
      <c r="D18" s="659" t="s">
        <v>1688</v>
      </c>
      <c r="E18" s="659">
        <v>0</v>
      </c>
      <c r="F18" s="659" t="s">
        <v>1688</v>
      </c>
      <c r="G18" s="659">
        <v>0</v>
      </c>
      <c r="H18" s="659" t="s">
        <v>1688</v>
      </c>
      <c r="I18" s="659">
        <v>0</v>
      </c>
      <c r="J18" s="659" t="s">
        <v>1688</v>
      </c>
    </row>
    <row r="19" spans="1:10">
      <c r="A19" s="659">
        <v>35221</v>
      </c>
      <c r="B19" s="659" t="s">
        <v>1688</v>
      </c>
      <c r="C19" s="659">
        <v>0</v>
      </c>
      <c r="D19" s="659" t="s">
        <v>1688</v>
      </c>
      <c r="E19" s="659">
        <v>0</v>
      </c>
      <c r="F19" s="659" t="s">
        <v>1688</v>
      </c>
      <c r="G19" s="659">
        <v>0</v>
      </c>
      <c r="H19" s="659" t="s">
        <v>1688</v>
      </c>
      <c r="I19" s="659">
        <v>0</v>
      </c>
      <c r="J19" s="659" t="s">
        <v>1688</v>
      </c>
    </row>
    <row r="20" spans="1:10">
      <c r="B20" s="659" t="s">
        <v>1688</v>
      </c>
      <c r="D20" s="659" t="s">
        <v>1688</v>
      </c>
      <c r="F20" s="659" t="s">
        <v>1688</v>
      </c>
      <c r="H20" s="659" t="s">
        <v>1688</v>
      </c>
      <c r="J20" s="659" t="s">
        <v>1688</v>
      </c>
    </row>
    <row r="21" spans="1:10">
      <c r="B21" s="659" t="s">
        <v>1688</v>
      </c>
      <c r="D21" s="659" t="s">
        <v>1688</v>
      </c>
      <c r="F21" s="659" t="s">
        <v>1688</v>
      </c>
      <c r="H21" s="659" t="s">
        <v>1688</v>
      </c>
      <c r="J21" s="659" t="s">
        <v>1688</v>
      </c>
    </row>
    <row r="23" spans="1:10">
      <c r="A23" s="660" t="s">
        <v>2469</v>
      </c>
    </row>
    <row r="24" spans="1:10">
      <c r="A24" s="659" t="s">
        <v>2464</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workbookViewId="0"/>
  </sheetViews>
  <sheetFormatPr defaultRowHeight="12.75"/>
  <sheetData>
    <row r="1" spans="1:4">
      <c r="A1">
        <v>0</v>
      </c>
      <c r="B1" t="s">
        <v>1688</v>
      </c>
    </row>
    <row r="2" spans="1:4">
      <c r="A2" s="253">
        <v>28362</v>
      </c>
      <c r="B2" s="661" t="s">
        <v>1693</v>
      </c>
      <c r="C2" s="6" t="b">
        <v>0</v>
      </c>
      <c r="D2" s="6">
        <v>2</v>
      </c>
    </row>
    <row r="3" spans="1:4">
      <c r="A3" s="253">
        <v>28595</v>
      </c>
      <c r="B3" s="661" t="s">
        <v>1694</v>
      </c>
      <c r="C3" s="6" t="b">
        <v>0</v>
      </c>
      <c r="D3" s="6">
        <v>3</v>
      </c>
    </row>
    <row r="4" spans="1:4">
      <c r="A4" s="253">
        <v>32197</v>
      </c>
      <c r="B4" s="661" t="s">
        <v>1695</v>
      </c>
      <c r="C4" s="6" t="b">
        <v>0</v>
      </c>
      <c r="D4" s="6">
        <v>4</v>
      </c>
    </row>
    <row r="5" spans="1:4">
      <c r="A5" s="253">
        <v>35487</v>
      </c>
      <c r="B5" s="661" t="s">
        <v>808</v>
      </c>
      <c r="C5" s="6" t="b">
        <v>0</v>
      </c>
      <c r="D5" s="6">
        <v>5</v>
      </c>
    </row>
    <row r="6" spans="1:4">
      <c r="A6" s="253">
        <v>24031</v>
      </c>
      <c r="B6" s="661" t="s">
        <v>1696</v>
      </c>
      <c r="C6" s="6" t="b">
        <v>0</v>
      </c>
      <c r="D6" s="6">
        <v>6</v>
      </c>
    </row>
    <row r="7" spans="1:4">
      <c r="A7" s="253">
        <v>33131</v>
      </c>
      <c r="B7" s="661" t="s">
        <v>1621</v>
      </c>
      <c r="C7" s="6" t="b">
        <v>0</v>
      </c>
      <c r="D7" s="6">
        <v>7</v>
      </c>
    </row>
    <row r="8" spans="1:4">
      <c r="A8" s="253">
        <v>23097</v>
      </c>
      <c r="B8" s="661" t="s">
        <v>1697</v>
      </c>
      <c r="C8" s="6" t="b">
        <v>0</v>
      </c>
      <c r="D8" s="6">
        <v>8</v>
      </c>
    </row>
    <row r="9" spans="1:4">
      <c r="A9" s="253">
        <v>32194</v>
      </c>
      <c r="B9" s="661" t="s">
        <v>1921</v>
      </c>
      <c r="C9" s="6" t="b">
        <v>0</v>
      </c>
      <c r="D9" s="6">
        <v>9</v>
      </c>
    </row>
    <row r="10" spans="1:4">
      <c r="A10" s="253">
        <v>24028</v>
      </c>
      <c r="B10" s="661" t="s">
        <v>1922</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1207</v>
      </c>
      <c r="C13" s="6" t="b">
        <v>0</v>
      </c>
      <c r="D13" s="6">
        <v>13</v>
      </c>
    </row>
    <row r="14" spans="1:4">
      <c r="A14" s="253">
        <v>28361</v>
      </c>
      <c r="B14" s="661" t="s">
        <v>603</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2285</v>
      </c>
      <c r="C17" s="6" t="b">
        <v>0</v>
      </c>
      <c r="D17" s="6">
        <v>19</v>
      </c>
    </row>
    <row r="18" spans="1:4">
      <c r="A18" s="258">
        <v>31862</v>
      </c>
      <c r="B18" s="662" t="s">
        <v>1495</v>
      </c>
      <c r="C18" s="6" t="b">
        <v>0</v>
      </c>
      <c r="D18" s="6">
        <v>20</v>
      </c>
    </row>
    <row r="19" spans="1:4">
      <c r="A19" s="258">
        <v>32213</v>
      </c>
      <c r="B19" s="662" t="s">
        <v>1717</v>
      </c>
      <c r="C19" s="6" t="b">
        <v>0</v>
      </c>
      <c r="D19" s="6">
        <v>21</v>
      </c>
    </row>
    <row r="20" spans="1:4">
      <c r="A20" s="258">
        <v>30574</v>
      </c>
      <c r="B20" s="662" t="s">
        <v>2286</v>
      </c>
      <c r="C20" s="6" t="b">
        <v>0</v>
      </c>
      <c r="D20" s="6">
        <v>22</v>
      </c>
    </row>
    <row r="21" spans="1:4">
      <c r="A21" s="258">
        <v>30566</v>
      </c>
      <c r="B21" s="662" t="s">
        <v>88</v>
      </c>
      <c r="C21" s="6" t="b">
        <v>1</v>
      </c>
      <c r="D21" s="6">
        <v>23</v>
      </c>
    </row>
    <row r="22" spans="1:4">
      <c r="A22" s="258">
        <v>31118</v>
      </c>
      <c r="B22" s="662" t="s">
        <v>2287</v>
      </c>
      <c r="C22" s="6" t="b">
        <v>0</v>
      </c>
      <c r="D22" s="6">
        <v>24</v>
      </c>
    </row>
    <row r="23" spans="1:4">
      <c r="A23" s="258">
        <v>30563</v>
      </c>
      <c r="B23" s="662" t="s">
        <v>81</v>
      </c>
      <c r="C23" s="6" t="b">
        <v>1</v>
      </c>
      <c r="D23" s="6">
        <v>25</v>
      </c>
    </row>
    <row r="24" spans="1:4">
      <c r="A24" s="258">
        <v>30563</v>
      </c>
      <c r="B24" s="662" t="s">
        <v>2288</v>
      </c>
      <c r="C24" s="6" t="b">
        <v>1</v>
      </c>
      <c r="D24" s="6">
        <v>26</v>
      </c>
    </row>
    <row r="25" spans="1:4">
      <c r="A25" s="258">
        <v>24055</v>
      </c>
      <c r="B25" s="662" t="s">
        <v>1978</v>
      </c>
      <c r="C25" s="6" t="b">
        <v>0</v>
      </c>
      <c r="D25" s="6">
        <v>27</v>
      </c>
    </row>
    <row r="26" spans="1:4">
      <c r="A26" s="258">
        <v>23110</v>
      </c>
      <c r="B26" s="662" t="s">
        <v>1979</v>
      </c>
      <c r="C26" s="6" t="b">
        <v>0</v>
      </c>
      <c r="D26" s="6">
        <v>28</v>
      </c>
    </row>
    <row r="27" spans="1:4">
      <c r="A27" s="258">
        <v>32212</v>
      </c>
      <c r="B27" s="662" t="s">
        <v>1980</v>
      </c>
      <c r="C27" s="6" t="b">
        <v>0</v>
      </c>
      <c r="D27" s="6">
        <v>29</v>
      </c>
    </row>
    <row r="28" spans="1:4">
      <c r="A28" s="258">
        <v>30549</v>
      </c>
      <c r="B28" s="662" t="s">
        <v>1349</v>
      </c>
      <c r="C28" s="6" t="b">
        <v>0</v>
      </c>
      <c r="D28" s="6">
        <v>30</v>
      </c>
    </row>
    <row r="29" spans="1:4">
      <c r="A29" s="258">
        <v>30546</v>
      </c>
      <c r="B29" s="662" t="s">
        <v>80</v>
      </c>
      <c r="C29" s="6" t="b">
        <v>0</v>
      </c>
      <c r="D29" s="6">
        <v>31</v>
      </c>
    </row>
    <row r="30" spans="1:4">
      <c r="A30" s="258">
        <v>32634</v>
      </c>
      <c r="B30" s="662" t="s">
        <v>1497</v>
      </c>
      <c r="C30" s="6" t="b">
        <v>0</v>
      </c>
      <c r="D30" s="6">
        <v>32</v>
      </c>
    </row>
    <row r="31" spans="1:4">
      <c r="A31" s="263">
        <v>34256</v>
      </c>
      <c r="B31" s="663" t="s">
        <v>1494</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1708</v>
      </c>
      <c r="C35" s="6" t="b">
        <v>1</v>
      </c>
      <c r="D35" s="6">
        <v>39</v>
      </c>
    </row>
    <row r="36" spans="1:4">
      <c r="A36" s="263">
        <v>24033</v>
      </c>
      <c r="B36" s="663" t="s">
        <v>1709</v>
      </c>
      <c r="C36" s="6" t="b">
        <v>1</v>
      </c>
      <c r="D36" s="6">
        <v>40</v>
      </c>
    </row>
    <row r="37" spans="1:4">
      <c r="A37" s="268">
        <v>27786</v>
      </c>
      <c r="B37" s="664" t="s">
        <v>604</v>
      </c>
      <c r="C37" s="6" t="b">
        <v>0</v>
      </c>
      <c r="D37" s="6">
        <v>43</v>
      </c>
    </row>
    <row r="38" spans="1:4">
      <c r="A38" s="268">
        <v>27809</v>
      </c>
      <c r="B38" s="664" t="s">
        <v>1492</v>
      </c>
      <c r="C38" s="6" t="b">
        <v>0</v>
      </c>
      <c r="D38" s="6">
        <v>44</v>
      </c>
    </row>
    <row r="39" spans="1:4">
      <c r="A39" s="268">
        <v>30590</v>
      </c>
      <c r="B39" s="664" t="s">
        <v>89</v>
      </c>
      <c r="C39" s="6" t="b">
        <v>1</v>
      </c>
      <c r="D39" s="6">
        <v>45</v>
      </c>
    </row>
    <row r="40" spans="1:4">
      <c r="A40" s="268">
        <v>23105</v>
      </c>
      <c r="B40" s="664" t="s">
        <v>1863</v>
      </c>
      <c r="C40" s="6" t="b">
        <v>1</v>
      </c>
      <c r="D40" s="6">
        <v>46</v>
      </c>
    </row>
    <row r="41" spans="1:4">
      <c r="A41" s="268">
        <v>32223</v>
      </c>
      <c r="B41" s="664" t="s">
        <v>1857</v>
      </c>
      <c r="C41" s="6" t="b">
        <v>1</v>
      </c>
      <c r="D41" s="6">
        <v>47</v>
      </c>
    </row>
    <row r="42" spans="1:4">
      <c r="A42" s="268">
        <v>24062</v>
      </c>
      <c r="B42" s="664" t="s">
        <v>1862</v>
      </c>
      <c r="C42" s="6" t="b">
        <v>1</v>
      </c>
      <c r="D42" s="6">
        <v>48</v>
      </c>
    </row>
    <row r="43" spans="1:4">
      <c r="A43" s="268">
        <v>30602</v>
      </c>
      <c r="B43" s="664" t="s">
        <v>1710</v>
      </c>
      <c r="C43" s="6" t="b">
        <v>0</v>
      </c>
      <c r="D43" s="6">
        <v>49</v>
      </c>
    </row>
    <row r="44" spans="1:4">
      <c r="A44" s="268">
        <v>23104</v>
      </c>
      <c r="B44" s="664" t="s">
        <v>1711</v>
      </c>
      <c r="C44" s="6" t="b">
        <v>0</v>
      </c>
      <c r="D44" s="6">
        <v>50</v>
      </c>
    </row>
    <row r="45" spans="1:4">
      <c r="A45" s="268">
        <v>32226</v>
      </c>
      <c r="B45" s="664" t="s">
        <v>1712</v>
      </c>
      <c r="C45" s="6" t="b">
        <v>0</v>
      </c>
      <c r="D45" s="6">
        <v>51</v>
      </c>
    </row>
    <row r="46" spans="1:4">
      <c r="A46" s="268">
        <v>24067</v>
      </c>
      <c r="B46" s="664" t="s">
        <v>1713</v>
      </c>
      <c r="C46" s="6" t="b">
        <v>0</v>
      </c>
      <c r="D46" s="6">
        <v>52</v>
      </c>
    </row>
    <row r="47" spans="1:4">
      <c r="A47" s="268">
        <v>30592</v>
      </c>
      <c r="B47" s="664" t="s">
        <v>1714</v>
      </c>
      <c r="C47" s="6" t="b">
        <v>1</v>
      </c>
      <c r="D47" s="6">
        <v>53</v>
      </c>
    </row>
    <row r="48" spans="1:4">
      <c r="A48" s="268">
        <v>35758</v>
      </c>
      <c r="B48" s="664" t="s">
        <v>1858</v>
      </c>
      <c r="C48" s="6" t="b">
        <v>1</v>
      </c>
      <c r="D48" s="6">
        <v>54</v>
      </c>
    </row>
    <row r="49" spans="1:4">
      <c r="A49" s="268">
        <v>33782</v>
      </c>
      <c r="B49" s="664" t="s">
        <v>1498</v>
      </c>
      <c r="C49" s="6" t="b">
        <v>1</v>
      </c>
      <c r="D49" s="6">
        <v>55</v>
      </c>
    </row>
    <row r="50" spans="1:4">
      <c r="A50" s="273">
        <v>33144</v>
      </c>
      <c r="B50" s="665" t="s">
        <v>1866</v>
      </c>
      <c r="C50" s="6" t="b">
        <v>1</v>
      </c>
      <c r="D50" s="6">
        <v>58</v>
      </c>
    </row>
    <row r="51" spans="1:4">
      <c r="A51" s="273">
        <v>24053</v>
      </c>
      <c r="B51" s="665" t="s">
        <v>1499</v>
      </c>
      <c r="C51" s="6" t="b">
        <v>1</v>
      </c>
      <c r="D51" s="6">
        <v>59</v>
      </c>
    </row>
    <row r="52" spans="1:4">
      <c r="A52" s="273">
        <v>32209</v>
      </c>
      <c r="B52" s="665" t="s">
        <v>1981</v>
      </c>
      <c r="C52" s="6" t="b">
        <v>1</v>
      </c>
      <c r="D52" s="6">
        <v>60</v>
      </c>
    </row>
    <row r="53" spans="1:4">
      <c r="A53" s="273">
        <v>24051</v>
      </c>
      <c r="B53" s="665" t="s">
        <v>1982</v>
      </c>
      <c r="C53" s="6" t="b">
        <v>0</v>
      </c>
      <c r="D53" s="6">
        <v>61</v>
      </c>
    </row>
    <row r="54" spans="1:4">
      <c r="A54" s="273">
        <v>23116</v>
      </c>
      <c r="B54" s="665" t="s">
        <v>1983</v>
      </c>
      <c r="C54" s="6" t="b">
        <v>0</v>
      </c>
      <c r="D54" s="6">
        <v>62</v>
      </c>
    </row>
    <row r="55" spans="1:4">
      <c r="A55" s="273">
        <v>32206</v>
      </c>
      <c r="B55" s="665" t="s">
        <v>1984</v>
      </c>
      <c r="C55" s="6" t="b">
        <v>0</v>
      </c>
      <c r="D55" s="6">
        <v>63</v>
      </c>
    </row>
    <row r="56" spans="1:4">
      <c r="A56" s="273">
        <v>24048</v>
      </c>
      <c r="B56" s="665" t="s">
        <v>558</v>
      </c>
      <c r="C56" s="6" t="b">
        <v>0</v>
      </c>
      <c r="D56" s="6">
        <v>64</v>
      </c>
    </row>
    <row r="57" spans="1:4">
      <c r="A57" s="273">
        <v>28290</v>
      </c>
      <c r="B57" s="665" t="s">
        <v>559</v>
      </c>
      <c r="C57" s="6" t="b">
        <v>0</v>
      </c>
      <c r="D57" s="6">
        <v>65</v>
      </c>
    </row>
    <row r="58" spans="1:4">
      <c r="A58" s="273">
        <v>32205</v>
      </c>
      <c r="B58" s="665" t="s">
        <v>2042</v>
      </c>
      <c r="C58" s="6" t="b">
        <v>0</v>
      </c>
      <c r="D58" s="6">
        <v>66</v>
      </c>
    </row>
    <row r="59" spans="1:4">
      <c r="A59" s="273">
        <v>28119</v>
      </c>
      <c r="B59" s="665" t="s">
        <v>1418</v>
      </c>
      <c r="C59" s="6" t="b">
        <v>0</v>
      </c>
      <c r="D59" s="6">
        <v>67</v>
      </c>
    </row>
    <row r="60" spans="1:4">
      <c r="A60" s="273">
        <v>33143</v>
      </c>
      <c r="B60" s="665" t="s">
        <v>1666</v>
      </c>
      <c r="C60" s="6" t="b">
        <v>0</v>
      </c>
      <c r="D60" s="6">
        <v>68</v>
      </c>
    </row>
    <row r="61" spans="1:4">
      <c r="A61" s="273">
        <v>27679</v>
      </c>
      <c r="B61" s="665" t="s">
        <v>1419</v>
      </c>
      <c r="C61" s="6" t="b">
        <v>1</v>
      </c>
      <c r="D61" s="6">
        <v>69</v>
      </c>
    </row>
    <row r="62" spans="1:4">
      <c r="A62" s="273">
        <v>24052</v>
      </c>
      <c r="B62" s="665" t="s">
        <v>1871</v>
      </c>
      <c r="C62" s="6" t="b">
        <v>1</v>
      </c>
      <c r="D62" s="6">
        <v>70</v>
      </c>
    </row>
    <row r="63" spans="1:4">
      <c r="A63" s="273">
        <v>23115</v>
      </c>
      <c r="B63" s="665" t="s">
        <v>1872</v>
      </c>
      <c r="C63" s="6" t="b">
        <v>1</v>
      </c>
      <c r="D63" s="6">
        <v>71</v>
      </c>
    </row>
    <row r="64" spans="1:4">
      <c r="A64" s="273">
        <v>32208</v>
      </c>
      <c r="B64" s="665" t="s">
        <v>1868</v>
      </c>
      <c r="C64" s="6" t="b">
        <v>1</v>
      </c>
      <c r="D64" s="6">
        <v>72</v>
      </c>
    </row>
    <row r="65" spans="1:4">
      <c r="A65" s="278">
        <v>30565</v>
      </c>
      <c r="B65" s="666" t="s">
        <v>296</v>
      </c>
      <c r="C65" s="6" t="b">
        <v>0</v>
      </c>
      <c r="D65" s="6">
        <v>75</v>
      </c>
    </row>
    <row r="66" spans="1:4">
      <c r="A66" s="278">
        <v>30601</v>
      </c>
      <c r="B66" s="666" t="s">
        <v>1875</v>
      </c>
      <c r="C66" s="6" t="b">
        <v>1</v>
      </c>
      <c r="D66" s="6">
        <v>76</v>
      </c>
    </row>
    <row r="67" spans="1:4">
      <c r="A67" s="278">
        <v>30587</v>
      </c>
      <c r="B67" s="666" t="s">
        <v>1876</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1877</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1878</v>
      </c>
      <c r="C77" s="6" t="b">
        <v>0</v>
      </c>
      <c r="D77" s="6">
        <v>87</v>
      </c>
    </row>
    <row r="78" spans="1:4">
      <c r="A78" s="278">
        <v>23098</v>
      </c>
      <c r="B78" s="666" t="s">
        <v>1679</v>
      </c>
      <c r="C78" s="6" t="b">
        <v>0</v>
      </c>
      <c r="D78" s="6">
        <v>88</v>
      </c>
    </row>
    <row r="79" spans="1:4">
      <c r="A79" s="278">
        <v>24058</v>
      </c>
      <c r="B79" s="666" t="s">
        <v>1680</v>
      </c>
      <c r="C79" s="6" t="b">
        <v>0</v>
      </c>
      <c r="D79" s="6">
        <v>89</v>
      </c>
    </row>
    <row r="80" spans="1:4">
      <c r="A80" s="278">
        <v>28363</v>
      </c>
      <c r="B80" s="666" t="s">
        <v>1681</v>
      </c>
      <c r="C80" s="6" t="b">
        <v>0</v>
      </c>
      <c r="D80" s="6">
        <v>90</v>
      </c>
    </row>
    <row r="81" spans="1:4">
      <c r="A81" s="278">
        <v>32217</v>
      </c>
      <c r="B81" s="666" t="s">
        <v>1682</v>
      </c>
      <c r="C81" s="6" t="b">
        <v>0</v>
      </c>
      <c r="D81" s="6">
        <v>91</v>
      </c>
    </row>
    <row r="82" spans="1:4">
      <c r="A82" s="278">
        <v>30575</v>
      </c>
      <c r="B82" s="666" t="s">
        <v>1683</v>
      </c>
      <c r="C82" s="6" t="b">
        <v>0</v>
      </c>
      <c r="D82" s="6">
        <v>92</v>
      </c>
    </row>
    <row r="83" spans="1:4">
      <c r="A83" s="278">
        <v>30553</v>
      </c>
      <c r="B83" s="666" t="s">
        <v>1684</v>
      </c>
      <c r="C83" s="6" t="b">
        <v>0</v>
      </c>
      <c r="D83" s="6">
        <v>93</v>
      </c>
    </row>
    <row r="84" spans="1:4">
      <c r="A84" s="278">
        <v>30604</v>
      </c>
      <c r="B84" s="666" t="s">
        <v>1258</v>
      </c>
      <c r="C84" s="6" t="b">
        <v>0</v>
      </c>
      <c r="D84" s="6">
        <v>94</v>
      </c>
    </row>
    <row r="85" spans="1:4">
      <c r="A85" s="278">
        <v>30607</v>
      </c>
      <c r="B85" s="666" t="s">
        <v>1551</v>
      </c>
      <c r="C85" s="6" t="b">
        <v>1</v>
      </c>
      <c r="D85" s="6">
        <v>95</v>
      </c>
    </row>
    <row r="86" spans="1:4">
      <c r="A86" s="278">
        <v>30554</v>
      </c>
      <c r="B86" s="666" t="s">
        <v>1552</v>
      </c>
      <c r="C86" s="6" t="b">
        <v>1</v>
      </c>
      <c r="D86" s="6">
        <v>96</v>
      </c>
    </row>
    <row r="87" spans="1:4">
      <c r="A87" s="278">
        <v>32637</v>
      </c>
      <c r="B87" s="666" t="s">
        <v>1500</v>
      </c>
      <c r="C87" s="6" t="b">
        <v>0</v>
      </c>
      <c r="D87" s="6">
        <v>97</v>
      </c>
    </row>
    <row r="88" spans="1:4">
      <c r="A88" s="278">
        <v>31869</v>
      </c>
      <c r="B88" s="666" t="s">
        <v>1501</v>
      </c>
      <c r="C88" s="6" t="b">
        <v>0</v>
      </c>
      <c r="D88" s="6">
        <v>98</v>
      </c>
    </row>
    <row r="89" spans="1:4">
      <c r="A89" s="278">
        <v>31868</v>
      </c>
      <c r="B89" s="666" t="s">
        <v>2071</v>
      </c>
      <c r="C89" s="6" t="b">
        <v>0</v>
      </c>
      <c r="D89" s="6">
        <v>99</v>
      </c>
    </row>
    <row r="90" spans="1:4">
      <c r="A90" s="278">
        <v>32222</v>
      </c>
      <c r="B90" s="666" t="s">
        <v>2072</v>
      </c>
      <c r="C90" s="6" t="b">
        <v>0</v>
      </c>
      <c r="D90" s="6">
        <v>100</v>
      </c>
    </row>
    <row r="91" spans="1:4">
      <c r="A91" s="212" t="s">
        <v>1933</v>
      </c>
      <c r="B91" s="117" t="s">
        <v>1108</v>
      </c>
      <c r="C91" s="6"/>
      <c r="D91" s="6"/>
    </row>
    <row r="92" spans="1:4">
      <c r="A92" s="120">
        <v>25899</v>
      </c>
      <c r="B92" s="6" t="s">
        <v>1667</v>
      </c>
      <c r="C92" s="6" t="s">
        <v>1923</v>
      </c>
      <c r="D92" s="6"/>
    </row>
    <row r="93" spans="1:4">
      <c r="A93" s="120">
        <v>25895</v>
      </c>
      <c r="B93" s="6" t="s">
        <v>1668</v>
      </c>
      <c r="C93" s="6" t="s">
        <v>1923</v>
      </c>
      <c r="D93" s="6"/>
    </row>
    <row r="94" spans="1:4">
      <c r="A94" s="120">
        <v>32640</v>
      </c>
      <c r="B94" s="6" t="s">
        <v>1502</v>
      </c>
      <c r="C94" s="6" t="s">
        <v>1923</v>
      </c>
      <c r="D94" s="6"/>
    </row>
    <row r="95" spans="1:4">
      <c r="A95" s="120">
        <v>25896</v>
      </c>
      <c r="B95" s="6" t="s">
        <v>291</v>
      </c>
      <c r="C95" s="6" t="s">
        <v>1923</v>
      </c>
      <c r="D95" s="6"/>
    </row>
    <row r="96" spans="1:4">
      <c r="A96" s="120">
        <v>32409</v>
      </c>
      <c r="B96" s="6" t="s">
        <v>292</v>
      </c>
      <c r="C96" s="6" t="s">
        <v>1923</v>
      </c>
      <c r="D96" s="6"/>
    </row>
    <row r="97" spans="1:4">
      <c r="A97" s="120">
        <v>25894</v>
      </c>
      <c r="B97" s="6" t="s">
        <v>293</v>
      </c>
      <c r="C97" s="6" t="s">
        <v>1923</v>
      </c>
      <c r="D97" s="6"/>
    </row>
    <row r="98" spans="1:4">
      <c r="A98" s="120">
        <v>28556</v>
      </c>
      <c r="B98" s="6" t="s">
        <v>294</v>
      </c>
      <c r="C98" s="6" t="s">
        <v>1923</v>
      </c>
      <c r="D98" s="6"/>
    </row>
    <row r="99" spans="1:4">
      <c r="A99" s="120">
        <v>32410</v>
      </c>
      <c r="B99" s="6" t="s">
        <v>295</v>
      </c>
      <c r="C99" s="6" t="s">
        <v>1923</v>
      </c>
      <c r="D99" s="6"/>
    </row>
    <row r="100" spans="1:4">
      <c r="A100" s="231">
        <v>35033</v>
      </c>
      <c r="B100" s="233" t="s">
        <v>1483</v>
      </c>
    </row>
    <row r="101" spans="1:4">
      <c r="A101" s="231">
        <v>29502</v>
      </c>
      <c r="B101" s="233" t="s">
        <v>1048</v>
      </c>
    </row>
    <row r="102" spans="1:4">
      <c r="A102" s="231">
        <v>32088</v>
      </c>
      <c r="B102" s="233" t="s">
        <v>2470</v>
      </c>
    </row>
    <row r="103" spans="1:4">
      <c r="A103" s="231">
        <v>28732</v>
      </c>
      <c r="B103" s="233" t="s">
        <v>1049</v>
      </c>
    </row>
    <row r="104" spans="1:4">
      <c r="A104" s="318">
        <v>28206</v>
      </c>
      <c r="B104" s="317" t="s">
        <v>2471</v>
      </c>
    </row>
    <row r="105" spans="1:4">
      <c r="A105" s="231">
        <v>32235</v>
      </c>
      <c r="B105" s="233" t="s">
        <v>2248</v>
      </c>
    </row>
    <row r="106" spans="1:4">
      <c r="A106" s="318">
        <v>27415</v>
      </c>
      <c r="B106" s="317" t="s">
        <v>1052</v>
      </c>
    </row>
    <row r="107" spans="1:4">
      <c r="A107" s="231">
        <v>32478</v>
      </c>
      <c r="B107" s="232" t="s">
        <v>1053</v>
      </c>
    </row>
    <row r="108" spans="1:4">
      <c r="A108" s="238">
        <v>30146</v>
      </c>
      <c r="B108" s="230" t="s">
        <v>1056</v>
      </c>
    </row>
    <row r="109" spans="1:4">
      <c r="A109" s="231">
        <v>34244</v>
      </c>
      <c r="B109" s="233" t="s">
        <v>964</v>
      </c>
    </row>
    <row r="110" spans="1:4">
      <c r="A110" s="318">
        <v>28561</v>
      </c>
      <c r="B110" s="317" t="s">
        <v>2472</v>
      </c>
    </row>
    <row r="111" spans="1:4">
      <c r="A111" s="238">
        <v>25830</v>
      </c>
      <c r="B111" s="230" t="s">
        <v>1066</v>
      </c>
    </row>
    <row r="112" spans="1:4">
      <c r="A112" s="318">
        <v>28685</v>
      </c>
      <c r="B112" s="319" t="s">
        <v>2473</v>
      </c>
    </row>
    <row r="113" spans="1:2">
      <c r="A113" s="238">
        <v>33479</v>
      </c>
      <c r="B113" s="230" t="s">
        <v>547</v>
      </c>
    </row>
    <row r="114" spans="1:2">
      <c r="A114" s="318">
        <v>28414</v>
      </c>
      <c r="B114" s="317" t="s">
        <v>1070</v>
      </c>
    </row>
    <row r="115" spans="1:2">
      <c r="A115" s="318">
        <v>28182</v>
      </c>
      <c r="B115" s="317" t="s">
        <v>1072</v>
      </c>
    </row>
    <row r="116" spans="1:2">
      <c r="A116" s="318">
        <v>28837</v>
      </c>
      <c r="B116" s="319" t="s">
        <v>2474</v>
      </c>
    </row>
    <row r="117" spans="1:2">
      <c r="A117" s="318">
        <v>23763</v>
      </c>
      <c r="B117" s="319" t="s">
        <v>2475</v>
      </c>
    </row>
    <row r="118" spans="1:2">
      <c r="A118" s="238">
        <v>28796</v>
      </c>
      <c r="B118" s="230" t="s">
        <v>1073</v>
      </c>
    </row>
    <row r="119" spans="1:2">
      <c r="A119" s="238">
        <v>32087</v>
      </c>
      <c r="B119" s="230" t="s">
        <v>1074</v>
      </c>
    </row>
    <row r="120" spans="1:2">
      <c r="A120" s="238">
        <v>34404</v>
      </c>
      <c r="B120" s="230" t="s">
        <v>1210</v>
      </c>
    </row>
    <row r="121" spans="1:2">
      <c r="A121" s="318">
        <v>31281</v>
      </c>
      <c r="B121" s="317" t="s">
        <v>1075</v>
      </c>
    </row>
    <row r="122" spans="1:2">
      <c r="A122" s="238">
        <v>31999</v>
      </c>
      <c r="B122" s="230" t="s">
        <v>1076</v>
      </c>
    </row>
    <row r="123" spans="1:2">
      <c r="A123" s="238">
        <v>29044</v>
      </c>
      <c r="B123" s="239" t="s">
        <v>461</v>
      </c>
    </row>
    <row r="124" spans="1:2">
      <c r="A124" s="318">
        <v>35367</v>
      </c>
      <c r="B124" s="319" t="s">
        <v>704</v>
      </c>
    </row>
    <row r="125" spans="1:2">
      <c r="A125" s="238">
        <v>34353</v>
      </c>
      <c r="B125" s="239" t="s">
        <v>979</v>
      </c>
    </row>
    <row r="126" spans="1:2">
      <c r="A126" s="318">
        <v>27938</v>
      </c>
      <c r="B126" s="317" t="s">
        <v>1078</v>
      </c>
    </row>
    <row r="127" spans="1:2">
      <c r="A127" s="231">
        <v>31027</v>
      </c>
      <c r="B127" s="233" t="s">
        <v>997</v>
      </c>
    </row>
    <row r="128" spans="1:2">
      <c r="A128" s="318">
        <v>31109</v>
      </c>
      <c r="B128" s="317" t="s">
        <v>999</v>
      </c>
    </row>
    <row r="129" spans="1:2">
      <c r="A129" s="318">
        <v>25680</v>
      </c>
      <c r="B129" s="317" t="s">
        <v>2476</v>
      </c>
    </row>
    <row r="130" spans="1:2">
      <c r="A130" s="318">
        <v>29332</v>
      </c>
      <c r="B130" s="317" t="s">
        <v>2477</v>
      </c>
    </row>
    <row r="131" spans="1:2">
      <c r="A131" s="238">
        <v>31333</v>
      </c>
      <c r="B131" s="230" t="s">
        <v>1001</v>
      </c>
    </row>
    <row r="132" spans="1:2">
      <c r="A132" s="238">
        <v>33701</v>
      </c>
      <c r="B132" s="230" t="s">
        <v>1524</v>
      </c>
    </row>
    <row r="133" spans="1:2">
      <c r="A133" s="318">
        <v>28224</v>
      </c>
      <c r="B133" s="317" t="s">
        <v>1002</v>
      </c>
    </row>
    <row r="134" spans="1:2" ht="22.5">
      <c r="A134" s="212" t="s">
        <v>1933</v>
      </c>
      <c r="B134" s="211" t="s">
        <v>1004</v>
      </c>
    </row>
    <row r="135" spans="1:2">
      <c r="A135" s="214">
        <v>2585</v>
      </c>
      <c r="B135" s="213" t="s">
        <v>1005</v>
      </c>
    </row>
    <row r="136" spans="1:2">
      <c r="A136" s="214">
        <v>3003</v>
      </c>
      <c r="B136" s="213" t="s">
        <v>464</v>
      </c>
    </row>
    <row r="137" spans="1:2">
      <c r="A137" s="214">
        <v>2999</v>
      </c>
      <c r="B137" s="213" t="s">
        <v>2157</v>
      </c>
    </row>
    <row r="138" spans="1:2">
      <c r="A138" s="214">
        <v>2841</v>
      </c>
      <c r="B138" s="213" t="s">
        <v>2211</v>
      </c>
    </row>
    <row r="139" spans="1:2">
      <c r="A139" s="214">
        <v>2543</v>
      </c>
      <c r="B139" s="213" t="s">
        <v>1103</v>
      </c>
    </row>
    <row r="140" spans="1:2">
      <c r="A140" s="214">
        <v>1508</v>
      </c>
      <c r="B140" s="213" t="s">
        <v>1104</v>
      </c>
    </row>
    <row r="141" spans="1:2">
      <c r="A141" s="214">
        <v>27779</v>
      </c>
      <c r="B141" s="213" t="s">
        <v>1105</v>
      </c>
    </row>
    <row r="142" spans="1:2">
      <c r="A142" s="214">
        <v>24114</v>
      </c>
      <c r="B142" s="213" t="s">
        <v>1106</v>
      </c>
    </row>
    <row r="143" spans="1:2">
      <c r="A143" s="214">
        <v>24114</v>
      </c>
      <c r="B143" s="213" t="s">
        <v>2478</v>
      </c>
    </row>
    <row r="144" spans="1:2">
      <c r="A144" s="214">
        <v>33296</v>
      </c>
      <c r="B144" s="215" t="s">
        <v>859</v>
      </c>
    </row>
    <row r="145" spans="1:2">
      <c r="A145" s="214">
        <v>30059</v>
      </c>
      <c r="B145" s="215" t="s">
        <v>1107</v>
      </c>
    </row>
    <row r="146" spans="1:2">
      <c r="A146" s="214">
        <v>32260</v>
      </c>
      <c r="B146" s="213" t="s">
        <v>1109</v>
      </c>
    </row>
    <row r="147" spans="1:2">
      <c r="A147" s="214">
        <v>32591</v>
      </c>
      <c r="B147" s="213" t="s">
        <v>1018</v>
      </c>
    </row>
    <row r="148" spans="1:2">
      <c r="A148" s="214">
        <v>29381</v>
      </c>
      <c r="B148" s="213" t="s">
        <v>656</v>
      </c>
    </row>
    <row r="149" spans="1:2">
      <c r="A149" s="231">
        <v>34177</v>
      </c>
      <c r="B149" s="233" t="s">
        <v>2026</v>
      </c>
    </row>
    <row r="150" spans="1:2">
      <c r="A150" s="231">
        <v>34178</v>
      </c>
      <c r="B150" s="233" t="s">
        <v>2027</v>
      </c>
    </row>
    <row r="151" spans="1:2">
      <c r="A151" s="214">
        <v>25562</v>
      </c>
      <c r="B151" s="213" t="s">
        <v>1019</v>
      </c>
    </row>
    <row r="152" spans="1:2">
      <c r="A152" s="214">
        <v>35135</v>
      </c>
      <c r="B152" s="213" t="s">
        <v>1991</v>
      </c>
    </row>
    <row r="153" spans="1:2">
      <c r="A153" s="231">
        <v>34358</v>
      </c>
      <c r="B153" s="233" t="s">
        <v>977</v>
      </c>
    </row>
    <row r="154" spans="1:2">
      <c r="A154" s="214">
        <v>28168</v>
      </c>
      <c r="B154" s="213" t="s">
        <v>2479</v>
      </c>
    </row>
    <row r="155" spans="1:2">
      <c r="A155" s="214">
        <v>31695</v>
      </c>
      <c r="B155" s="213" t="s">
        <v>1020</v>
      </c>
    </row>
    <row r="156" spans="1:2">
      <c r="A156" s="214">
        <v>32508</v>
      </c>
      <c r="B156" s="213" t="s">
        <v>2480</v>
      </c>
    </row>
    <row r="157" spans="1:2">
      <c r="A157" s="214">
        <v>28244</v>
      </c>
      <c r="B157" s="213" t="s">
        <v>2481</v>
      </c>
    </row>
    <row r="158" spans="1:2">
      <c r="A158" s="214">
        <v>19377</v>
      </c>
      <c r="B158" s="213" t="s">
        <v>1022</v>
      </c>
    </row>
    <row r="159" spans="1:2">
      <c r="A159" s="214">
        <v>28674</v>
      </c>
      <c r="B159" s="213" t="s">
        <v>2482</v>
      </c>
    </row>
    <row r="160" spans="1:2">
      <c r="A160" s="231">
        <v>34679</v>
      </c>
      <c r="B160" s="233" t="s">
        <v>2028</v>
      </c>
    </row>
    <row r="161" spans="1:2">
      <c r="A161" s="231">
        <v>34679</v>
      </c>
      <c r="B161" s="233" t="s">
        <v>2029</v>
      </c>
    </row>
    <row r="162" spans="1:2">
      <c r="A162" s="231">
        <v>34680</v>
      </c>
      <c r="B162" s="233" t="s">
        <v>2483</v>
      </c>
    </row>
    <row r="163" spans="1:2">
      <c r="A163" s="231">
        <v>34680</v>
      </c>
      <c r="B163" s="233" t="s">
        <v>2030</v>
      </c>
    </row>
    <row r="164" spans="1:2">
      <c r="A164" s="214">
        <v>29335</v>
      </c>
      <c r="B164" s="213" t="s">
        <v>2484</v>
      </c>
    </row>
    <row r="165" spans="1:2">
      <c r="A165" s="214">
        <v>30017</v>
      </c>
      <c r="B165" s="213" t="s">
        <v>689</v>
      </c>
    </row>
    <row r="166" spans="1:2">
      <c r="A166" s="214">
        <v>33297</v>
      </c>
      <c r="B166" s="213" t="s">
        <v>277</v>
      </c>
    </row>
    <row r="167" spans="1:2">
      <c r="A167" s="214">
        <v>27546</v>
      </c>
      <c r="B167" s="213" t="s">
        <v>2485</v>
      </c>
    </row>
    <row r="168" spans="1:2">
      <c r="A168" s="214">
        <v>33066</v>
      </c>
      <c r="B168" s="213" t="s">
        <v>2486</v>
      </c>
    </row>
    <row r="169" spans="1:2">
      <c r="A169" s="214">
        <v>33923</v>
      </c>
      <c r="B169" s="213" t="s">
        <v>158</v>
      </c>
    </row>
    <row r="170" spans="1:2">
      <c r="A170" s="214">
        <v>28509</v>
      </c>
      <c r="B170" s="215" t="s">
        <v>1338</v>
      </c>
    </row>
    <row r="171" spans="1:2">
      <c r="A171" s="214">
        <v>29148</v>
      </c>
      <c r="B171" s="213" t="s">
        <v>1568</v>
      </c>
    </row>
    <row r="172" spans="1:2">
      <c r="A172" s="214">
        <v>28755</v>
      </c>
      <c r="B172" s="213" t="s">
        <v>1444</v>
      </c>
    </row>
    <row r="173" spans="1:2">
      <c r="A173" s="214">
        <v>35035</v>
      </c>
      <c r="B173" s="213" t="s">
        <v>1486</v>
      </c>
    </row>
    <row r="174" spans="1:2">
      <c r="A174" s="214">
        <v>30149</v>
      </c>
      <c r="B174" s="213" t="s">
        <v>1447</v>
      </c>
    </row>
    <row r="175" spans="1:2">
      <c r="A175" s="231">
        <v>34392</v>
      </c>
      <c r="B175" s="233" t="s">
        <v>965</v>
      </c>
    </row>
    <row r="176" spans="1:2">
      <c r="A176" s="214">
        <v>25790</v>
      </c>
      <c r="B176" s="213" t="s">
        <v>1449</v>
      </c>
    </row>
    <row r="177" spans="1:2">
      <c r="A177" s="214">
        <v>25832</v>
      </c>
      <c r="B177" s="213" t="s">
        <v>1450</v>
      </c>
    </row>
    <row r="178" spans="1:2">
      <c r="A178" s="214">
        <v>32377</v>
      </c>
      <c r="B178" s="213" t="s">
        <v>1455</v>
      </c>
    </row>
    <row r="179" spans="1:2">
      <c r="A179" s="214">
        <v>27434</v>
      </c>
      <c r="B179" s="213" t="s">
        <v>1452</v>
      </c>
    </row>
    <row r="180" spans="1:2">
      <c r="A180" s="214">
        <v>32001</v>
      </c>
      <c r="B180" s="213" t="s">
        <v>1456</v>
      </c>
    </row>
    <row r="181" spans="1:2">
      <c r="A181" s="214">
        <v>29047</v>
      </c>
      <c r="B181" s="213" t="s">
        <v>1457</v>
      </c>
    </row>
    <row r="182" spans="1:2">
      <c r="A182" s="311">
        <v>35369</v>
      </c>
      <c r="B182" s="310" t="s">
        <v>701</v>
      </c>
    </row>
    <row r="183" spans="1:2">
      <c r="A183" s="214">
        <v>30917</v>
      </c>
      <c r="B183" s="213" t="s">
        <v>1459</v>
      </c>
    </row>
    <row r="184" spans="1:2">
      <c r="A184" s="214">
        <v>27776</v>
      </c>
      <c r="B184" s="213" t="s">
        <v>1460</v>
      </c>
    </row>
    <row r="185" spans="1:2">
      <c r="A185" s="214">
        <v>33300</v>
      </c>
      <c r="B185" s="213" t="s">
        <v>1301</v>
      </c>
    </row>
    <row r="186" spans="1:2">
      <c r="A186" s="231">
        <v>34613</v>
      </c>
      <c r="B186" s="233" t="s">
        <v>1142</v>
      </c>
    </row>
    <row r="187" spans="1:2">
      <c r="A187" s="214">
        <v>30055</v>
      </c>
      <c r="B187" s="213" t="s">
        <v>1461</v>
      </c>
    </row>
    <row r="188" spans="1:2">
      <c r="A188" s="231">
        <v>34195</v>
      </c>
      <c r="B188" s="233" t="s">
        <v>872</v>
      </c>
    </row>
    <row r="189" spans="1:2">
      <c r="A189" s="214">
        <v>31030</v>
      </c>
      <c r="B189" s="213" t="s">
        <v>1463</v>
      </c>
    </row>
    <row r="190" spans="1:2">
      <c r="A190" s="214">
        <v>27995</v>
      </c>
      <c r="B190" s="213" t="s">
        <v>1465</v>
      </c>
    </row>
    <row r="191" spans="1:2">
      <c r="A191" s="214">
        <v>32581</v>
      </c>
      <c r="B191" s="213" t="s">
        <v>660</v>
      </c>
    </row>
    <row r="192" spans="1:2">
      <c r="A192" s="214">
        <v>29147</v>
      </c>
      <c r="B192" s="213" t="s">
        <v>1466</v>
      </c>
    </row>
    <row r="193" spans="1:2">
      <c r="A193" s="214">
        <v>33703</v>
      </c>
      <c r="B193" s="213" t="s">
        <v>1525</v>
      </c>
    </row>
    <row r="194" spans="1:2">
      <c r="A194" s="214">
        <v>27797</v>
      </c>
      <c r="B194" s="213" t="s">
        <v>1014</v>
      </c>
    </row>
    <row r="195" spans="1:2">
      <c r="A195" s="212" t="s">
        <v>1933</v>
      </c>
      <c r="B195" s="216" t="s">
        <v>1015</v>
      </c>
    </row>
    <row r="196" spans="1:2">
      <c r="A196" s="214">
        <v>2997</v>
      </c>
      <c r="B196" s="213" t="s">
        <v>1476</v>
      </c>
    </row>
    <row r="197" spans="1:2">
      <c r="A197" s="214">
        <v>2986</v>
      </c>
      <c r="B197" s="213" t="s">
        <v>662</v>
      </c>
    </row>
    <row r="198" spans="1:2">
      <c r="A198" s="214">
        <v>2978</v>
      </c>
      <c r="B198" s="213" t="s">
        <v>2158</v>
      </c>
    </row>
    <row r="199" spans="1:2">
      <c r="A199" s="214">
        <v>2841</v>
      </c>
      <c r="B199" s="213" t="s">
        <v>2211</v>
      </c>
    </row>
    <row r="200" spans="1:2">
      <c r="A200" s="214">
        <v>2996</v>
      </c>
      <c r="B200" s="213" t="s">
        <v>1408</v>
      </c>
    </row>
    <row r="201" spans="1:2">
      <c r="A201" s="214">
        <v>2983</v>
      </c>
      <c r="B201" s="213" t="s">
        <v>1475</v>
      </c>
    </row>
    <row r="202" spans="1:2">
      <c r="A202" s="214">
        <v>2717</v>
      </c>
      <c r="B202" s="213" t="s">
        <v>1017</v>
      </c>
    </row>
    <row r="203" spans="1:2">
      <c r="A203" s="214">
        <v>2606</v>
      </c>
      <c r="B203" s="213" t="s">
        <v>743</v>
      </c>
    </row>
    <row r="204" spans="1:2">
      <c r="A204" s="214">
        <v>27878</v>
      </c>
      <c r="B204" s="213" t="s">
        <v>1409</v>
      </c>
    </row>
    <row r="205" spans="1:2">
      <c r="A205" s="214">
        <v>30729</v>
      </c>
      <c r="B205" s="213" t="s">
        <v>1410</v>
      </c>
    </row>
    <row r="206" spans="1:2">
      <c r="A206" s="214">
        <v>29382</v>
      </c>
      <c r="B206" s="213" t="s">
        <v>1411</v>
      </c>
    </row>
    <row r="207" spans="1:2">
      <c r="A207" s="214">
        <v>33122</v>
      </c>
      <c r="B207" s="213" t="s">
        <v>1471</v>
      </c>
    </row>
    <row r="208" spans="1:2">
      <c r="A208" s="214">
        <v>33590</v>
      </c>
      <c r="B208" s="213" t="s">
        <v>544</v>
      </c>
    </row>
    <row r="209" spans="1:2">
      <c r="A209" s="214">
        <v>27519</v>
      </c>
      <c r="B209" s="213" t="s">
        <v>1412</v>
      </c>
    </row>
    <row r="210" spans="1:2">
      <c r="A210" s="214">
        <v>34708</v>
      </c>
      <c r="B210" s="213" t="s">
        <v>11</v>
      </c>
    </row>
    <row r="211" spans="1:2">
      <c r="A211" s="214">
        <v>31255</v>
      </c>
      <c r="B211" s="213" t="s">
        <v>883</v>
      </c>
    </row>
    <row r="212" spans="1:2">
      <c r="A212" s="214">
        <v>27892</v>
      </c>
      <c r="B212" s="213" t="s">
        <v>884</v>
      </c>
    </row>
    <row r="213" spans="1:2">
      <c r="A213" s="214">
        <v>28777</v>
      </c>
      <c r="B213" s="213" t="s">
        <v>885</v>
      </c>
    </row>
    <row r="214" spans="1:2">
      <c r="A214" s="214">
        <v>25927</v>
      </c>
      <c r="B214" s="213" t="s">
        <v>886</v>
      </c>
    </row>
    <row r="215" spans="1:2">
      <c r="A215" s="214">
        <v>32665</v>
      </c>
      <c r="B215" s="213" t="s">
        <v>1145</v>
      </c>
    </row>
    <row r="216" spans="1:2">
      <c r="A216" s="214">
        <v>29792</v>
      </c>
      <c r="B216" s="213" t="s">
        <v>1613</v>
      </c>
    </row>
    <row r="217" spans="1:2">
      <c r="A217" s="214">
        <v>28032</v>
      </c>
      <c r="B217" s="213" t="s">
        <v>1614</v>
      </c>
    </row>
    <row r="218" spans="1:2">
      <c r="A218" s="214">
        <v>33484</v>
      </c>
      <c r="B218" s="213" t="s">
        <v>1427</v>
      </c>
    </row>
    <row r="219" spans="1:2">
      <c r="A219" s="214">
        <v>28672</v>
      </c>
      <c r="B219" s="213" t="s">
        <v>1117</v>
      </c>
    </row>
    <row r="220" spans="1:2">
      <c r="A220" s="214">
        <v>28764</v>
      </c>
      <c r="B220" s="213" t="s">
        <v>2487</v>
      </c>
    </row>
    <row r="221" spans="1:2">
      <c r="A221" s="214">
        <v>28371</v>
      </c>
      <c r="B221" s="213" t="s">
        <v>1615</v>
      </c>
    </row>
    <row r="222" spans="1:2">
      <c r="A222" s="214">
        <v>30098</v>
      </c>
      <c r="B222" s="213" t="s">
        <v>1616</v>
      </c>
    </row>
    <row r="223" spans="1:2">
      <c r="A223" s="214">
        <v>28529</v>
      </c>
      <c r="B223" s="213" t="s">
        <v>2488</v>
      </c>
    </row>
    <row r="224" spans="1:2">
      <c r="A224" s="214">
        <v>28377</v>
      </c>
      <c r="B224" s="213" t="s">
        <v>228</v>
      </c>
    </row>
    <row r="225" spans="1:2">
      <c r="A225" s="214">
        <v>28380</v>
      </c>
      <c r="B225" s="213" t="s">
        <v>229</v>
      </c>
    </row>
    <row r="226" spans="1:2">
      <c r="A226" s="214">
        <v>32323</v>
      </c>
      <c r="B226" s="213" t="s">
        <v>1617</v>
      </c>
    </row>
    <row r="227" spans="1:2">
      <c r="A227" s="214">
        <v>33593</v>
      </c>
      <c r="B227" s="213" t="s">
        <v>2159</v>
      </c>
    </row>
    <row r="228" spans="1:2">
      <c r="A228" s="214">
        <v>32540</v>
      </c>
      <c r="B228" s="213" t="s">
        <v>2082</v>
      </c>
    </row>
    <row r="229" spans="1:2">
      <c r="A229" s="214">
        <v>29994</v>
      </c>
      <c r="B229" s="213" t="s">
        <v>2083</v>
      </c>
    </row>
    <row r="230" spans="1:2">
      <c r="A230" s="214">
        <v>24259</v>
      </c>
      <c r="B230" s="213" t="s">
        <v>2084</v>
      </c>
    </row>
    <row r="231" spans="1:2">
      <c r="A231" s="212" t="s">
        <v>1933</v>
      </c>
      <c r="B231" s="216" t="s">
        <v>2085</v>
      </c>
    </row>
    <row r="232" spans="1:2">
      <c r="A232" s="214">
        <v>2622</v>
      </c>
      <c r="B232" s="213" t="s">
        <v>2086</v>
      </c>
    </row>
    <row r="233" spans="1:2">
      <c r="A233" s="214">
        <v>368</v>
      </c>
      <c r="B233" s="213" t="s">
        <v>1120</v>
      </c>
    </row>
    <row r="234" spans="1:2">
      <c r="A234" s="214">
        <v>910</v>
      </c>
      <c r="B234" s="213" t="s">
        <v>2087</v>
      </c>
    </row>
    <row r="235" spans="1:2">
      <c r="A235" s="214">
        <v>2621</v>
      </c>
      <c r="B235" s="213" t="s">
        <v>2088</v>
      </c>
    </row>
    <row r="236" spans="1:2">
      <c r="A236" s="214">
        <v>29340</v>
      </c>
      <c r="B236" s="213" t="s">
        <v>1178</v>
      </c>
    </row>
    <row r="237" spans="1:2">
      <c r="A237" s="231">
        <v>34397</v>
      </c>
      <c r="B237" s="233" t="s">
        <v>966</v>
      </c>
    </row>
    <row r="238" spans="1:2">
      <c r="A238" s="214">
        <v>30101</v>
      </c>
      <c r="B238" s="213" t="s">
        <v>2090</v>
      </c>
    </row>
    <row r="239" spans="1:2">
      <c r="A239" s="214">
        <v>35036</v>
      </c>
      <c r="B239" s="213" t="s">
        <v>1985</v>
      </c>
    </row>
    <row r="240" spans="1:2">
      <c r="A240" s="231">
        <v>34369</v>
      </c>
      <c r="B240" s="233" t="s">
        <v>707</v>
      </c>
    </row>
    <row r="241" spans="1:2">
      <c r="A241" s="214">
        <v>27787</v>
      </c>
      <c r="B241" s="213" t="s">
        <v>2489</v>
      </c>
    </row>
    <row r="242" spans="1:2">
      <c r="A242" s="214">
        <v>28601</v>
      </c>
      <c r="B242" s="213" t="s">
        <v>1124</v>
      </c>
    </row>
    <row r="243" spans="1:2">
      <c r="A243" s="214">
        <v>31295</v>
      </c>
      <c r="B243" s="213" t="s">
        <v>2490</v>
      </c>
    </row>
    <row r="244" spans="1:2">
      <c r="A244" s="214">
        <v>27461</v>
      </c>
      <c r="B244" s="213" t="s">
        <v>954</v>
      </c>
    </row>
    <row r="245" spans="1:2">
      <c r="A245" s="214">
        <v>30144</v>
      </c>
      <c r="B245" s="213" t="s">
        <v>814</v>
      </c>
    </row>
    <row r="246" spans="1:2">
      <c r="A246" s="231">
        <v>34906</v>
      </c>
      <c r="B246" s="233" t="s">
        <v>1884</v>
      </c>
    </row>
    <row r="247" spans="1:2">
      <c r="A247" s="214">
        <v>25831</v>
      </c>
      <c r="B247" s="213" t="s">
        <v>815</v>
      </c>
    </row>
    <row r="248" spans="1:2">
      <c r="A248" s="214">
        <v>28688</v>
      </c>
      <c r="B248" s="213" t="s">
        <v>2491</v>
      </c>
    </row>
    <row r="249" spans="1:2">
      <c r="A249" s="231">
        <v>34211</v>
      </c>
      <c r="B249" s="233" t="s">
        <v>869</v>
      </c>
    </row>
    <row r="250" spans="1:2">
      <c r="A250" s="214">
        <v>30933</v>
      </c>
      <c r="B250" s="213" t="s">
        <v>817</v>
      </c>
    </row>
    <row r="251" spans="1:2">
      <c r="A251" s="214">
        <v>28840</v>
      </c>
      <c r="B251" s="213" t="s">
        <v>2492</v>
      </c>
    </row>
    <row r="252" spans="1:2">
      <c r="A252" s="214">
        <v>28172</v>
      </c>
      <c r="B252" s="213" t="s">
        <v>818</v>
      </c>
    </row>
    <row r="253" spans="1:2">
      <c r="A253" s="214">
        <v>32002</v>
      </c>
      <c r="B253" s="213" t="s">
        <v>820</v>
      </c>
    </row>
    <row r="254" spans="1:2">
      <c r="A254" s="214">
        <v>30905</v>
      </c>
      <c r="B254" s="213" t="s">
        <v>499</v>
      </c>
    </row>
    <row r="255" spans="1:2">
      <c r="A255" s="214">
        <v>32252</v>
      </c>
      <c r="B255" s="213" t="s">
        <v>822</v>
      </c>
    </row>
    <row r="256" spans="1:2">
      <c r="A256" s="214">
        <v>29045</v>
      </c>
      <c r="B256" s="213" t="s">
        <v>821</v>
      </c>
    </row>
    <row r="257" spans="1:2">
      <c r="A257" s="311">
        <v>35370</v>
      </c>
      <c r="B257" s="310" t="s">
        <v>705</v>
      </c>
    </row>
    <row r="258" spans="1:2">
      <c r="A258" s="214">
        <v>29973</v>
      </c>
      <c r="B258" s="213" t="s">
        <v>826</v>
      </c>
    </row>
    <row r="259" spans="1:2">
      <c r="A259" s="214">
        <v>29525</v>
      </c>
      <c r="B259" s="213" t="s">
        <v>824</v>
      </c>
    </row>
    <row r="260" spans="1:2">
      <c r="A260" s="214">
        <v>30328</v>
      </c>
      <c r="B260" s="213" t="s">
        <v>827</v>
      </c>
    </row>
    <row r="261" spans="1:2">
      <c r="A261" s="214">
        <v>33204</v>
      </c>
      <c r="B261" s="213" t="s">
        <v>1470</v>
      </c>
    </row>
    <row r="262" spans="1:2">
      <c r="A262" s="214">
        <v>33329</v>
      </c>
      <c r="B262" s="213" t="s">
        <v>545</v>
      </c>
    </row>
    <row r="263" spans="1:2">
      <c r="A263" s="214">
        <v>31028</v>
      </c>
      <c r="B263" s="213" t="s">
        <v>828</v>
      </c>
    </row>
    <row r="264" spans="1:2">
      <c r="A264" s="214">
        <v>30730</v>
      </c>
      <c r="B264" s="213" t="s">
        <v>829</v>
      </c>
    </row>
    <row r="265" spans="1:2">
      <c r="A265" s="214">
        <v>28204</v>
      </c>
      <c r="B265" s="213" t="s">
        <v>2052</v>
      </c>
    </row>
    <row r="266" spans="1:2">
      <c r="A266" s="214">
        <v>34927</v>
      </c>
      <c r="B266" s="213" t="s">
        <v>1890</v>
      </c>
    </row>
    <row r="267" spans="1:2">
      <c r="A267" s="214">
        <v>33704</v>
      </c>
      <c r="B267" s="213" t="s">
        <v>1526</v>
      </c>
    </row>
    <row r="268" spans="1:2">
      <c r="A268" s="214">
        <v>24396</v>
      </c>
      <c r="B268" s="213" t="s">
        <v>2054</v>
      </c>
    </row>
    <row r="269" spans="1:2">
      <c r="A269" s="214">
        <v>25838</v>
      </c>
      <c r="B269" s="213" t="s">
        <v>2493</v>
      </c>
    </row>
    <row r="270" spans="1:2">
      <c r="A270" s="214">
        <v>28264</v>
      </c>
      <c r="B270" s="213" t="s">
        <v>2020</v>
      </c>
    </row>
    <row r="271" spans="1:2">
      <c r="A271" s="212" t="s">
        <v>1933</v>
      </c>
      <c r="B271" s="216" t="s">
        <v>2022</v>
      </c>
    </row>
    <row r="272" spans="1:2">
      <c r="A272" s="214">
        <v>1950</v>
      </c>
      <c r="B272" s="213" t="s">
        <v>2160</v>
      </c>
    </row>
    <row r="273" spans="1:2">
      <c r="A273" s="214">
        <v>2659</v>
      </c>
      <c r="B273" s="213" t="s">
        <v>2024</v>
      </c>
    </row>
    <row r="274" spans="1:2">
      <c r="A274" s="214">
        <v>2661</v>
      </c>
      <c r="B274" s="213" t="s">
        <v>1267</v>
      </c>
    </row>
    <row r="275" spans="1:2">
      <c r="A275" s="214">
        <v>1891</v>
      </c>
      <c r="B275" s="213" t="s">
        <v>2023</v>
      </c>
    </row>
    <row r="276" spans="1:2">
      <c r="A276" s="214">
        <v>2841</v>
      </c>
      <c r="B276" s="213" t="s">
        <v>2211</v>
      </c>
    </row>
    <row r="277" spans="1:2">
      <c r="A277" s="214">
        <v>2933</v>
      </c>
      <c r="B277" s="213" t="s">
        <v>2025</v>
      </c>
    </row>
    <row r="278" spans="1:2">
      <c r="A278" s="238">
        <v>28514</v>
      </c>
      <c r="B278" s="230" t="s">
        <v>1313</v>
      </c>
    </row>
    <row r="279" spans="1:2">
      <c r="A279" s="238">
        <v>30863</v>
      </c>
      <c r="B279" s="230" t="s">
        <v>1314</v>
      </c>
    </row>
    <row r="280" spans="1:2">
      <c r="A280" s="238">
        <v>35167</v>
      </c>
      <c r="B280" s="230" t="s">
        <v>1485</v>
      </c>
    </row>
    <row r="281" spans="1:2">
      <c r="A281" s="238">
        <v>35171</v>
      </c>
      <c r="B281" s="230" t="s">
        <v>1484</v>
      </c>
    </row>
    <row r="282" spans="1:2">
      <c r="A282" s="238">
        <v>32324</v>
      </c>
      <c r="B282" s="230" t="s">
        <v>608</v>
      </c>
    </row>
    <row r="283" spans="1:2">
      <c r="A283" s="238">
        <v>33540</v>
      </c>
      <c r="B283" s="230" t="s">
        <v>1431</v>
      </c>
    </row>
    <row r="284" spans="1:2">
      <c r="A284" s="238">
        <v>29246</v>
      </c>
      <c r="B284" s="230" t="s">
        <v>1297</v>
      </c>
    </row>
    <row r="285" spans="1:2">
      <c r="A285" s="321">
        <v>30399</v>
      </c>
      <c r="B285" s="320" t="s">
        <v>1298</v>
      </c>
    </row>
    <row r="286" spans="1:2">
      <c r="A286" s="238">
        <v>29527</v>
      </c>
      <c r="B286" s="230" t="s">
        <v>1299</v>
      </c>
    </row>
    <row r="287" spans="1:2">
      <c r="A287" s="238">
        <v>30685</v>
      </c>
      <c r="B287" s="239" t="s">
        <v>1348</v>
      </c>
    </row>
    <row r="288" spans="1:2">
      <c r="A288" s="238">
        <v>32647</v>
      </c>
      <c r="B288" s="239" t="s">
        <v>1269</v>
      </c>
    </row>
    <row r="289" spans="1:2">
      <c r="A289" s="238">
        <v>34448</v>
      </c>
      <c r="B289" s="230" t="s">
        <v>982</v>
      </c>
    </row>
    <row r="290" spans="1:2">
      <c r="A290" s="318">
        <v>28171</v>
      </c>
      <c r="B290" s="317" t="s">
        <v>1300</v>
      </c>
    </row>
    <row r="291" spans="1:2">
      <c r="A291" s="238">
        <v>32580</v>
      </c>
      <c r="B291" s="230" t="s">
        <v>1303</v>
      </c>
    </row>
    <row r="292" spans="1:2">
      <c r="A292" s="238">
        <v>29966</v>
      </c>
      <c r="B292" s="230" t="s">
        <v>1304</v>
      </c>
    </row>
    <row r="293" spans="1:2">
      <c r="A293" s="238">
        <v>32814</v>
      </c>
      <c r="B293" s="230" t="s">
        <v>1305</v>
      </c>
    </row>
    <row r="294" spans="1:2">
      <c r="A294" s="238">
        <v>33881</v>
      </c>
      <c r="B294" s="230" t="s">
        <v>791</v>
      </c>
    </row>
    <row r="295" spans="1:2">
      <c r="A295" s="238">
        <v>33893</v>
      </c>
      <c r="B295" s="230" t="s">
        <v>1423</v>
      </c>
    </row>
    <row r="296" spans="1:2">
      <c r="A296" s="212" t="s">
        <v>1933</v>
      </c>
      <c r="B296" s="216" t="s">
        <v>1306</v>
      </c>
    </row>
    <row r="297" spans="1:2">
      <c r="A297" s="214">
        <v>1593</v>
      </c>
      <c r="B297" s="213" t="s">
        <v>1270</v>
      </c>
    </row>
    <row r="298" spans="1:2">
      <c r="A298" s="214">
        <v>2649</v>
      </c>
      <c r="B298" s="213" t="s">
        <v>1307</v>
      </c>
    </row>
    <row r="299" spans="1:2">
      <c r="A299" s="214">
        <v>2648</v>
      </c>
      <c r="B299" s="213" t="s">
        <v>2161</v>
      </c>
    </row>
    <row r="300" spans="1:2">
      <c r="A300" s="214">
        <v>1891</v>
      </c>
      <c r="B300" s="213" t="s">
        <v>2023</v>
      </c>
    </row>
    <row r="301" spans="1:2">
      <c r="A301" s="318">
        <v>32532</v>
      </c>
      <c r="B301" s="317" t="s">
        <v>2494</v>
      </c>
    </row>
    <row r="302" spans="1:2">
      <c r="A302" s="214">
        <v>35032</v>
      </c>
      <c r="B302" s="213" t="s">
        <v>1988</v>
      </c>
    </row>
    <row r="303" spans="1:2">
      <c r="A303" s="214">
        <v>29503</v>
      </c>
      <c r="B303" s="213" t="s">
        <v>1308</v>
      </c>
    </row>
    <row r="304" spans="1:2">
      <c r="A304" s="214">
        <v>30145</v>
      </c>
      <c r="B304" s="213" t="s">
        <v>1309</v>
      </c>
    </row>
    <row r="305" spans="1:2">
      <c r="A305" s="214">
        <v>24365</v>
      </c>
      <c r="B305" s="213" t="s">
        <v>1310</v>
      </c>
    </row>
    <row r="306" spans="1:2">
      <c r="A306" s="214">
        <v>30937</v>
      </c>
      <c r="B306" s="213" t="s">
        <v>2495</v>
      </c>
    </row>
    <row r="307" spans="1:2">
      <c r="A307" s="214">
        <v>25685</v>
      </c>
      <c r="B307" s="213" t="s">
        <v>1311</v>
      </c>
    </row>
    <row r="308" spans="1:2">
      <c r="A308" s="214">
        <v>25834</v>
      </c>
      <c r="B308" s="213" t="s">
        <v>222</v>
      </c>
    </row>
    <row r="309" spans="1:2">
      <c r="A309" s="214">
        <v>28506</v>
      </c>
      <c r="B309" s="213" t="s">
        <v>223</v>
      </c>
    </row>
    <row r="310" spans="1:2">
      <c r="A310" s="231">
        <v>34370</v>
      </c>
      <c r="B310" s="233" t="s">
        <v>706</v>
      </c>
    </row>
    <row r="311" spans="1:2">
      <c r="A311" s="231">
        <v>34408</v>
      </c>
      <c r="B311" s="233" t="s">
        <v>968</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840</v>
      </c>
    </row>
    <row r="317" spans="1:2">
      <c r="A317" s="214">
        <v>34911</v>
      </c>
      <c r="B317" s="213" t="s">
        <v>1885</v>
      </c>
    </row>
    <row r="318" spans="1:2">
      <c r="A318" s="214">
        <v>28776</v>
      </c>
      <c r="B318" s="213" t="s">
        <v>841</v>
      </c>
    </row>
    <row r="319" spans="1:2">
      <c r="A319" s="214">
        <v>29357</v>
      </c>
      <c r="B319" s="213" t="s">
        <v>2496</v>
      </c>
    </row>
    <row r="320" spans="1:2">
      <c r="A320" s="214">
        <v>31998</v>
      </c>
      <c r="B320" s="213" t="s">
        <v>843</v>
      </c>
    </row>
    <row r="321" spans="1:2">
      <c r="A321" s="214">
        <v>29048</v>
      </c>
      <c r="B321" s="213" t="s">
        <v>2075</v>
      </c>
    </row>
    <row r="322" spans="1:2">
      <c r="A322" s="311">
        <v>35468</v>
      </c>
      <c r="B322" s="310" t="s">
        <v>2497</v>
      </c>
    </row>
    <row r="323" spans="1:2">
      <c r="A323" s="311">
        <v>35366</v>
      </c>
      <c r="B323" s="310" t="s">
        <v>2498</v>
      </c>
    </row>
    <row r="324" spans="1:2">
      <c r="A324" s="214">
        <v>27825</v>
      </c>
      <c r="B324" s="213" t="s">
        <v>844</v>
      </c>
    </row>
    <row r="325" spans="1:2">
      <c r="A325" s="214">
        <v>25969</v>
      </c>
      <c r="B325" s="213" t="s">
        <v>845</v>
      </c>
    </row>
    <row r="326" spans="1:2">
      <c r="A326" s="231">
        <v>34234</v>
      </c>
      <c r="B326" s="233" t="s">
        <v>963</v>
      </c>
    </row>
    <row r="327" spans="1:2">
      <c r="A327" s="214">
        <v>31026</v>
      </c>
      <c r="B327" s="213" t="s">
        <v>846</v>
      </c>
    </row>
    <row r="328" spans="1:2">
      <c r="A328" s="214">
        <v>33539</v>
      </c>
      <c r="B328" s="213" t="s">
        <v>1433</v>
      </c>
    </row>
    <row r="329" spans="1:2">
      <c r="A329" s="214">
        <v>33700</v>
      </c>
      <c r="B329" s="213" t="s">
        <v>1527</v>
      </c>
    </row>
    <row r="330" spans="1:2">
      <c r="A330" s="214">
        <v>27531</v>
      </c>
      <c r="B330" s="213" t="s">
        <v>17</v>
      </c>
    </row>
    <row r="331" spans="1:2">
      <c r="A331" s="212" t="s">
        <v>1933</v>
      </c>
      <c r="B331" s="216" t="s">
        <v>18</v>
      </c>
    </row>
    <row r="332" spans="1:2">
      <c r="A332" s="214">
        <v>1594</v>
      </c>
      <c r="B332" s="213" t="s">
        <v>21</v>
      </c>
    </row>
    <row r="333" spans="1:2">
      <c r="A333" s="214">
        <v>1887</v>
      </c>
      <c r="B333" s="213" t="s">
        <v>19</v>
      </c>
    </row>
    <row r="334" spans="1:2">
      <c r="A334" s="214">
        <v>2841</v>
      </c>
      <c r="B334" s="213" t="s">
        <v>2211</v>
      </c>
    </row>
    <row r="335" spans="1:2">
      <c r="A335" s="214">
        <v>931</v>
      </c>
      <c r="B335" s="213" t="s">
        <v>20</v>
      </c>
    </row>
    <row r="336" spans="1:2">
      <c r="A336" s="214">
        <v>2564</v>
      </c>
      <c r="B336" s="213" t="s">
        <v>2076</v>
      </c>
    </row>
    <row r="337" spans="1:2">
      <c r="A337" s="214">
        <v>30040</v>
      </c>
      <c r="B337" s="283" t="s">
        <v>2078</v>
      </c>
    </row>
    <row r="338" spans="1:2">
      <c r="A338" s="214">
        <v>30106</v>
      </c>
      <c r="B338" s="222" t="s">
        <v>23</v>
      </c>
    </row>
    <row r="339" spans="1:2">
      <c r="A339" s="214">
        <v>34929</v>
      </c>
      <c r="B339" s="213" t="s">
        <v>1883</v>
      </c>
    </row>
    <row r="340" spans="1:2">
      <c r="A340" s="214">
        <v>33211</v>
      </c>
      <c r="B340" s="213" t="s">
        <v>1529</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1521</v>
      </c>
    </row>
    <row r="346" spans="1:2">
      <c r="A346" s="214">
        <v>29247</v>
      </c>
      <c r="B346" s="213" t="s">
        <v>1531</v>
      </c>
    </row>
    <row r="347" spans="1:2">
      <c r="A347" s="214">
        <v>28750</v>
      </c>
      <c r="B347" s="213" t="s">
        <v>1522</v>
      </c>
    </row>
    <row r="348" spans="1:2">
      <c r="A348" s="214">
        <v>28828</v>
      </c>
      <c r="B348" s="213" t="s">
        <v>1532</v>
      </c>
    </row>
    <row r="349" spans="1:2">
      <c r="A349" s="214">
        <v>35156</v>
      </c>
      <c r="B349" s="222" t="s">
        <v>1989</v>
      </c>
    </row>
    <row r="350" spans="1:2">
      <c r="A350" s="214">
        <v>28124</v>
      </c>
      <c r="B350" s="213" t="s">
        <v>1533</v>
      </c>
    </row>
    <row r="351" spans="1:2">
      <c r="A351" s="214">
        <v>28986</v>
      </c>
      <c r="B351" s="213" t="s">
        <v>1534</v>
      </c>
    </row>
    <row r="352" spans="1:2">
      <c r="A352" s="214">
        <v>31464</v>
      </c>
      <c r="B352" s="213" t="s">
        <v>1535</v>
      </c>
    </row>
    <row r="353" spans="1:2">
      <c r="A353" s="214">
        <v>29526</v>
      </c>
      <c r="B353" s="213" t="s">
        <v>1250</v>
      </c>
    </row>
    <row r="354" spans="1:2">
      <c r="A354" s="214">
        <v>31131</v>
      </c>
      <c r="B354" s="213" t="s">
        <v>1251</v>
      </c>
    </row>
    <row r="355" spans="1:2">
      <c r="A355" s="214">
        <v>32265</v>
      </c>
      <c r="B355" s="222" t="s">
        <v>1252</v>
      </c>
    </row>
    <row r="356" spans="1:2">
      <c r="A356" s="231">
        <v>34558</v>
      </c>
      <c r="B356" s="233" t="s">
        <v>980</v>
      </c>
    </row>
    <row r="357" spans="1:2">
      <c r="A357" s="214">
        <v>30372</v>
      </c>
      <c r="B357" s="213" t="s">
        <v>1253</v>
      </c>
    </row>
    <row r="358" spans="1:2">
      <c r="A358" s="214">
        <v>32802</v>
      </c>
      <c r="B358" s="222" t="s">
        <v>1254</v>
      </c>
    </row>
    <row r="359" spans="1:2">
      <c r="A359" s="214">
        <v>33879</v>
      </c>
      <c r="B359" s="222" t="s">
        <v>1362</v>
      </c>
    </row>
    <row r="360" spans="1:2">
      <c r="A360" s="214">
        <v>33891</v>
      </c>
      <c r="B360" s="222" t="s">
        <v>1421</v>
      </c>
    </row>
    <row r="361" spans="1:2">
      <c r="A361" s="214">
        <v>33583</v>
      </c>
      <c r="B361" s="213" t="s">
        <v>1407</v>
      </c>
    </row>
    <row r="362" spans="1:2">
      <c r="A362" s="214">
        <v>27719</v>
      </c>
      <c r="B362" s="213" t="s">
        <v>29</v>
      </c>
    </row>
    <row r="363" spans="1:2">
      <c r="A363" s="214">
        <v>35034</v>
      </c>
      <c r="B363" s="213" t="s">
        <v>1986</v>
      </c>
    </row>
    <row r="364" spans="1:2">
      <c r="A364" s="214">
        <v>30148</v>
      </c>
      <c r="B364" s="213" t="s">
        <v>30</v>
      </c>
    </row>
    <row r="365" spans="1:2">
      <c r="A365" s="214">
        <v>30272</v>
      </c>
      <c r="B365" s="213" t="s">
        <v>2499</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969</v>
      </c>
    </row>
    <row r="372" spans="1:2">
      <c r="A372" s="231">
        <v>34188</v>
      </c>
      <c r="B372" s="233" t="s">
        <v>871</v>
      </c>
    </row>
    <row r="373" spans="1:2">
      <c r="A373" s="214">
        <v>27514</v>
      </c>
      <c r="B373" s="213" t="s">
        <v>35</v>
      </c>
    </row>
    <row r="374" spans="1:2">
      <c r="A374" s="214">
        <v>32000</v>
      </c>
      <c r="B374" s="213" t="s">
        <v>1112</v>
      </c>
    </row>
    <row r="375" spans="1:2">
      <c r="A375" s="214">
        <v>30538</v>
      </c>
      <c r="B375" s="213" t="s">
        <v>481</v>
      </c>
    </row>
    <row r="376" spans="1:2">
      <c r="A376" s="214">
        <v>29046</v>
      </c>
      <c r="B376" s="213" t="s">
        <v>482</v>
      </c>
    </row>
    <row r="377" spans="1:2">
      <c r="A377" s="214">
        <v>31545</v>
      </c>
      <c r="B377" s="213" t="s">
        <v>483</v>
      </c>
    </row>
    <row r="378" spans="1:2">
      <c r="A378" s="311">
        <v>35368</v>
      </c>
      <c r="B378" s="310" t="s">
        <v>702</v>
      </c>
    </row>
    <row r="379" spans="1:2">
      <c r="A379" s="214">
        <v>29131</v>
      </c>
      <c r="B379" s="213" t="s">
        <v>484</v>
      </c>
    </row>
    <row r="380" spans="1:2">
      <c r="A380" s="214">
        <v>30898</v>
      </c>
      <c r="B380" s="213" t="s">
        <v>485</v>
      </c>
    </row>
    <row r="381" spans="1:2">
      <c r="A381" s="214">
        <v>33538</v>
      </c>
      <c r="B381" s="213" t="s">
        <v>1432</v>
      </c>
    </row>
    <row r="382" spans="1:2">
      <c r="A382" s="214">
        <v>28741</v>
      </c>
      <c r="B382" s="213" t="s">
        <v>2080</v>
      </c>
    </row>
    <row r="383" spans="1:2">
      <c r="A383" s="214">
        <v>31029</v>
      </c>
      <c r="B383" s="213" t="s">
        <v>486</v>
      </c>
    </row>
    <row r="384" spans="1:2">
      <c r="A384" s="214">
        <v>34910</v>
      </c>
      <c r="B384" s="213" t="s">
        <v>1887</v>
      </c>
    </row>
    <row r="385" spans="1:2">
      <c r="A385" s="214">
        <v>34928</v>
      </c>
      <c r="B385" s="213" t="s">
        <v>1888</v>
      </c>
    </row>
    <row r="386" spans="1:2">
      <c r="A386" s="214">
        <v>33702</v>
      </c>
      <c r="B386" s="213" t="s">
        <v>1528</v>
      </c>
    </row>
    <row r="387" spans="1:2">
      <c r="A387" s="214">
        <v>28347</v>
      </c>
      <c r="B387" s="213" t="s">
        <v>487</v>
      </c>
    </row>
    <row r="388" spans="1:2">
      <c r="A388" s="214">
        <v>27837</v>
      </c>
      <c r="B388" s="213" t="s">
        <v>792</v>
      </c>
    </row>
    <row r="389" spans="1:2">
      <c r="A389" s="212" t="s">
        <v>1933</v>
      </c>
      <c r="B389" s="216" t="s">
        <v>793</v>
      </c>
    </row>
    <row r="390" spans="1:2">
      <c r="A390" s="214">
        <v>3011</v>
      </c>
      <c r="B390" s="213" t="s">
        <v>1340</v>
      </c>
    </row>
    <row r="391" spans="1:2">
      <c r="A391" s="214">
        <v>3010</v>
      </c>
      <c r="B391" s="213" t="s">
        <v>1413</v>
      </c>
    </row>
    <row r="392" spans="1:2">
      <c r="A392" s="214">
        <v>2585</v>
      </c>
      <c r="B392" s="213" t="s">
        <v>794</v>
      </c>
    </row>
    <row r="393" spans="1:2">
      <c r="A393" s="214">
        <v>2841</v>
      </c>
      <c r="B393" s="213" t="s">
        <v>2211</v>
      </c>
    </row>
    <row r="394" spans="1:2">
      <c r="A394" s="214">
        <v>2543</v>
      </c>
      <c r="B394" s="213" t="s">
        <v>1103</v>
      </c>
    </row>
    <row r="395" spans="1:2">
      <c r="A395" s="214">
        <v>1508</v>
      </c>
      <c r="B395" s="213" t="s">
        <v>1104</v>
      </c>
    </row>
    <row r="396" spans="1:2">
      <c r="A396" s="214">
        <v>3013</v>
      </c>
      <c r="B396" s="213" t="s">
        <v>1918</v>
      </c>
    </row>
    <row r="397" spans="1:2">
      <c r="A397" s="214">
        <v>3012</v>
      </c>
      <c r="B397" s="213" t="s">
        <v>1341</v>
      </c>
    </row>
    <row r="398" spans="1:2">
      <c r="A398" s="214">
        <v>30891</v>
      </c>
      <c r="B398" s="213" t="s">
        <v>1919</v>
      </c>
    </row>
    <row r="399" spans="1:2">
      <c r="A399" s="214">
        <v>30060</v>
      </c>
      <c r="B399" s="213" t="s">
        <v>664</v>
      </c>
    </row>
    <row r="400" spans="1:2">
      <c r="A400" s="214">
        <v>28339</v>
      </c>
      <c r="B400" s="213" t="s">
        <v>692</v>
      </c>
    </row>
    <row r="401" spans="1:2">
      <c r="A401" s="214">
        <v>27867</v>
      </c>
      <c r="B401" s="213" t="s">
        <v>693</v>
      </c>
    </row>
    <row r="402" spans="1:2">
      <c r="A402" s="214">
        <v>30039</v>
      </c>
      <c r="B402" s="213" t="s">
        <v>694</v>
      </c>
    </row>
    <row r="403" spans="1:2">
      <c r="A403" s="214">
        <v>28545</v>
      </c>
      <c r="B403" s="213" t="s">
        <v>255</v>
      </c>
    </row>
    <row r="404" spans="1:2">
      <c r="A404" s="214">
        <v>30401</v>
      </c>
      <c r="B404" s="213" t="s">
        <v>695</v>
      </c>
    </row>
    <row r="405" spans="1:2">
      <c r="A405" s="214">
        <v>25686</v>
      </c>
      <c r="B405" s="213" t="s">
        <v>888</v>
      </c>
    </row>
    <row r="406" spans="1:2">
      <c r="A406" s="214">
        <v>30939</v>
      </c>
      <c r="B406" s="213" t="s">
        <v>887</v>
      </c>
    </row>
    <row r="407" spans="1:2">
      <c r="A407" s="214">
        <v>28422</v>
      </c>
      <c r="B407" s="213" t="s">
        <v>891</v>
      </c>
    </row>
    <row r="408" spans="1:2">
      <c r="A408" s="214">
        <v>35141</v>
      </c>
      <c r="B408" s="213" t="s">
        <v>1990</v>
      </c>
    </row>
    <row r="409" spans="1:2">
      <c r="A409" s="214">
        <v>28987</v>
      </c>
      <c r="B409" s="213" t="s">
        <v>892</v>
      </c>
    </row>
    <row r="410" spans="1:2">
      <c r="A410" s="214">
        <v>30707</v>
      </c>
      <c r="B410" s="213" t="s">
        <v>2500</v>
      </c>
    </row>
    <row r="411" spans="1:2">
      <c r="A411" s="214">
        <v>33222</v>
      </c>
      <c r="B411" s="213" t="s">
        <v>1430</v>
      </c>
    </row>
    <row r="412" spans="1:2">
      <c r="A412" s="214">
        <v>28669</v>
      </c>
      <c r="B412" s="213" t="s">
        <v>893</v>
      </c>
    </row>
    <row r="413" spans="1:2">
      <c r="A413" s="214">
        <v>32366</v>
      </c>
      <c r="B413" s="213" t="s">
        <v>894</v>
      </c>
    </row>
    <row r="414" spans="1:2">
      <c r="A414" s="214">
        <v>29248</v>
      </c>
      <c r="B414" s="213" t="s">
        <v>895</v>
      </c>
    </row>
    <row r="415" spans="1:2">
      <c r="A415" s="231">
        <v>34575</v>
      </c>
      <c r="B415" s="233" t="s">
        <v>981</v>
      </c>
    </row>
    <row r="416" spans="1:2">
      <c r="A416" s="231">
        <v>34809</v>
      </c>
      <c r="B416" s="233" t="s">
        <v>129</v>
      </c>
    </row>
    <row r="417" spans="1:2">
      <c r="A417" s="214">
        <v>31288</v>
      </c>
      <c r="B417" s="213" t="s">
        <v>715</v>
      </c>
    </row>
    <row r="418" spans="1:2">
      <c r="A418" s="214">
        <v>32790</v>
      </c>
      <c r="B418" s="213" t="s">
        <v>716</v>
      </c>
    </row>
    <row r="419" spans="1:2">
      <c r="A419" s="214">
        <v>33892</v>
      </c>
      <c r="B419" s="213" t="s">
        <v>1422</v>
      </c>
    </row>
    <row r="420" spans="1:2">
      <c r="A420" s="212" t="s">
        <v>1933</v>
      </c>
      <c r="B420" s="216" t="s">
        <v>717</v>
      </c>
    </row>
    <row r="421" spans="1:2">
      <c r="A421" s="215">
        <v>2940</v>
      </c>
      <c r="B421" s="213" t="s">
        <v>720</v>
      </c>
    </row>
    <row r="422" spans="1:2">
      <c r="A422" s="215">
        <v>2939</v>
      </c>
      <c r="B422" s="213" t="s">
        <v>719</v>
      </c>
    </row>
    <row r="423" spans="1:2">
      <c r="A423" s="215">
        <v>2657</v>
      </c>
      <c r="B423" s="213" t="s">
        <v>257</v>
      </c>
    </row>
    <row r="424" spans="1:2">
      <c r="A424" s="215">
        <v>2649</v>
      </c>
      <c r="B424" s="213" t="s">
        <v>1307</v>
      </c>
    </row>
    <row r="425" spans="1:2">
      <c r="A425" s="214">
        <v>1887</v>
      </c>
      <c r="B425" s="213" t="s">
        <v>19</v>
      </c>
    </row>
    <row r="426" spans="1:2">
      <c r="A426" s="215">
        <v>2841</v>
      </c>
      <c r="B426" s="213" t="s">
        <v>2211</v>
      </c>
    </row>
    <row r="427" spans="1:2">
      <c r="A427" s="215">
        <v>911</v>
      </c>
      <c r="B427" s="213" t="s">
        <v>718</v>
      </c>
    </row>
    <row r="428" spans="1:2">
      <c r="A428" s="215">
        <v>2658</v>
      </c>
      <c r="B428" s="213" t="s">
        <v>721</v>
      </c>
    </row>
    <row r="429" spans="1:2">
      <c r="A429" s="214">
        <v>34887</v>
      </c>
      <c r="B429" s="213" t="s">
        <v>155</v>
      </c>
    </row>
    <row r="430" spans="1:2">
      <c r="A430" s="214">
        <v>30973</v>
      </c>
      <c r="B430" s="213" t="s">
        <v>1912</v>
      </c>
    </row>
    <row r="431" spans="1:2">
      <c r="A431" s="311">
        <v>34798</v>
      </c>
      <c r="B431" s="310" t="s">
        <v>2093</v>
      </c>
    </row>
    <row r="432" spans="1:2">
      <c r="A432" s="311">
        <v>34706</v>
      </c>
      <c r="B432" s="310" t="s">
        <v>10</v>
      </c>
    </row>
    <row r="433" spans="1:2">
      <c r="A433" s="214">
        <v>32526</v>
      </c>
      <c r="B433" s="213" t="s">
        <v>722</v>
      </c>
    </row>
    <row r="434" spans="1:2">
      <c r="A434" s="214">
        <v>29298</v>
      </c>
      <c r="B434" s="213" t="s">
        <v>2501</v>
      </c>
    </row>
    <row r="435" spans="1:2">
      <c r="A435" s="214">
        <v>29299</v>
      </c>
      <c r="B435" s="213" t="s">
        <v>2502</v>
      </c>
    </row>
    <row r="436" spans="1:2">
      <c r="A436" s="214">
        <v>29300</v>
      </c>
      <c r="B436" s="213" t="s">
        <v>2503</v>
      </c>
    </row>
    <row r="437" spans="1:2">
      <c r="A437" s="214">
        <v>34189</v>
      </c>
      <c r="B437" s="213" t="s">
        <v>130</v>
      </c>
    </row>
    <row r="438" spans="1:2">
      <c r="A438" s="214">
        <v>29301</v>
      </c>
      <c r="B438" s="213" t="s">
        <v>1920</v>
      </c>
    </row>
    <row r="439" spans="1:2">
      <c r="A439" s="214">
        <v>28553</v>
      </c>
      <c r="B439" s="213" t="s">
        <v>723</v>
      </c>
    </row>
    <row r="440" spans="1:2">
      <c r="A440" s="214">
        <v>29997</v>
      </c>
      <c r="B440" s="222" t="s">
        <v>490</v>
      </c>
    </row>
    <row r="441" spans="1:2">
      <c r="A441" s="214">
        <v>28246</v>
      </c>
      <c r="B441" s="213" t="s">
        <v>2504</v>
      </c>
    </row>
    <row r="442" spans="1:2">
      <c r="A442" s="214">
        <v>24088</v>
      </c>
      <c r="B442" s="213" t="s">
        <v>2162</v>
      </c>
    </row>
    <row r="443" spans="1:2">
      <c r="A443" s="214">
        <v>28407</v>
      </c>
      <c r="B443" s="213" t="s">
        <v>2163</v>
      </c>
    </row>
    <row r="444" spans="1:2">
      <c r="A444" s="214">
        <v>28649</v>
      </c>
      <c r="B444" s="213" t="s">
        <v>491</v>
      </c>
    </row>
    <row r="445" spans="1:2">
      <c r="A445" s="214">
        <v>35131</v>
      </c>
      <c r="B445" s="213" t="s">
        <v>1992</v>
      </c>
    </row>
    <row r="446" spans="1:2">
      <c r="A446" s="231">
        <v>34361</v>
      </c>
      <c r="B446" s="233" t="s">
        <v>978</v>
      </c>
    </row>
    <row r="447" spans="1:2">
      <c r="A447" s="214">
        <v>30860</v>
      </c>
      <c r="B447" s="213" t="s">
        <v>492</v>
      </c>
    </row>
    <row r="448" spans="1:2">
      <c r="A448" s="214">
        <v>25804</v>
      </c>
      <c r="B448" s="213" t="s">
        <v>1229</v>
      </c>
    </row>
    <row r="449" spans="1:2">
      <c r="A449" s="214">
        <v>27925</v>
      </c>
      <c r="B449" s="213" t="s">
        <v>493</v>
      </c>
    </row>
    <row r="450" spans="1:2">
      <c r="A450" s="214">
        <v>28757</v>
      </c>
      <c r="B450" s="213" t="s">
        <v>259</v>
      </c>
    </row>
    <row r="451" spans="1:2">
      <c r="A451" s="214">
        <v>29379</v>
      </c>
      <c r="B451" s="213" t="s">
        <v>494</v>
      </c>
    </row>
    <row r="452" spans="1:2">
      <c r="A452" s="214">
        <v>32266</v>
      </c>
      <c r="B452" s="222" t="s">
        <v>1935</v>
      </c>
    </row>
    <row r="453" spans="1:2">
      <c r="A453" s="214">
        <v>34075</v>
      </c>
      <c r="B453" s="213" t="s">
        <v>726</v>
      </c>
    </row>
    <row r="454" spans="1:2">
      <c r="A454" s="214">
        <v>30052</v>
      </c>
      <c r="B454" s="222" t="s">
        <v>495</v>
      </c>
    </row>
    <row r="455" spans="1:2">
      <c r="A455" s="214">
        <v>30738</v>
      </c>
      <c r="B455" s="213" t="s">
        <v>496</v>
      </c>
    </row>
    <row r="456" spans="1:2">
      <c r="A456" s="214">
        <v>32942</v>
      </c>
      <c r="B456" s="213" t="s">
        <v>2284</v>
      </c>
    </row>
    <row r="457" spans="1:2">
      <c r="A457" s="214">
        <v>28791</v>
      </c>
      <c r="B457" s="213" t="s">
        <v>1915</v>
      </c>
    </row>
    <row r="458" spans="1:2">
      <c r="A458" s="214">
        <v>31920</v>
      </c>
      <c r="B458" s="213" t="s">
        <v>1698</v>
      </c>
    </row>
    <row r="459" spans="1:2">
      <c r="A459" s="214">
        <v>30834</v>
      </c>
      <c r="B459" s="213" t="s">
        <v>1699</v>
      </c>
    </row>
    <row r="460" spans="1:2">
      <c r="A460" s="214">
        <v>33496</v>
      </c>
      <c r="B460" s="222" t="s">
        <v>1436</v>
      </c>
    </row>
    <row r="461" spans="1:2">
      <c r="A461" s="214">
        <v>31077</v>
      </c>
      <c r="B461" s="213" t="s">
        <v>1700</v>
      </c>
    </row>
    <row r="462" spans="1:2">
      <c r="A462" s="214">
        <v>32497</v>
      </c>
      <c r="B462" s="222" t="s">
        <v>1701</v>
      </c>
    </row>
    <row r="463" spans="1:2">
      <c r="A463" s="214">
        <v>34837</v>
      </c>
      <c r="B463" s="213" t="s">
        <v>1891</v>
      </c>
    </row>
    <row r="464" spans="1:2">
      <c r="A464" s="214">
        <v>33057</v>
      </c>
      <c r="B464" s="213" t="s">
        <v>2468</v>
      </c>
    </row>
    <row r="465" spans="1:2">
      <c r="A465" s="214">
        <v>33919</v>
      </c>
      <c r="B465" s="213" t="s">
        <v>159</v>
      </c>
    </row>
    <row r="466" spans="1:2">
      <c r="A466" s="214">
        <v>29280</v>
      </c>
      <c r="B466" s="213" t="s">
        <v>2505</v>
      </c>
    </row>
    <row r="467" spans="1:2">
      <c r="A467" s="214">
        <v>29281</v>
      </c>
      <c r="B467" s="213" t="s">
        <v>2506</v>
      </c>
    </row>
    <row r="468" spans="1:2">
      <c r="A468" s="214">
        <v>29282</v>
      </c>
      <c r="B468" s="213" t="s">
        <v>2507</v>
      </c>
    </row>
    <row r="469" spans="1:2">
      <c r="A469" s="214">
        <v>29283</v>
      </c>
      <c r="B469" s="213" t="s">
        <v>1702</v>
      </c>
    </row>
    <row r="470" spans="1:2">
      <c r="A470" s="212" t="s">
        <v>1933</v>
      </c>
      <c r="B470" s="216" t="s">
        <v>1703</v>
      </c>
    </row>
    <row r="471" spans="1:2">
      <c r="A471" s="214">
        <v>2931</v>
      </c>
      <c r="B471" s="213" t="s">
        <v>1705</v>
      </c>
    </row>
    <row r="472" spans="1:2">
      <c r="A472" s="214">
        <v>2929</v>
      </c>
      <c r="B472" s="213" t="s">
        <v>1563</v>
      </c>
    </row>
    <row r="473" spans="1:2">
      <c r="A473" s="241">
        <v>28288</v>
      </c>
      <c r="B473" s="240" t="s">
        <v>2289</v>
      </c>
    </row>
    <row r="474" spans="1:2">
      <c r="A474" s="231">
        <v>32492</v>
      </c>
      <c r="B474" s="230" t="s">
        <v>2294</v>
      </c>
    </row>
    <row r="475" spans="1:2">
      <c r="A475" s="231">
        <v>35751</v>
      </c>
      <c r="B475" s="230" t="s">
        <v>438</v>
      </c>
    </row>
    <row r="476" spans="1:2">
      <c r="A476" s="231">
        <v>34163</v>
      </c>
      <c r="B476" s="232" t="s">
        <v>2508</v>
      </c>
    </row>
    <row r="477" spans="1:2">
      <c r="A477" s="231">
        <v>34576</v>
      </c>
      <c r="B477" s="232" t="s">
        <v>2509</v>
      </c>
    </row>
    <row r="478" spans="1:2">
      <c r="A478" s="231">
        <v>33832</v>
      </c>
      <c r="B478" s="232" t="s">
        <v>2510</v>
      </c>
    </row>
    <row r="479" spans="1:2">
      <c r="A479" s="231">
        <v>34578</v>
      </c>
      <c r="B479" s="232" t="s">
        <v>2511</v>
      </c>
    </row>
    <row r="480" spans="1:2">
      <c r="A480" s="231">
        <v>33831</v>
      </c>
      <c r="B480" s="233" t="s">
        <v>1759</v>
      </c>
    </row>
    <row r="481" spans="1:2">
      <c r="A481" s="241">
        <v>28041</v>
      </c>
      <c r="B481" s="240" t="s">
        <v>184</v>
      </c>
    </row>
    <row r="482" spans="1:2">
      <c r="A482" s="231">
        <v>29383</v>
      </c>
      <c r="B482" s="233" t="s">
        <v>185</v>
      </c>
    </row>
    <row r="483" spans="1:2">
      <c r="A483" s="244">
        <v>29776</v>
      </c>
      <c r="B483" s="243" t="s">
        <v>187</v>
      </c>
    </row>
    <row r="484" spans="1:2">
      <c r="A484" s="241">
        <v>32654</v>
      </c>
      <c r="B484" s="240" t="s">
        <v>1654</v>
      </c>
    </row>
    <row r="485" spans="1:2">
      <c r="A485" s="231">
        <v>31856</v>
      </c>
      <c r="B485" s="232" t="s">
        <v>1656</v>
      </c>
    </row>
    <row r="486" spans="1:2">
      <c r="A486" s="231">
        <v>31857</v>
      </c>
      <c r="B486" s="230" t="s">
        <v>1657</v>
      </c>
    </row>
    <row r="487" spans="1:2">
      <c r="A487" s="231">
        <v>28830</v>
      </c>
      <c r="B487" s="230" t="s">
        <v>1937</v>
      </c>
    </row>
    <row r="488" spans="1:2">
      <c r="A488" s="231">
        <v>19406</v>
      </c>
      <c r="B488" s="233" t="s">
        <v>1954</v>
      </c>
    </row>
    <row r="489" spans="1:2">
      <c r="A489" s="241">
        <v>35694</v>
      </c>
      <c r="B489" s="240" t="s">
        <v>1892</v>
      </c>
    </row>
    <row r="490" spans="1:2">
      <c r="A490" s="241">
        <v>24128</v>
      </c>
      <c r="B490" s="240" t="s">
        <v>1955</v>
      </c>
    </row>
    <row r="491" spans="1:2">
      <c r="A491" s="241">
        <v>35702</v>
      </c>
      <c r="B491" s="240" t="s">
        <v>1346</v>
      </c>
    </row>
    <row r="492" spans="1:2">
      <c r="A492" s="241">
        <v>28034</v>
      </c>
      <c r="B492" s="242" t="s">
        <v>1719</v>
      </c>
    </row>
    <row r="493" spans="1:2">
      <c r="A493" s="241">
        <v>28121</v>
      </c>
      <c r="B493" s="242" t="s">
        <v>784</v>
      </c>
    </row>
    <row r="494" spans="1:2">
      <c r="A494" s="231">
        <v>22954</v>
      </c>
      <c r="B494" s="233" t="s">
        <v>132</v>
      </c>
    </row>
    <row r="495" spans="1:2">
      <c r="A495" s="231">
        <v>32505</v>
      </c>
      <c r="B495" s="230" t="s">
        <v>133</v>
      </c>
    </row>
    <row r="496" spans="1:2">
      <c r="A496" s="231">
        <v>23206</v>
      </c>
      <c r="B496" s="233" t="s">
        <v>2242</v>
      </c>
    </row>
    <row r="497" spans="1:2">
      <c r="A497" s="231">
        <v>28528</v>
      </c>
      <c r="B497" s="233" t="s">
        <v>2164</v>
      </c>
    </row>
    <row r="498" spans="1:2">
      <c r="A498" s="231">
        <v>28579</v>
      </c>
      <c r="B498" s="239" t="s">
        <v>138</v>
      </c>
    </row>
    <row r="499" spans="1:2">
      <c r="A499" s="241">
        <v>13209</v>
      </c>
      <c r="B499" s="240" t="s">
        <v>518</v>
      </c>
    </row>
    <row r="500" spans="1:2">
      <c r="A500" s="231">
        <v>34472</v>
      </c>
      <c r="B500" s="233" t="s">
        <v>990</v>
      </c>
    </row>
    <row r="501" spans="1:2">
      <c r="A501" s="231">
        <v>32770</v>
      </c>
      <c r="B501" s="233" t="s">
        <v>1230</v>
      </c>
    </row>
    <row r="502" spans="1:2">
      <c r="A502" s="231">
        <v>23041</v>
      </c>
      <c r="B502" s="232" t="s">
        <v>139</v>
      </c>
    </row>
    <row r="503" spans="1:2">
      <c r="A503" s="244">
        <v>25937</v>
      </c>
      <c r="B503" s="667" t="s">
        <v>140</v>
      </c>
    </row>
    <row r="504" spans="1:2">
      <c r="A504" s="231">
        <v>30627</v>
      </c>
      <c r="B504" s="239" t="s">
        <v>142</v>
      </c>
    </row>
    <row r="505" spans="1:2">
      <c r="A505" s="231">
        <v>30450</v>
      </c>
      <c r="B505" s="239" t="s">
        <v>1939</v>
      </c>
    </row>
    <row r="506" spans="1:2">
      <c r="A506" s="282">
        <v>2564</v>
      </c>
      <c r="B506" s="668" t="s">
        <v>1974</v>
      </c>
    </row>
    <row r="507" spans="1:2">
      <c r="A507" s="282">
        <v>3222</v>
      </c>
      <c r="B507" s="668" t="s">
        <v>1468</v>
      </c>
    </row>
    <row r="508" spans="1:2">
      <c r="A508" s="282">
        <v>1900</v>
      </c>
      <c r="B508" s="668" t="s">
        <v>1976</v>
      </c>
    </row>
    <row r="509" spans="1:2">
      <c r="A509" s="282">
        <v>3225</v>
      </c>
      <c r="B509" s="668" t="s">
        <v>1664</v>
      </c>
    </row>
    <row r="510" spans="1:2">
      <c r="A510" s="282">
        <v>803</v>
      </c>
      <c r="B510" s="668" t="s">
        <v>1977</v>
      </c>
    </row>
    <row r="511" spans="1:2">
      <c r="A511" s="282">
        <v>1898</v>
      </c>
      <c r="B511" s="668" t="s">
        <v>1638</v>
      </c>
    </row>
    <row r="512" spans="1:2">
      <c r="A512" s="282">
        <v>963</v>
      </c>
      <c r="B512" s="668" t="s">
        <v>1639</v>
      </c>
    </row>
    <row r="513" spans="1:2">
      <c r="A513" s="282">
        <v>2673</v>
      </c>
      <c r="B513" s="668" t="s">
        <v>1228</v>
      </c>
    </row>
    <row r="514" spans="1:2">
      <c r="A514" s="669" t="s">
        <v>146</v>
      </c>
      <c r="B514" s="652" t="s">
        <v>1644</v>
      </c>
    </row>
    <row r="515" spans="1:2">
      <c r="A515" s="669" t="s">
        <v>146</v>
      </c>
      <c r="B515" s="652" t="s">
        <v>1288</v>
      </c>
    </row>
    <row r="516" spans="1:2">
      <c r="A516" s="282">
        <v>2564</v>
      </c>
      <c r="B516" s="668" t="s">
        <v>1974</v>
      </c>
    </row>
    <row r="517" spans="1:2">
      <c r="A517" s="282">
        <v>3222</v>
      </c>
      <c r="B517" s="668" t="s">
        <v>1468</v>
      </c>
    </row>
    <row r="518" spans="1:2">
      <c r="A518" s="282">
        <v>1900</v>
      </c>
      <c r="B518" s="668" t="s">
        <v>1976</v>
      </c>
    </row>
    <row r="519" spans="1:2">
      <c r="A519" s="282">
        <v>3225</v>
      </c>
      <c r="B519" s="668" t="s">
        <v>1664</v>
      </c>
    </row>
    <row r="520" spans="1:2">
      <c r="A520" s="282">
        <v>803</v>
      </c>
      <c r="B520" s="668" t="s">
        <v>1977</v>
      </c>
    </row>
    <row r="521" spans="1:2">
      <c r="A521" s="282">
        <v>1898</v>
      </c>
      <c r="B521" s="668" t="s">
        <v>1638</v>
      </c>
    </row>
    <row r="522" spans="1:2">
      <c r="A522" s="282">
        <v>963</v>
      </c>
      <c r="B522" s="668" t="s">
        <v>1639</v>
      </c>
    </row>
    <row r="523" spans="1:2">
      <c r="A523" s="282">
        <v>2673</v>
      </c>
      <c r="B523" s="668" t="s">
        <v>1228</v>
      </c>
    </row>
    <row r="524" spans="1:2">
      <c r="A524" s="669" t="s">
        <v>146</v>
      </c>
      <c r="B524" s="652" t="s">
        <v>562</v>
      </c>
    </row>
    <row r="525" spans="1:2">
      <c r="A525" s="298">
        <v>34894</v>
      </c>
      <c r="B525" s="480" t="s">
        <v>425</v>
      </c>
    </row>
    <row r="526" spans="1:2">
      <c r="A526" s="298">
        <v>28572</v>
      </c>
      <c r="B526" s="480" t="s">
        <v>2270</v>
      </c>
    </row>
    <row r="527" spans="1:2">
      <c r="A527" s="296">
        <v>34665</v>
      </c>
      <c r="B527" s="479" t="s">
        <v>970</v>
      </c>
    </row>
    <row r="528" spans="1:2">
      <c r="A528" s="298">
        <v>30901</v>
      </c>
      <c r="B528" s="480" t="s">
        <v>2278</v>
      </c>
    </row>
    <row r="529" spans="1:2">
      <c r="A529" s="298">
        <v>35093</v>
      </c>
      <c r="B529" s="480" t="s">
        <v>1997</v>
      </c>
    </row>
    <row r="530" spans="1:2">
      <c r="A530" s="296">
        <v>31305</v>
      </c>
      <c r="B530" s="479" t="s">
        <v>2280</v>
      </c>
    </row>
    <row r="531" spans="1:2">
      <c r="A531" s="298">
        <v>34329</v>
      </c>
      <c r="B531" s="297" t="s">
        <v>987</v>
      </c>
    </row>
    <row r="532" spans="1:2">
      <c r="A532" s="296">
        <v>32659</v>
      </c>
      <c r="B532" s="479" t="s">
        <v>645</v>
      </c>
    </row>
    <row r="533" spans="1:2">
      <c r="A533" s="298">
        <v>33389</v>
      </c>
      <c r="B533" s="480" t="s">
        <v>1662</v>
      </c>
    </row>
    <row r="534" spans="1:2">
      <c r="A534" s="298">
        <v>23555</v>
      </c>
      <c r="B534" s="480" t="s">
        <v>444</v>
      </c>
    </row>
    <row r="535" spans="1:2">
      <c r="A535" s="298">
        <v>34606</v>
      </c>
      <c r="B535" s="480" t="s">
        <v>1141</v>
      </c>
    </row>
    <row r="536" spans="1:2">
      <c r="A536" s="298">
        <v>28524</v>
      </c>
      <c r="B536" s="480" t="s">
        <v>446</v>
      </c>
    </row>
    <row r="537" spans="1:2">
      <c r="A537" s="298">
        <v>34165</v>
      </c>
      <c r="B537" s="480" t="s">
        <v>986</v>
      </c>
    </row>
    <row r="538" spans="1:2">
      <c r="A538" s="298">
        <v>30103</v>
      </c>
      <c r="B538" s="480" t="s">
        <v>447</v>
      </c>
    </row>
    <row r="539" spans="1:2">
      <c r="A539" s="298">
        <v>29346</v>
      </c>
      <c r="B539" s="480" t="s">
        <v>1734</v>
      </c>
    </row>
    <row r="540" spans="1:2">
      <c r="A540" s="298">
        <v>28312</v>
      </c>
      <c r="B540" s="480" t="s">
        <v>1736</v>
      </c>
    </row>
    <row r="541" spans="1:2">
      <c r="A541" s="296">
        <v>28954</v>
      </c>
      <c r="B541" s="479" t="s">
        <v>939</v>
      </c>
    </row>
    <row r="542" spans="1:2">
      <c r="A542" s="296">
        <v>28955</v>
      </c>
      <c r="B542" s="479" t="s">
        <v>940</v>
      </c>
    </row>
    <row r="543" spans="1:2">
      <c r="A543" s="298">
        <v>29121</v>
      </c>
      <c r="B543" s="480" t="s">
        <v>1737</v>
      </c>
    </row>
    <row r="544" spans="1:2">
      <c r="A544" s="298">
        <v>29962</v>
      </c>
      <c r="B544" s="480" t="s">
        <v>647</v>
      </c>
    </row>
    <row r="545" spans="1:2">
      <c r="A545" s="296">
        <v>28929</v>
      </c>
      <c r="B545" s="479" t="s">
        <v>941</v>
      </c>
    </row>
    <row r="546" spans="1:2">
      <c r="A546" s="296">
        <v>28930</v>
      </c>
      <c r="B546" s="479" t="s">
        <v>942</v>
      </c>
    </row>
    <row r="547" spans="1:2">
      <c r="A547" s="296">
        <v>28416</v>
      </c>
      <c r="B547" s="479" t="s">
        <v>648</v>
      </c>
    </row>
    <row r="548" spans="1:2">
      <c r="A548" s="296">
        <v>31745</v>
      </c>
      <c r="B548" s="479" t="s">
        <v>649</v>
      </c>
    </row>
    <row r="549" spans="1:2">
      <c r="A549" s="302">
        <v>30312</v>
      </c>
      <c r="B549" s="481" t="s">
        <v>650</v>
      </c>
    </row>
    <row r="550" spans="1:2">
      <c r="A550" s="298">
        <v>22802</v>
      </c>
      <c r="B550" s="480" t="s">
        <v>651</v>
      </c>
    </row>
    <row r="551" spans="1:2">
      <c r="A551" s="298">
        <v>28768</v>
      </c>
      <c r="B551" s="480" t="s">
        <v>652</v>
      </c>
    </row>
    <row r="552" spans="1:2">
      <c r="A552" s="298">
        <v>32044</v>
      </c>
      <c r="B552" s="480" t="s">
        <v>653</v>
      </c>
    </row>
    <row r="553" spans="1:2">
      <c r="A553" s="298">
        <v>32269</v>
      </c>
      <c r="B553" s="480" t="s">
        <v>239</v>
      </c>
    </row>
    <row r="554" spans="1:2">
      <c r="A554" s="298">
        <v>33298</v>
      </c>
      <c r="B554" s="480" t="s">
        <v>1530</v>
      </c>
    </row>
    <row r="555" spans="1:2">
      <c r="A555" s="298">
        <v>29125</v>
      </c>
      <c r="B555" s="480" t="s">
        <v>654</v>
      </c>
    </row>
    <row r="556" spans="1:2">
      <c r="A556" s="298">
        <v>29182</v>
      </c>
      <c r="B556" s="480" t="s">
        <v>1351</v>
      </c>
    </row>
    <row r="557" spans="1:2">
      <c r="A557" s="298">
        <v>32471</v>
      </c>
      <c r="B557" s="480" t="s">
        <v>1352</v>
      </c>
    </row>
    <row r="558" spans="1:2">
      <c r="A558" s="298">
        <v>34197</v>
      </c>
      <c r="B558" s="480" t="s">
        <v>988</v>
      </c>
    </row>
    <row r="559" spans="1:2">
      <c r="A559" s="296">
        <v>32781</v>
      </c>
      <c r="B559" s="479" t="s">
        <v>646</v>
      </c>
    </row>
    <row r="560" spans="1:2">
      <c r="A560" s="296">
        <v>27463</v>
      </c>
      <c r="B560" s="479" t="s">
        <v>853</v>
      </c>
    </row>
    <row r="561" spans="1:2">
      <c r="A561" s="298">
        <v>31331</v>
      </c>
      <c r="B561" s="480" t="s">
        <v>1369</v>
      </c>
    </row>
    <row r="562" spans="1:2">
      <c r="A562" s="296">
        <v>28226</v>
      </c>
      <c r="B562" s="479" t="s">
        <v>1370</v>
      </c>
    </row>
    <row r="563" spans="1:2">
      <c r="A563" s="298">
        <v>30865</v>
      </c>
      <c r="B563" s="480" t="s">
        <v>1371</v>
      </c>
    </row>
    <row r="564" spans="1:2">
      <c r="A564" s="296">
        <v>27814</v>
      </c>
      <c r="B564" s="479" t="s">
        <v>644</v>
      </c>
    </row>
    <row r="565" spans="1:2">
      <c r="A565" s="298">
        <v>33493</v>
      </c>
      <c r="B565" s="480" t="s">
        <v>1435</v>
      </c>
    </row>
    <row r="566" spans="1:2">
      <c r="A566" s="298">
        <v>33754</v>
      </c>
      <c r="B566" s="480" t="s">
        <v>1764</v>
      </c>
    </row>
    <row r="567" spans="1:2">
      <c r="A567" s="298">
        <v>29360</v>
      </c>
      <c r="B567" s="480" t="s">
        <v>1372</v>
      </c>
    </row>
    <row r="568" spans="1:2">
      <c r="A568" s="296">
        <v>28345</v>
      </c>
      <c r="B568" s="479" t="s">
        <v>1373</v>
      </c>
    </row>
    <row r="569" spans="1:2">
      <c r="A569" s="296">
        <v>27913</v>
      </c>
      <c r="B569" s="479" t="s">
        <v>1374</v>
      </c>
    </row>
    <row r="570" spans="1:2">
      <c r="A570" s="298">
        <v>33214</v>
      </c>
      <c r="B570" s="297" t="s">
        <v>282</v>
      </c>
    </row>
    <row r="571" spans="1:2">
      <c r="A571" s="302">
        <v>22736</v>
      </c>
      <c r="B571" s="301" t="s">
        <v>2069</v>
      </c>
    </row>
    <row r="572" spans="1:2">
      <c r="A572" s="298">
        <v>30881</v>
      </c>
      <c r="B572" s="297" t="s">
        <v>1377</v>
      </c>
    </row>
    <row r="573" spans="1:2">
      <c r="A573" s="298">
        <v>32369</v>
      </c>
      <c r="B573" s="297" t="s">
        <v>241</v>
      </c>
    </row>
    <row r="574" spans="1:2">
      <c r="A574" s="298">
        <v>28427</v>
      </c>
      <c r="B574" s="297" t="s">
        <v>1378</v>
      </c>
    </row>
    <row r="575" spans="1:2">
      <c r="A575" s="298">
        <v>28426</v>
      </c>
      <c r="B575" s="297" t="s">
        <v>1379</v>
      </c>
    </row>
    <row r="576" spans="1:2">
      <c r="A576" s="298">
        <v>31332</v>
      </c>
      <c r="B576" s="297" t="s">
        <v>1380</v>
      </c>
    </row>
    <row r="577" spans="1:2">
      <c r="A577" s="298">
        <v>35101</v>
      </c>
      <c r="B577" s="297" t="s">
        <v>2001</v>
      </c>
    </row>
    <row r="578" spans="1:2">
      <c r="A578" s="298">
        <v>34164</v>
      </c>
      <c r="B578" s="297" t="s">
        <v>985</v>
      </c>
    </row>
    <row r="579" spans="1:2">
      <c r="A579" s="296">
        <v>28267</v>
      </c>
      <c r="B579" s="295" t="s">
        <v>1381</v>
      </c>
    </row>
    <row r="580" spans="1:2">
      <c r="A580" s="298">
        <v>23540</v>
      </c>
      <c r="B580" s="297" t="s">
        <v>1382</v>
      </c>
    </row>
    <row r="581" spans="1:2">
      <c r="A581" s="298">
        <v>28425</v>
      </c>
      <c r="B581" s="297" t="s">
        <v>1383</v>
      </c>
    </row>
    <row r="582" spans="1:2">
      <c r="A582" s="298">
        <v>28295</v>
      </c>
      <c r="B582" s="297" t="s">
        <v>1384</v>
      </c>
    </row>
    <row r="583" spans="1:2">
      <c r="A583" s="296">
        <v>28952</v>
      </c>
      <c r="B583" s="295" t="s">
        <v>943</v>
      </c>
    </row>
    <row r="584" spans="1:2">
      <c r="A584" s="296">
        <v>28956</v>
      </c>
      <c r="B584" s="295" t="s">
        <v>944</v>
      </c>
    </row>
    <row r="585" spans="1:2">
      <c r="A585" s="298">
        <v>23054</v>
      </c>
      <c r="B585" s="297" t="s">
        <v>1385</v>
      </c>
    </row>
    <row r="586" spans="1:2">
      <c r="A586" s="298">
        <v>33388</v>
      </c>
      <c r="B586" s="297" t="s">
        <v>281</v>
      </c>
    </row>
    <row r="587" spans="1:2">
      <c r="A587" s="296">
        <v>28926</v>
      </c>
      <c r="B587" s="295" t="s">
        <v>946</v>
      </c>
    </row>
    <row r="588" spans="1:2">
      <c r="A588" s="296">
        <v>28937</v>
      </c>
      <c r="B588" s="295" t="s">
        <v>945</v>
      </c>
    </row>
    <row r="589" spans="1:2">
      <c r="A589" s="298">
        <v>29156</v>
      </c>
      <c r="B589" s="297" t="s">
        <v>1386</v>
      </c>
    </row>
    <row r="590" spans="1:2">
      <c r="A590" s="298">
        <v>30733</v>
      </c>
      <c r="B590" s="297" t="s">
        <v>1387</v>
      </c>
    </row>
    <row r="591" spans="1:2">
      <c r="A591" s="296">
        <v>30788</v>
      </c>
      <c r="B591" s="295" t="s">
        <v>1388</v>
      </c>
    </row>
    <row r="592" spans="1:2">
      <c r="A592" s="296">
        <v>34672</v>
      </c>
      <c r="B592" s="295" t="s">
        <v>971</v>
      </c>
    </row>
    <row r="593" spans="1:2">
      <c r="A593" s="298">
        <v>28749</v>
      </c>
      <c r="B593" s="297" t="s">
        <v>1389</v>
      </c>
    </row>
    <row r="594" spans="1:2">
      <c r="A594" s="296">
        <v>34703</v>
      </c>
      <c r="B594" s="295" t="s">
        <v>959</v>
      </c>
    </row>
    <row r="595" spans="1:2">
      <c r="A595" s="296">
        <v>28189</v>
      </c>
      <c r="B595" s="295" t="s">
        <v>1391</v>
      </c>
    </row>
    <row r="596" spans="1:2">
      <c r="A596" s="298">
        <v>32052</v>
      </c>
      <c r="B596" s="297" t="s">
        <v>1390</v>
      </c>
    </row>
    <row r="597" spans="1:2">
      <c r="A597" s="296">
        <v>27673</v>
      </c>
      <c r="B597" s="295" t="s">
        <v>1392</v>
      </c>
    </row>
    <row r="598" spans="1:2">
      <c r="A598" s="298">
        <v>34609</v>
      </c>
      <c r="B598" s="297" t="s">
        <v>1635</v>
      </c>
    </row>
    <row r="599" spans="1:2">
      <c r="A599" s="296">
        <v>28311</v>
      </c>
      <c r="B599" s="295" t="s">
        <v>1393</v>
      </c>
    </row>
    <row r="600" spans="1:2">
      <c r="A600" s="298">
        <v>28729</v>
      </c>
      <c r="B600" s="297" t="s">
        <v>1395</v>
      </c>
    </row>
    <row r="601" spans="1:2">
      <c r="A601" s="298">
        <v>30082</v>
      </c>
      <c r="B601" s="297" t="s">
        <v>1226</v>
      </c>
    </row>
    <row r="602" spans="1:2">
      <c r="A602" s="298">
        <v>23577</v>
      </c>
      <c r="B602" s="297" t="s">
        <v>1396</v>
      </c>
    </row>
    <row r="603" spans="1:2">
      <c r="A603" s="298">
        <v>29362</v>
      </c>
      <c r="B603" s="297" t="s">
        <v>1397</v>
      </c>
    </row>
    <row r="604" spans="1:2">
      <c r="A604" s="296">
        <v>34666</v>
      </c>
      <c r="B604" s="295" t="s">
        <v>972</v>
      </c>
    </row>
    <row r="605" spans="1:2">
      <c r="A605" s="298">
        <v>30874</v>
      </c>
      <c r="B605" s="297" t="s">
        <v>243</v>
      </c>
    </row>
    <row r="606" spans="1:2">
      <c r="A606" s="302">
        <v>19019</v>
      </c>
      <c r="B606" s="301" t="s">
        <v>1398</v>
      </c>
    </row>
    <row r="607" spans="1:2">
      <c r="A607" s="298">
        <v>33762</v>
      </c>
      <c r="B607" s="297" t="s">
        <v>1767</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897</v>
      </c>
    </row>
    <row r="613" spans="1:2">
      <c r="A613" s="298">
        <v>35076</v>
      </c>
      <c r="B613" s="297" t="s">
        <v>2002</v>
      </c>
    </row>
    <row r="614" spans="1:2">
      <c r="A614" s="298">
        <v>32946</v>
      </c>
      <c r="B614" s="297" t="s">
        <v>697</v>
      </c>
    </row>
    <row r="615" spans="1:2">
      <c r="A615" s="296">
        <v>27846</v>
      </c>
      <c r="B615" s="295" t="s">
        <v>898</v>
      </c>
    </row>
    <row r="616" spans="1:2">
      <c r="A616" s="296">
        <v>27533</v>
      </c>
      <c r="B616" s="295" t="s">
        <v>899</v>
      </c>
    </row>
    <row r="617" spans="1:2">
      <c r="A617" s="298">
        <v>28313</v>
      </c>
      <c r="B617" s="297" t="s">
        <v>900</v>
      </c>
    </row>
    <row r="618" spans="1:2">
      <c r="A618" s="296">
        <v>28953</v>
      </c>
      <c r="B618" s="295" t="s">
        <v>947</v>
      </c>
    </row>
    <row r="619" spans="1:2">
      <c r="A619" s="296">
        <v>28928</v>
      </c>
      <c r="B619" s="295" t="s">
        <v>948</v>
      </c>
    </row>
    <row r="620" spans="1:2">
      <c r="A620" s="298">
        <v>32028</v>
      </c>
      <c r="B620" s="297" t="s">
        <v>901</v>
      </c>
    </row>
    <row r="621" spans="1:2">
      <c r="A621" s="298">
        <v>33495</v>
      </c>
      <c r="B621" s="297" t="s">
        <v>279</v>
      </c>
    </row>
    <row r="622" spans="1:2">
      <c r="A622" s="296">
        <v>28392</v>
      </c>
      <c r="B622" s="295" t="s">
        <v>902</v>
      </c>
    </row>
    <row r="623" spans="1:2">
      <c r="A623" s="298">
        <v>32944</v>
      </c>
      <c r="B623" s="297" t="s">
        <v>903</v>
      </c>
    </row>
    <row r="624" spans="1:2">
      <c r="A624" s="298">
        <v>29348</v>
      </c>
      <c r="B624" s="297" t="s">
        <v>904</v>
      </c>
    </row>
    <row r="625" spans="1:2">
      <c r="A625" s="298">
        <v>33737</v>
      </c>
      <c r="B625" s="297" t="s">
        <v>1766</v>
      </c>
    </row>
    <row r="626" spans="1:2">
      <c r="A626" s="298">
        <v>34893</v>
      </c>
      <c r="B626" s="297" t="s">
        <v>1882</v>
      </c>
    </row>
    <row r="627" spans="1:2">
      <c r="A627" s="296">
        <v>32661</v>
      </c>
      <c r="B627" s="295" t="s">
        <v>1206</v>
      </c>
    </row>
    <row r="628" spans="1:2">
      <c r="A628" s="296">
        <v>27901</v>
      </c>
      <c r="B628" s="295" t="s">
        <v>1916</v>
      </c>
    </row>
    <row r="629" spans="1:2">
      <c r="A629" s="296">
        <v>28210</v>
      </c>
      <c r="B629" s="295" t="s">
        <v>911</v>
      </c>
    </row>
    <row r="630" spans="1:2">
      <c r="A630" s="298">
        <v>35071</v>
      </c>
      <c r="B630" s="297" t="s">
        <v>1999</v>
      </c>
    </row>
    <row r="631" spans="1:2">
      <c r="A631" s="298">
        <v>28438</v>
      </c>
      <c r="B631" s="297" t="s">
        <v>912</v>
      </c>
    </row>
    <row r="632" spans="1:2">
      <c r="A632" s="298">
        <v>28439</v>
      </c>
      <c r="B632" s="297" t="s">
        <v>913</v>
      </c>
    </row>
    <row r="633" spans="1:2">
      <c r="A633" s="298">
        <v>28437</v>
      </c>
      <c r="B633" s="297" t="s">
        <v>914</v>
      </c>
    </row>
    <row r="634" spans="1:2">
      <c r="A634" s="298">
        <v>28657</v>
      </c>
      <c r="B634" s="297" t="s">
        <v>231</v>
      </c>
    </row>
    <row r="635" spans="1:2">
      <c r="A635" s="298">
        <v>28305</v>
      </c>
      <c r="B635" s="297" t="s">
        <v>232</v>
      </c>
    </row>
    <row r="636" spans="1:2">
      <c r="A636" s="296">
        <v>28950</v>
      </c>
      <c r="B636" s="295" t="s">
        <v>951</v>
      </c>
    </row>
    <row r="637" spans="1:2">
      <c r="A637" s="296">
        <v>28951</v>
      </c>
      <c r="B637" s="295" t="s">
        <v>952</v>
      </c>
    </row>
    <row r="638" spans="1:2">
      <c r="A638" s="296">
        <v>28924</v>
      </c>
      <c r="B638" s="295" t="s">
        <v>953</v>
      </c>
    </row>
    <row r="639" spans="1:2">
      <c r="A639" s="296">
        <v>28925</v>
      </c>
      <c r="B639" s="295" t="s">
        <v>854</v>
      </c>
    </row>
    <row r="640" spans="1:2">
      <c r="A640" s="298">
        <v>30058</v>
      </c>
      <c r="B640" s="297" t="s">
        <v>617</v>
      </c>
    </row>
    <row r="641" spans="1:2">
      <c r="A641" s="298">
        <v>32026</v>
      </c>
      <c r="B641" s="297" t="s">
        <v>233</v>
      </c>
    </row>
    <row r="642" spans="1:2">
      <c r="A642" s="298">
        <v>29996</v>
      </c>
      <c r="B642" s="297" t="s">
        <v>812</v>
      </c>
    </row>
    <row r="643" spans="1:2">
      <c r="A643" s="298">
        <v>23544</v>
      </c>
      <c r="B643" s="297" t="s">
        <v>234</v>
      </c>
    </row>
    <row r="644" spans="1:2">
      <c r="A644" s="298">
        <v>32943</v>
      </c>
      <c r="B644" s="297" t="s">
        <v>1626</v>
      </c>
    </row>
    <row r="645" spans="1:2">
      <c r="A645" s="298">
        <v>32262</v>
      </c>
      <c r="B645" s="297" t="s">
        <v>528</v>
      </c>
    </row>
    <row r="646" spans="1:2">
      <c r="A646" s="296">
        <v>32536</v>
      </c>
      <c r="B646" s="295" t="s">
        <v>1232</v>
      </c>
    </row>
    <row r="647" spans="1:2">
      <c r="A647" s="296">
        <v>32536</v>
      </c>
      <c r="B647" s="295" t="s">
        <v>1233</v>
      </c>
    </row>
    <row r="648" spans="1:2">
      <c r="A648" s="296">
        <v>32536</v>
      </c>
      <c r="B648" s="295" t="s">
        <v>1234</v>
      </c>
    </row>
    <row r="649" spans="1:2">
      <c r="A649" s="296">
        <v>32536</v>
      </c>
      <c r="B649" s="295" t="s">
        <v>1235</v>
      </c>
    </row>
    <row r="650" spans="1:2">
      <c r="A650" s="296">
        <v>27980</v>
      </c>
      <c r="B650" s="295" t="s">
        <v>235</v>
      </c>
    </row>
    <row r="651" spans="1:2">
      <c r="A651" s="296">
        <v>27476</v>
      </c>
      <c r="B651" s="295" t="s">
        <v>236</v>
      </c>
    </row>
    <row r="652" spans="1:2">
      <c r="A652" s="298">
        <v>33733</v>
      </c>
      <c r="B652" s="297" t="s">
        <v>1765</v>
      </c>
    </row>
    <row r="653" spans="1:2">
      <c r="A653" s="300" t="s">
        <v>1933</v>
      </c>
      <c r="B653" s="300" t="s">
        <v>1739</v>
      </c>
    </row>
    <row r="654" spans="1:2">
      <c r="A654" s="298">
        <v>34894</v>
      </c>
      <c r="B654" s="480" t="s">
        <v>425</v>
      </c>
    </row>
    <row r="655" spans="1:2">
      <c r="A655" s="298">
        <v>28572</v>
      </c>
      <c r="B655" s="480" t="s">
        <v>2270</v>
      </c>
    </row>
    <row r="656" spans="1:2">
      <c r="A656" s="296">
        <v>34665</v>
      </c>
      <c r="B656" s="479" t="s">
        <v>970</v>
      </c>
    </row>
    <row r="657" spans="1:2">
      <c r="A657" s="298">
        <v>30901</v>
      </c>
      <c r="B657" s="480" t="s">
        <v>2278</v>
      </c>
    </row>
    <row r="658" spans="1:2">
      <c r="A658" s="298">
        <v>35058</v>
      </c>
      <c r="B658" s="480" t="s">
        <v>1996</v>
      </c>
    </row>
    <row r="659" spans="1:2">
      <c r="A659" s="298">
        <v>35093</v>
      </c>
      <c r="B659" s="480" t="s">
        <v>1997</v>
      </c>
    </row>
    <row r="660" spans="1:2">
      <c r="A660" s="298">
        <v>35095</v>
      </c>
      <c r="B660" s="480" t="s">
        <v>1998</v>
      </c>
    </row>
    <row r="661" spans="1:2">
      <c r="A661" s="296">
        <v>31305</v>
      </c>
      <c r="B661" s="479" t="s">
        <v>2280</v>
      </c>
    </row>
    <row r="662" spans="1:2">
      <c r="A662" s="298">
        <v>34329</v>
      </c>
      <c r="B662" s="297" t="s">
        <v>987</v>
      </c>
    </row>
    <row r="663" spans="1:2">
      <c r="A663" s="296">
        <v>32659</v>
      </c>
      <c r="B663" s="479" t="s">
        <v>645</v>
      </c>
    </row>
    <row r="664" spans="1:2">
      <c r="A664" s="298">
        <v>33389</v>
      </c>
      <c r="B664" s="480" t="s">
        <v>1662</v>
      </c>
    </row>
    <row r="665" spans="1:2">
      <c r="A665" s="298">
        <v>23555</v>
      </c>
      <c r="B665" s="480" t="s">
        <v>444</v>
      </c>
    </row>
    <row r="666" spans="1:2">
      <c r="A666" s="298">
        <v>34606</v>
      </c>
      <c r="B666" s="480" t="s">
        <v>1141</v>
      </c>
    </row>
    <row r="667" spans="1:2">
      <c r="A667" s="298">
        <v>28524</v>
      </c>
      <c r="B667" s="480" t="s">
        <v>446</v>
      </c>
    </row>
    <row r="668" spans="1:2">
      <c r="A668" s="298">
        <v>34165</v>
      </c>
      <c r="B668" s="480" t="s">
        <v>986</v>
      </c>
    </row>
    <row r="669" spans="1:2">
      <c r="A669" s="298">
        <v>30103</v>
      </c>
      <c r="B669" s="480" t="s">
        <v>447</v>
      </c>
    </row>
    <row r="670" spans="1:2">
      <c r="A670" s="298">
        <v>29346</v>
      </c>
      <c r="B670" s="480" t="s">
        <v>1734</v>
      </c>
    </row>
    <row r="671" spans="1:2">
      <c r="A671" s="298">
        <v>28312</v>
      </c>
      <c r="B671" s="480" t="s">
        <v>1736</v>
      </c>
    </row>
    <row r="672" spans="1:2">
      <c r="A672" s="298">
        <v>28310</v>
      </c>
      <c r="B672" s="480" t="s">
        <v>237</v>
      </c>
    </row>
    <row r="673" spans="1:2">
      <c r="A673" s="296">
        <v>28954</v>
      </c>
      <c r="B673" s="479" t="s">
        <v>939</v>
      </c>
    </row>
    <row r="674" spans="1:2">
      <c r="A674" s="296">
        <v>28955</v>
      </c>
      <c r="B674" s="479" t="s">
        <v>940</v>
      </c>
    </row>
    <row r="675" spans="1:2">
      <c r="A675" s="298">
        <v>29121</v>
      </c>
      <c r="B675" s="480" t="s">
        <v>1737</v>
      </c>
    </row>
    <row r="676" spans="1:2">
      <c r="A676" s="298">
        <v>29962</v>
      </c>
      <c r="B676" s="480" t="s">
        <v>647</v>
      </c>
    </row>
    <row r="677" spans="1:2">
      <c r="A677" s="296">
        <v>28929</v>
      </c>
      <c r="B677" s="479" t="s">
        <v>941</v>
      </c>
    </row>
    <row r="678" spans="1:2">
      <c r="A678" s="296">
        <v>28930</v>
      </c>
      <c r="B678" s="479" t="s">
        <v>942</v>
      </c>
    </row>
    <row r="679" spans="1:2">
      <c r="A679" s="296">
        <v>28416</v>
      </c>
      <c r="B679" s="479" t="s">
        <v>648</v>
      </c>
    </row>
    <row r="680" spans="1:2">
      <c r="A680" s="302">
        <v>30312</v>
      </c>
      <c r="B680" s="481" t="s">
        <v>650</v>
      </c>
    </row>
    <row r="681" spans="1:2">
      <c r="A681" s="298">
        <v>22802</v>
      </c>
      <c r="B681" s="480" t="s">
        <v>651</v>
      </c>
    </row>
    <row r="682" spans="1:2">
      <c r="A682" s="298">
        <v>28768</v>
      </c>
      <c r="B682" s="480" t="s">
        <v>652</v>
      </c>
    </row>
    <row r="683" spans="1:2">
      <c r="A683" s="298">
        <v>32044</v>
      </c>
      <c r="B683" s="480" t="s">
        <v>653</v>
      </c>
    </row>
    <row r="684" spans="1:2">
      <c r="A684" s="298">
        <v>32046</v>
      </c>
      <c r="B684" s="480" t="s">
        <v>238</v>
      </c>
    </row>
    <row r="685" spans="1:2">
      <c r="A685" s="298">
        <v>32269</v>
      </c>
      <c r="B685" s="480" t="s">
        <v>239</v>
      </c>
    </row>
    <row r="686" spans="1:2">
      <c r="A686" s="298">
        <v>33298</v>
      </c>
      <c r="B686" s="480" t="s">
        <v>1530</v>
      </c>
    </row>
    <row r="687" spans="1:2">
      <c r="A687" s="298">
        <v>29125</v>
      </c>
      <c r="B687" s="480" t="s">
        <v>654</v>
      </c>
    </row>
    <row r="688" spans="1:2">
      <c r="A688" s="298">
        <v>29182</v>
      </c>
      <c r="B688" s="480" t="s">
        <v>1351</v>
      </c>
    </row>
    <row r="689" spans="1:2">
      <c r="A689" s="298">
        <v>29275</v>
      </c>
      <c r="B689" s="480" t="s">
        <v>240</v>
      </c>
    </row>
    <row r="690" spans="1:2">
      <c r="A690" s="298">
        <v>32471</v>
      </c>
      <c r="B690" s="480" t="s">
        <v>1352</v>
      </c>
    </row>
    <row r="691" spans="1:2">
      <c r="A691" s="298">
        <v>34197</v>
      </c>
      <c r="B691" s="480" t="s">
        <v>988</v>
      </c>
    </row>
    <row r="692" spans="1:2">
      <c r="A692" s="298">
        <v>34949</v>
      </c>
      <c r="B692" s="480" t="s">
        <v>427</v>
      </c>
    </row>
    <row r="693" spans="1:2">
      <c r="A693" s="296">
        <v>27463</v>
      </c>
      <c r="B693" s="479" t="s">
        <v>853</v>
      </c>
    </row>
    <row r="694" spans="1:2">
      <c r="A694" s="298">
        <v>34952</v>
      </c>
      <c r="B694" s="480" t="s">
        <v>428</v>
      </c>
    </row>
    <row r="695" spans="1:2">
      <c r="A695" s="298">
        <v>31331</v>
      </c>
      <c r="B695" s="480" t="s">
        <v>1369</v>
      </c>
    </row>
    <row r="696" spans="1:2">
      <c r="A696" s="296">
        <v>28226</v>
      </c>
      <c r="B696" s="479" t="s">
        <v>1370</v>
      </c>
    </row>
    <row r="697" spans="1:2">
      <c r="A697" s="298">
        <v>30865</v>
      </c>
      <c r="B697" s="480" t="s">
        <v>1371</v>
      </c>
    </row>
    <row r="698" spans="1:2">
      <c r="A698" s="296">
        <v>27814</v>
      </c>
      <c r="B698" s="479" t="s">
        <v>644</v>
      </c>
    </row>
    <row r="699" spans="1:2">
      <c r="A699" s="298">
        <v>33493</v>
      </c>
      <c r="B699" s="480" t="s">
        <v>1435</v>
      </c>
    </row>
    <row r="700" spans="1:2">
      <c r="A700" s="298">
        <v>33801</v>
      </c>
      <c r="B700" s="480" t="s">
        <v>1420</v>
      </c>
    </row>
    <row r="701" spans="1:2">
      <c r="A701" s="298">
        <v>33754</v>
      </c>
      <c r="B701" s="480" t="s">
        <v>1764</v>
      </c>
    </row>
    <row r="702" spans="1:2">
      <c r="A702" s="298">
        <v>33756</v>
      </c>
      <c r="B702" s="480" t="s">
        <v>1763</v>
      </c>
    </row>
    <row r="703" spans="1:2">
      <c r="A703" s="298">
        <v>29360</v>
      </c>
      <c r="B703" s="480" t="s">
        <v>1372</v>
      </c>
    </row>
    <row r="704" spans="1:2">
      <c r="A704" s="296">
        <v>28345</v>
      </c>
      <c r="B704" s="479" t="s">
        <v>1373</v>
      </c>
    </row>
    <row r="705" spans="1:2">
      <c r="A705" s="296">
        <v>27913</v>
      </c>
      <c r="B705" s="479" t="s">
        <v>1374</v>
      </c>
    </row>
    <row r="706" spans="1:2">
      <c r="A706" s="298">
        <v>33214</v>
      </c>
      <c r="B706" s="297" t="s">
        <v>282</v>
      </c>
    </row>
    <row r="707" spans="1:2">
      <c r="A707" s="298">
        <v>30881</v>
      </c>
      <c r="B707" s="297" t="s">
        <v>1377</v>
      </c>
    </row>
    <row r="708" spans="1:2">
      <c r="A708" s="298">
        <v>32369</v>
      </c>
      <c r="B708" s="297" t="s">
        <v>241</v>
      </c>
    </row>
    <row r="709" spans="1:2">
      <c r="A709" s="298">
        <v>28427</v>
      </c>
      <c r="B709" s="297" t="s">
        <v>1378</v>
      </c>
    </row>
    <row r="710" spans="1:2">
      <c r="A710" s="298">
        <v>28426</v>
      </c>
      <c r="B710" s="297" t="s">
        <v>1379</v>
      </c>
    </row>
    <row r="711" spans="1:2">
      <c r="A711" s="298">
        <v>31332</v>
      </c>
      <c r="B711" s="297" t="s">
        <v>1380</v>
      </c>
    </row>
    <row r="712" spans="1:2">
      <c r="A712" s="298">
        <v>35072</v>
      </c>
      <c r="B712" s="297" t="s">
        <v>2000</v>
      </c>
    </row>
    <row r="713" spans="1:2">
      <c r="A713" s="298">
        <v>35101</v>
      </c>
      <c r="B713" s="297" t="s">
        <v>2001</v>
      </c>
    </row>
    <row r="714" spans="1:2">
      <c r="A714" s="298">
        <v>34164</v>
      </c>
      <c r="B714" s="297" t="s">
        <v>985</v>
      </c>
    </row>
    <row r="715" spans="1:2">
      <c r="A715" s="296">
        <v>28267</v>
      </c>
      <c r="B715" s="295" t="s">
        <v>1381</v>
      </c>
    </row>
    <row r="716" spans="1:2">
      <c r="A716" s="298">
        <v>23540</v>
      </c>
      <c r="B716" s="297" t="s">
        <v>1382</v>
      </c>
    </row>
    <row r="717" spans="1:2">
      <c r="A717" s="298">
        <v>28425</v>
      </c>
      <c r="B717" s="297" t="s">
        <v>1383</v>
      </c>
    </row>
    <row r="718" spans="1:2">
      <c r="A718" s="298">
        <v>28307</v>
      </c>
      <c r="B718" s="297" t="s">
        <v>242</v>
      </c>
    </row>
    <row r="719" spans="1:2">
      <c r="A719" s="298">
        <v>28295</v>
      </c>
      <c r="B719" s="297" t="s">
        <v>1384</v>
      </c>
    </row>
    <row r="720" spans="1:2">
      <c r="A720" s="296">
        <v>28952</v>
      </c>
      <c r="B720" s="295" t="s">
        <v>943</v>
      </c>
    </row>
    <row r="721" spans="1:2">
      <c r="A721" s="296">
        <v>28956</v>
      </c>
      <c r="B721" s="295" t="s">
        <v>944</v>
      </c>
    </row>
    <row r="722" spans="1:2">
      <c r="A722" s="298">
        <v>23054</v>
      </c>
      <c r="B722" s="297" t="s">
        <v>1385</v>
      </c>
    </row>
    <row r="723" spans="1:2">
      <c r="A723" s="298">
        <v>33388</v>
      </c>
      <c r="B723" s="297" t="s">
        <v>281</v>
      </c>
    </row>
    <row r="724" spans="1:2">
      <c r="A724" s="296">
        <v>28926</v>
      </c>
      <c r="B724" s="295" t="s">
        <v>946</v>
      </c>
    </row>
    <row r="725" spans="1:2">
      <c r="A725" s="296">
        <v>28937</v>
      </c>
      <c r="B725" s="295" t="s">
        <v>945</v>
      </c>
    </row>
    <row r="726" spans="1:2">
      <c r="A726" s="298">
        <v>29156</v>
      </c>
      <c r="B726" s="297" t="s">
        <v>1386</v>
      </c>
    </row>
    <row r="727" spans="1:2">
      <c r="A727" s="298">
        <v>30733</v>
      </c>
      <c r="B727" s="297" t="s">
        <v>1387</v>
      </c>
    </row>
    <row r="728" spans="1:2">
      <c r="A728" s="296">
        <v>34672</v>
      </c>
      <c r="B728" s="295" t="s">
        <v>971</v>
      </c>
    </row>
    <row r="729" spans="1:2">
      <c r="A729" s="298">
        <v>28749</v>
      </c>
      <c r="B729" s="297" t="s">
        <v>1389</v>
      </c>
    </row>
    <row r="730" spans="1:2">
      <c r="A730" s="296">
        <v>34703</v>
      </c>
      <c r="B730" s="295" t="s">
        <v>959</v>
      </c>
    </row>
    <row r="731" spans="1:2">
      <c r="A731" s="296">
        <v>28189</v>
      </c>
      <c r="B731" s="295" t="s">
        <v>1391</v>
      </c>
    </row>
    <row r="732" spans="1:2">
      <c r="A732" s="298">
        <v>32027</v>
      </c>
      <c r="B732" s="297" t="s">
        <v>521</v>
      </c>
    </row>
    <row r="733" spans="1:2">
      <c r="A733" s="298">
        <v>32052</v>
      </c>
      <c r="B733" s="297" t="s">
        <v>1390</v>
      </c>
    </row>
    <row r="734" spans="1:2">
      <c r="A734" s="296">
        <v>27673</v>
      </c>
      <c r="B734" s="295" t="s">
        <v>1392</v>
      </c>
    </row>
    <row r="735" spans="1:2">
      <c r="A735" s="298">
        <v>34609</v>
      </c>
      <c r="B735" s="297" t="s">
        <v>1635</v>
      </c>
    </row>
    <row r="736" spans="1:2">
      <c r="A736" s="296">
        <v>28311</v>
      </c>
      <c r="B736" s="295" t="s">
        <v>1393</v>
      </c>
    </row>
    <row r="737" spans="1:2">
      <c r="A737" s="298">
        <v>28729</v>
      </c>
      <c r="B737" s="297" t="s">
        <v>1395</v>
      </c>
    </row>
    <row r="738" spans="1:2">
      <c r="A738" s="298">
        <v>30082</v>
      </c>
      <c r="B738" s="297" t="s">
        <v>1226</v>
      </c>
    </row>
    <row r="739" spans="1:2">
      <c r="A739" s="298">
        <v>23577</v>
      </c>
      <c r="B739" s="297" t="s">
        <v>1396</v>
      </c>
    </row>
    <row r="740" spans="1:2">
      <c r="A740" s="298">
        <v>29362</v>
      </c>
      <c r="B740" s="297" t="s">
        <v>1397</v>
      </c>
    </row>
    <row r="741" spans="1:2">
      <c r="A741" s="296">
        <v>34666</v>
      </c>
      <c r="B741" s="295" t="s">
        <v>972</v>
      </c>
    </row>
    <row r="742" spans="1:2">
      <c r="A742" s="298">
        <v>30874</v>
      </c>
      <c r="B742" s="297" t="s">
        <v>243</v>
      </c>
    </row>
    <row r="743" spans="1:2">
      <c r="A743" s="302">
        <v>19019</v>
      </c>
      <c r="B743" s="301" t="s">
        <v>1398</v>
      </c>
    </row>
    <row r="744" spans="1:2">
      <c r="A744" s="298">
        <v>33734</v>
      </c>
      <c r="B744" s="297" t="s">
        <v>1760</v>
      </c>
    </row>
    <row r="745" spans="1:2">
      <c r="A745" s="298">
        <v>33762</v>
      </c>
      <c r="B745" s="297" t="s">
        <v>1767</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605</v>
      </c>
    </row>
    <row r="751" spans="1:2">
      <c r="A751" s="298">
        <v>35037</v>
      </c>
      <c r="B751" s="297" t="s">
        <v>1994</v>
      </c>
    </row>
    <row r="752" spans="1:2">
      <c r="A752" s="298">
        <v>35038</v>
      </c>
      <c r="B752" s="297" t="s">
        <v>1995</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949</v>
      </c>
    </row>
    <row r="759" spans="1:2">
      <c r="A759" s="298">
        <v>34203</v>
      </c>
      <c r="B759" s="297" t="s">
        <v>1677</v>
      </c>
    </row>
    <row r="760" spans="1:2">
      <c r="A760" s="296">
        <v>28922</v>
      </c>
      <c r="B760" s="295" t="s">
        <v>950</v>
      </c>
    </row>
    <row r="761" spans="1:2">
      <c r="A761" s="298">
        <v>32003</v>
      </c>
      <c r="B761" s="297" t="s">
        <v>247</v>
      </c>
    </row>
    <row r="762" spans="1:2">
      <c r="A762" s="298">
        <v>34346</v>
      </c>
      <c r="B762" s="297" t="s">
        <v>700</v>
      </c>
    </row>
    <row r="763" spans="1:2">
      <c r="A763" s="296">
        <v>28315</v>
      </c>
      <c r="B763" s="295" t="s">
        <v>1623</v>
      </c>
    </row>
    <row r="764" spans="1:2">
      <c r="A764" s="298">
        <v>34016</v>
      </c>
      <c r="B764" s="297" t="s">
        <v>113</v>
      </c>
    </row>
    <row r="765" spans="1:2">
      <c r="A765" s="298">
        <v>33705</v>
      </c>
      <c r="B765" s="297" t="s">
        <v>1761</v>
      </c>
    </row>
    <row r="766" spans="1:2">
      <c r="A766" s="298">
        <v>34951</v>
      </c>
      <c r="B766" s="297" t="s">
        <v>429</v>
      </c>
    </row>
    <row r="767" spans="1:2">
      <c r="A767" s="298">
        <v>34950</v>
      </c>
      <c r="B767" s="297" t="s">
        <v>1881</v>
      </c>
    </row>
    <row r="768" spans="1:2">
      <c r="A768" s="296">
        <v>32661</v>
      </c>
      <c r="B768" s="295" t="s">
        <v>1206</v>
      </c>
    </row>
    <row r="769" spans="1:2">
      <c r="A769" s="296">
        <v>27901</v>
      </c>
      <c r="B769" s="295" t="s">
        <v>1916</v>
      </c>
    </row>
    <row r="770" spans="1:2">
      <c r="A770" s="296">
        <v>28210</v>
      </c>
      <c r="B770" s="295" t="s">
        <v>911</v>
      </c>
    </row>
    <row r="771" spans="1:2">
      <c r="A771" s="298">
        <v>34988</v>
      </c>
      <c r="B771" s="297" t="s">
        <v>1993</v>
      </c>
    </row>
    <row r="772" spans="1:2">
      <c r="A772" s="298">
        <v>35071</v>
      </c>
      <c r="B772" s="297" t="s">
        <v>1999</v>
      </c>
    </row>
    <row r="773" spans="1:2">
      <c r="A773" s="298">
        <v>28657</v>
      </c>
      <c r="B773" s="297" t="s">
        <v>231</v>
      </c>
    </row>
    <row r="774" spans="1:2">
      <c r="A774" s="298">
        <v>28302</v>
      </c>
      <c r="B774" s="297" t="s">
        <v>1624</v>
      </c>
    </row>
    <row r="775" spans="1:2">
      <c r="A775" s="298">
        <v>28305</v>
      </c>
      <c r="B775" s="297" t="s">
        <v>232</v>
      </c>
    </row>
    <row r="776" spans="1:2">
      <c r="A776" s="296">
        <v>28950</v>
      </c>
      <c r="B776" s="295" t="s">
        <v>951</v>
      </c>
    </row>
    <row r="777" spans="1:2">
      <c r="A777" s="296">
        <v>28951</v>
      </c>
      <c r="B777" s="295" t="s">
        <v>952</v>
      </c>
    </row>
    <row r="778" spans="1:2">
      <c r="A778" s="296">
        <v>28924</v>
      </c>
      <c r="B778" s="295" t="s">
        <v>953</v>
      </c>
    </row>
    <row r="779" spans="1:2">
      <c r="A779" s="296">
        <v>28925</v>
      </c>
      <c r="B779" s="295" t="s">
        <v>854</v>
      </c>
    </row>
    <row r="780" spans="1:2">
      <c r="A780" s="298">
        <v>31958</v>
      </c>
      <c r="B780" s="297" t="s">
        <v>1625</v>
      </c>
    </row>
    <row r="781" spans="1:2">
      <c r="A781" s="298">
        <v>32026</v>
      </c>
      <c r="B781" s="297" t="s">
        <v>233</v>
      </c>
    </row>
    <row r="782" spans="1:2">
      <c r="A782" s="298">
        <v>29996</v>
      </c>
      <c r="B782" s="297" t="s">
        <v>812</v>
      </c>
    </row>
    <row r="783" spans="1:2">
      <c r="A783" s="298">
        <v>23544</v>
      </c>
      <c r="B783" s="297" t="s">
        <v>234</v>
      </c>
    </row>
    <row r="784" spans="1:2">
      <c r="A784" s="298">
        <v>32943</v>
      </c>
      <c r="B784" s="297" t="s">
        <v>1626</v>
      </c>
    </row>
    <row r="785" spans="1:2">
      <c r="A785" s="298">
        <v>32262</v>
      </c>
      <c r="B785" s="297" t="s">
        <v>528</v>
      </c>
    </row>
    <row r="786" spans="1:2">
      <c r="A786" s="296">
        <v>32536</v>
      </c>
      <c r="B786" s="295" t="s">
        <v>1232</v>
      </c>
    </row>
    <row r="787" spans="1:2">
      <c r="A787" s="296">
        <v>32536</v>
      </c>
      <c r="B787" s="295" t="s">
        <v>1233</v>
      </c>
    </row>
    <row r="788" spans="1:2">
      <c r="A788" s="296">
        <v>32536</v>
      </c>
      <c r="B788" s="295" t="s">
        <v>1234</v>
      </c>
    </row>
    <row r="789" spans="1:2">
      <c r="A789" s="296">
        <v>32536</v>
      </c>
      <c r="B789" s="295" t="s">
        <v>1235</v>
      </c>
    </row>
    <row r="790" spans="1:2">
      <c r="A790" s="296">
        <v>27980</v>
      </c>
      <c r="B790" s="295" t="s">
        <v>235</v>
      </c>
    </row>
    <row r="791" spans="1:2">
      <c r="A791" s="296">
        <v>27476</v>
      </c>
      <c r="B791" s="295" t="s">
        <v>236</v>
      </c>
    </row>
    <row r="792" spans="1:2">
      <c r="A792" s="298">
        <v>33662</v>
      </c>
      <c r="B792" s="297" t="s">
        <v>1762</v>
      </c>
    </row>
    <row r="793" spans="1:2">
      <c r="A793" s="298">
        <v>33733</v>
      </c>
      <c r="B793" s="297" t="s">
        <v>1765</v>
      </c>
    </row>
    <row r="794" spans="1:2">
      <c r="A794" s="308">
        <v>27507</v>
      </c>
      <c r="B794" s="670" t="s">
        <v>49</v>
      </c>
    </row>
    <row r="795" spans="1:2">
      <c r="A795" s="258">
        <v>33474</v>
      </c>
      <c r="B795" s="671" t="s">
        <v>1562</v>
      </c>
    </row>
    <row r="796" spans="1:2">
      <c r="A796" s="258">
        <v>29949</v>
      </c>
      <c r="B796" s="671" t="s">
        <v>1627</v>
      </c>
    </row>
    <row r="797" spans="1:2">
      <c r="A797" s="258">
        <v>30724</v>
      </c>
      <c r="B797" s="671" t="s">
        <v>2208</v>
      </c>
    </row>
    <row r="798" spans="1:2">
      <c r="A798" s="258">
        <v>34349</v>
      </c>
      <c r="B798" s="671" t="s">
        <v>1634</v>
      </c>
    </row>
    <row r="799" spans="1:2">
      <c r="A799" s="258">
        <v>35108</v>
      </c>
      <c r="B799" s="671" t="s">
        <v>2003</v>
      </c>
    </row>
    <row r="800" spans="1:2">
      <c r="A800" s="258">
        <v>34892</v>
      </c>
      <c r="B800" s="671" t="s">
        <v>426</v>
      </c>
    </row>
    <row r="801" spans="1:2">
      <c r="A801" s="258">
        <v>32645</v>
      </c>
      <c r="B801" s="671" t="s">
        <v>50</v>
      </c>
    </row>
    <row r="802" spans="1:2">
      <c r="A802" s="258">
        <v>34603</v>
      </c>
      <c r="B802" s="671" t="s">
        <v>1140</v>
      </c>
    </row>
    <row r="803" spans="1:2">
      <c r="A803" s="308">
        <v>29204</v>
      </c>
      <c r="B803" s="670" t="s">
        <v>1628</v>
      </c>
    </row>
    <row r="804" spans="1:2">
      <c r="A804" s="309">
        <v>29211</v>
      </c>
      <c r="B804" s="672" t="s">
        <v>1629</v>
      </c>
    </row>
    <row r="805" spans="1:2">
      <c r="A805" s="258">
        <v>28319</v>
      </c>
      <c r="B805" s="671" t="s">
        <v>1930</v>
      </c>
    </row>
    <row r="806" spans="1:2">
      <c r="A806" s="258">
        <v>34196</v>
      </c>
      <c r="B806" s="671" t="s">
        <v>629</v>
      </c>
    </row>
    <row r="807" spans="1:2">
      <c r="A807" s="258">
        <v>32756</v>
      </c>
      <c r="B807" s="671" t="s">
        <v>857</v>
      </c>
    </row>
    <row r="808" spans="1:2">
      <c r="A808" s="258">
        <v>32253</v>
      </c>
      <c r="B808" s="671" t="s">
        <v>858</v>
      </c>
    </row>
    <row r="809" spans="1:2">
      <c r="A809" s="309">
        <v>30279</v>
      </c>
      <c r="B809" s="672" t="s">
        <v>1931</v>
      </c>
    </row>
    <row r="810" spans="1:2">
      <c r="A810" s="258">
        <v>29152</v>
      </c>
      <c r="B810" s="671" t="s">
        <v>1932</v>
      </c>
    </row>
    <row r="811" spans="1:2">
      <c r="A811" s="258">
        <v>32054</v>
      </c>
      <c r="B811" s="671" t="s">
        <v>1146</v>
      </c>
    </row>
    <row r="812" spans="1:2">
      <c r="A812" s="308">
        <v>34783</v>
      </c>
      <c r="B812" s="670" t="s">
        <v>1027</v>
      </c>
    </row>
    <row r="813" spans="1:2">
      <c r="A813" s="308">
        <v>23748</v>
      </c>
      <c r="B813" s="670" t="s">
        <v>1147</v>
      </c>
    </row>
    <row r="814" spans="1:2">
      <c r="A814" s="258">
        <v>30105</v>
      </c>
      <c r="B814" s="671" t="s">
        <v>691</v>
      </c>
    </row>
    <row r="815" spans="1:2">
      <c r="A815" s="258">
        <v>30025</v>
      </c>
      <c r="B815" s="671" t="s">
        <v>1148</v>
      </c>
    </row>
    <row r="816" spans="1:2">
      <c r="A816" s="308">
        <v>27916</v>
      </c>
      <c r="B816" s="670" t="s">
        <v>1149</v>
      </c>
    </row>
    <row r="817" spans="1:2">
      <c r="A817" s="258">
        <v>28826</v>
      </c>
      <c r="B817" s="671" t="s">
        <v>1150</v>
      </c>
    </row>
    <row r="818" spans="1:2">
      <c r="A818" s="308">
        <v>27526</v>
      </c>
      <c r="B818" s="670" t="s">
        <v>550</v>
      </c>
    </row>
    <row r="819" spans="1:2">
      <c r="A819" s="258">
        <v>34622</v>
      </c>
      <c r="B819" s="671" t="s">
        <v>290</v>
      </c>
    </row>
    <row r="820" spans="1:2">
      <c r="A820" s="258">
        <v>28504</v>
      </c>
      <c r="B820" s="671" t="s">
        <v>551</v>
      </c>
    </row>
    <row r="821" spans="1:2">
      <c r="A821" s="258">
        <v>28772</v>
      </c>
      <c r="B821" s="671" t="s">
        <v>552</v>
      </c>
    </row>
    <row r="822" spans="1:2">
      <c r="A822" s="308">
        <v>28286</v>
      </c>
      <c r="B822" s="670" t="s">
        <v>2065</v>
      </c>
    </row>
    <row r="823" spans="1:2">
      <c r="A823" s="236">
        <v>34334</v>
      </c>
      <c r="B823" s="294" t="s">
        <v>983</v>
      </c>
    </row>
    <row r="824" spans="1:2">
      <c r="A824" s="308">
        <v>34674</v>
      </c>
      <c r="B824" s="670" t="s">
        <v>973</v>
      </c>
    </row>
    <row r="825" spans="1:2">
      <c r="A825" s="258">
        <v>33491</v>
      </c>
      <c r="B825" s="671" t="s">
        <v>1434</v>
      </c>
    </row>
    <row r="826" spans="1:2">
      <c r="A826" s="258">
        <v>32326</v>
      </c>
      <c r="B826" s="671" t="s">
        <v>2066</v>
      </c>
    </row>
    <row r="827" spans="1:2">
      <c r="A827" s="258">
        <v>33765</v>
      </c>
      <c r="B827" s="671" t="s">
        <v>546</v>
      </c>
    </row>
    <row r="828" spans="1:2">
      <c r="A828" s="258">
        <v>29151</v>
      </c>
      <c r="B828" s="671" t="s">
        <v>2067</v>
      </c>
    </row>
    <row r="829" spans="1:2">
      <c r="A829" s="258">
        <v>28581</v>
      </c>
      <c r="B829" s="671" t="s">
        <v>2223</v>
      </c>
    </row>
    <row r="830" spans="1:2">
      <c r="A830" s="258">
        <v>29351</v>
      </c>
      <c r="B830" s="671" t="s">
        <v>2224</v>
      </c>
    </row>
    <row r="831" spans="1:2">
      <c r="A831" s="258">
        <v>28659</v>
      </c>
      <c r="B831" s="671" t="s">
        <v>2225</v>
      </c>
    </row>
  </sheetData>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workbookViewId="0"/>
  </sheetViews>
  <sheetFormatPr defaultColWidth="11.42578125" defaultRowHeight="12.75"/>
  <sheetData>
    <row r="1" spans="1:8">
      <c r="A1" t="s">
        <v>3102</v>
      </c>
      <c r="B1" s="897">
        <v>1759.6266388076999</v>
      </c>
      <c r="C1" s="25"/>
      <c r="E1" t="s">
        <v>3103</v>
      </c>
      <c r="H1" t="s">
        <v>765</v>
      </c>
    </row>
    <row r="2" spans="1:8">
      <c r="A2" s="1343"/>
      <c r="B2" s="1344"/>
    </row>
    <row r="3" spans="1:8">
      <c r="A3" s="1343" t="s">
        <v>3114</v>
      </c>
      <c r="B3" s="897">
        <v>1759.9839688335551</v>
      </c>
      <c r="E3" s="897">
        <f t="shared" ref="E3:E9" si="0">$B3-$B$1</f>
        <v>0.3573300258551626</v>
      </c>
      <c r="F3" s="25"/>
      <c r="H3" s="897">
        <f t="shared" ref="H3:H9" si="1">$E3/$E$4</f>
        <v>0.43196864930599316</v>
      </c>
    </row>
    <row r="4" spans="1:8">
      <c r="A4" s="1343" t="s">
        <v>3115</v>
      </c>
      <c r="B4" s="897">
        <v>1760.4538516770349</v>
      </c>
      <c r="E4" s="897">
        <f t="shared" si="0"/>
        <v>0.8272128693349714</v>
      </c>
      <c r="F4" s="25"/>
      <c r="H4" s="897">
        <f t="shared" si="1"/>
        <v>1</v>
      </c>
    </row>
    <row r="5" spans="1:8">
      <c r="A5" s="1343" t="s">
        <v>3116</v>
      </c>
      <c r="B5" s="897">
        <v>1760.3124351132094</v>
      </c>
      <c r="E5" s="897">
        <f t="shared" si="0"/>
        <v>0.68579630550948423</v>
      </c>
      <c r="F5" s="25"/>
      <c r="H5" s="897">
        <f t="shared" si="1"/>
        <v>0.82904453125931488</v>
      </c>
    </row>
    <row r="6" spans="1:8">
      <c r="A6" s="1343" t="s">
        <v>3117</v>
      </c>
      <c r="B6" s="897">
        <v>1765.1766702748271</v>
      </c>
      <c r="E6" s="897">
        <f t="shared" si="0"/>
        <v>5.5500314671271553</v>
      </c>
      <c r="F6" s="25"/>
      <c r="H6" s="897">
        <f t="shared" si="1"/>
        <v>6.7093147034680944</v>
      </c>
    </row>
    <row r="7" spans="1:8">
      <c r="A7" s="1343" t="s">
        <v>3118</v>
      </c>
      <c r="B7" s="897">
        <v>1763.2980235467201</v>
      </c>
      <c r="E7" s="897">
        <f t="shared" si="0"/>
        <v>3.6713847390201408</v>
      </c>
      <c r="F7" s="25"/>
      <c r="H7" s="897">
        <f t="shared" si="1"/>
        <v>4.4382587301521434</v>
      </c>
    </row>
    <row r="8" spans="1:8">
      <c r="A8" s="1343" t="s">
        <v>3119</v>
      </c>
      <c r="B8" s="897">
        <v>1759.7495474090365</v>
      </c>
      <c r="E8" s="897">
        <f t="shared" si="0"/>
        <v>0.12290860133657588</v>
      </c>
      <c r="F8" s="25"/>
      <c r="H8" s="897">
        <f t="shared" si="1"/>
        <v>0.14858158751251888</v>
      </c>
    </row>
    <row r="9" spans="1:8">
      <c r="A9" s="1343" t="s">
        <v>3120</v>
      </c>
      <c r="B9" s="897">
        <v>1760.8052489540294</v>
      </c>
      <c r="E9" s="897">
        <f t="shared" si="0"/>
        <v>1.1786101463294472</v>
      </c>
      <c r="F9" s="25"/>
      <c r="H9" s="897">
        <f t="shared" si="1"/>
        <v>1.4247966757057076</v>
      </c>
    </row>
    <row r="10" spans="1:8">
      <c r="B10" s="897"/>
      <c r="E10" s="897"/>
      <c r="F10" s="25"/>
      <c r="H10" s="897"/>
    </row>
    <row r="11" spans="1:8">
      <c r="A11" s="1343" t="s">
        <v>3121</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heetViews>
  <sheetFormatPr defaultRowHeight="12.75"/>
  <cols>
    <col min="1" max="1" width="20" customWidth="1"/>
    <col min="2" max="78" width="4.28515625" customWidth="1"/>
  </cols>
  <sheetData>
    <row r="1" spans="1:63">
      <c r="A1" t="s">
        <v>2512</v>
      </c>
      <c r="B1" t="s">
        <v>2590</v>
      </c>
      <c r="C1" t="s">
        <v>2591</v>
      </c>
      <c r="D1" t="s">
        <v>2592</v>
      </c>
      <c r="E1" t="s">
        <v>2593</v>
      </c>
      <c r="F1" t="s">
        <v>2594</v>
      </c>
      <c r="G1" t="s">
        <v>2595</v>
      </c>
      <c r="H1" t="s">
        <v>2596</v>
      </c>
      <c r="I1" t="s">
        <v>2597</v>
      </c>
      <c r="J1" t="s">
        <v>2598</v>
      </c>
      <c r="K1" t="s">
        <v>2599</v>
      </c>
      <c r="L1" t="s">
        <v>2600</v>
      </c>
      <c r="M1" t="s">
        <v>2601</v>
      </c>
      <c r="N1" t="s">
        <v>2602</v>
      </c>
      <c r="O1" t="s">
        <v>2603</v>
      </c>
      <c r="P1" t="s">
        <v>2604</v>
      </c>
      <c r="Q1" t="s">
        <v>2605</v>
      </c>
      <c r="R1" t="s">
        <v>2606</v>
      </c>
      <c r="S1" t="s">
        <v>2607</v>
      </c>
      <c r="T1" t="s">
        <v>2608</v>
      </c>
      <c r="U1" t="s">
        <v>2609</v>
      </c>
      <c r="V1" t="s">
        <v>2610</v>
      </c>
      <c r="W1" t="s">
        <v>2611</v>
      </c>
      <c r="X1" t="s">
        <v>2612</v>
      </c>
      <c r="Y1" t="s">
        <v>2613</v>
      </c>
      <c r="Z1" t="s">
        <v>2614</v>
      </c>
      <c r="AA1" t="s">
        <v>2615</v>
      </c>
      <c r="AB1" t="s">
        <v>2616</v>
      </c>
      <c r="AC1" t="s">
        <v>2617</v>
      </c>
      <c r="AD1" t="s">
        <v>2618</v>
      </c>
      <c r="AE1" t="s">
        <v>2619</v>
      </c>
      <c r="AF1" t="s">
        <v>2620</v>
      </c>
      <c r="AG1" t="s">
        <v>2621</v>
      </c>
      <c r="AH1" t="s">
        <v>2622</v>
      </c>
      <c r="AI1" t="s">
        <v>2623</v>
      </c>
      <c r="AJ1" t="s">
        <v>2624</v>
      </c>
      <c r="AK1" t="s">
        <v>2625</v>
      </c>
      <c r="AL1" t="s">
        <v>2626</v>
      </c>
      <c r="AM1" t="s">
        <v>2627</v>
      </c>
      <c r="AN1" t="s">
        <v>2628</v>
      </c>
      <c r="AO1" t="s">
        <v>2629</v>
      </c>
      <c r="AP1" t="s">
        <v>2630</v>
      </c>
      <c r="AQ1" t="s">
        <v>2631</v>
      </c>
      <c r="AR1" t="s">
        <v>2632</v>
      </c>
      <c r="AS1" t="s">
        <v>2633</v>
      </c>
      <c r="AT1" t="s">
        <v>2634</v>
      </c>
      <c r="AU1" t="s">
        <v>2635</v>
      </c>
      <c r="AV1" t="s">
        <v>2636</v>
      </c>
      <c r="AW1" t="s">
        <v>2637</v>
      </c>
      <c r="AX1" t="s">
        <v>2638</v>
      </c>
      <c r="AY1" t="s">
        <v>2639</v>
      </c>
      <c r="AZ1" t="s">
        <v>2640</v>
      </c>
      <c r="BA1" t="s">
        <v>2641</v>
      </c>
      <c r="BB1" t="s">
        <v>2642</v>
      </c>
      <c r="BC1" t="s">
        <v>2643</v>
      </c>
      <c r="BD1" t="s">
        <v>2644</v>
      </c>
      <c r="BE1" t="s">
        <v>2645</v>
      </c>
      <c r="BF1" t="s">
        <v>2646</v>
      </c>
      <c r="BG1" t="s">
        <v>2647</v>
      </c>
      <c r="BH1" t="s">
        <v>2648</v>
      </c>
      <c r="BI1" t="s">
        <v>2649</v>
      </c>
      <c r="BJ1" t="s">
        <v>2650</v>
      </c>
      <c r="BK1" t="s">
        <v>2651</v>
      </c>
    </row>
    <row r="2" spans="1:63">
      <c r="A2" t="s">
        <v>2580</v>
      </c>
    </row>
    <row r="3" spans="1:63">
      <c r="A3" t="s">
        <v>2794</v>
      </c>
      <c r="B3" t="s">
        <v>1385</v>
      </c>
      <c r="C3" t="s">
        <v>1976</v>
      </c>
      <c r="D3" t="s">
        <v>520</v>
      </c>
      <c r="E3" t="s">
        <v>1688</v>
      </c>
      <c r="F3" t="s">
        <v>1688</v>
      </c>
      <c r="G3" t="s">
        <v>1688</v>
      </c>
      <c r="H3" t="s">
        <v>1396</v>
      </c>
      <c r="I3" t="s">
        <v>1974</v>
      </c>
      <c r="J3" t="s">
        <v>2205</v>
      </c>
      <c r="K3" t="s">
        <v>1688</v>
      </c>
      <c r="L3" t="s">
        <v>1688</v>
      </c>
      <c r="M3" t="s">
        <v>1688</v>
      </c>
      <c r="N3" t="s">
        <v>2403</v>
      </c>
      <c r="O3" t="s">
        <v>1688</v>
      </c>
      <c r="P3" t="s">
        <v>1688</v>
      </c>
      <c r="Q3" t="s">
        <v>1688</v>
      </c>
      <c r="R3" t="s">
        <v>2333</v>
      </c>
      <c r="S3" t="s">
        <v>1005</v>
      </c>
      <c r="T3" t="s">
        <v>1688</v>
      </c>
      <c r="U3" t="s">
        <v>1688</v>
      </c>
      <c r="V3" t="s">
        <v>1688</v>
      </c>
      <c r="W3" t="s">
        <v>1688</v>
      </c>
      <c r="X3" t="s">
        <v>1022</v>
      </c>
      <c r="Y3" t="s">
        <v>1688</v>
      </c>
      <c r="Z3" t="s">
        <v>1688</v>
      </c>
      <c r="AA3" t="s">
        <v>2337</v>
      </c>
      <c r="AB3" t="s">
        <v>1017</v>
      </c>
      <c r="AC3" t="s">
        <v>1688</v>
      </c>
      <c r="AD3" t="s">
        <v>1688</v>
      </c>
      <c r="AE3" t="s">
        <v>2389</v>
      </c>
      <c r="AF3" t="s">
        <v>2810</v>
      </c>
      <c r="AG3" t="s">
        <v>1688</v>
      </c>
      <c r="AH3" t="s">
        <v>2340</v>
      </c>
      <c r="AI3" t="s">
        <v>2023</v>
      </c>
      <c r="AJ3" t="s">
        <v>1688</v>
      </c>
      <c r="AK3" t="s">
        <v>1688</v>
      </c>
      <c r="AL3" t="s">
        <v>1688</v>
      </c>
      <c r="AM3" t="s">
        <v>2361</v>
      </c>
      <c r="AN3" t="s">
        <v>2812</v>
      </c>
      <c r="AO3" t="s">
        <v>1688</v>
      </c>
      <c r="AP3" t="s">
        <v>2366</v>
      </c>
      <c r="AQ3" t="s">
        <v>2076</v>
      </c>
      <c r="AR3" t="s">
        <v>1688</v>
      </c>
      <c r="AS3" t="s">
        <v>1688</v>
      </c>
      <c r="AT3" t="s">
        <v>2345</v>
      </c>
      <c r="AU3" t="s">
        <v>1688</v>
      </c>
      <c r="AV3" t="s">
        <v>1688</v>
      </c>
      <c r="AW3" t="s">
        <v>2352</v>
      </c>
      <c r="AX3" t="s">
        <v>794</v>
      </c>
      <c r="AY3" t="s">
        <v>1688</v>
      </c>
      <c r="AZ3" t="s">
        <v>1688</v>
      </c>
      <c r="BA3" t="s">
        <v>1688</v>
      </c>
      <c r="BB3" t="s">
        <v>2357</v>
      </c>
      <c r="BC3" t="s">
        <v>257</v>
      </c>
      <c r="BD3" t="s">
        <v>1688</v>
      </c>
      <c r="BE3" t="s">
        <v>1688</v>
      </c>
      <c r="BF3" t="s">
        <v>2373</v>
      </c>
      <c r="BG3" t="s">
        <v>1688</v>
      </c>
      <c r="BH3" t="s">
        <v>2374</v>
      </c>
      <c r="BI3" t="s">
        <v>1688</v>
      </c>
      <c r="BJ3" t="s">
        <v>139</v>
      </c>
      <c r="BK3" t="s">
        <v>2242</v>
      </c>
    </row>
    <row r="4" spans="1:63">
      <c r="A4" t="s">
        <v>2797</v>
      </c>
      <c r="B4" t="s">
        <v>1380</v>
      </c>
      <c r="C4" t="s">
        <v>1228</v>
      </c>
      <c r="D4" t="s">
        <v>520</v>
      </c>
      <c r="E4" t="s">
        <v>303</v>
      </c>
      <c r="F4" t="s">
        <v>303</v>
      </c>
      <c r="G4" t="s">
        <v>303</v>
      </c>
      <c r="H4" t="s">
        <v>1391</v>
      </c>
      <c r="I4" t="s">
        <v>1228</v>
      </c>
      <c r="J4" t="s">
        <v>2205</v>
      </c>
      <c r="K4" t="s">
        <v>303</v>
      </c>
      <c r="L4" t="s">
        <v>303</v>
      </c>
      <c r="M4" t="s">
        <v>303</v>
      </c>
      <c r="N4" t="s">
        <v>1932</v>
      </c>
      <c r="O4" t="s">
        <v>303</v>
      </c>
      <c r="P4" t="s">
        <v>303</v>
      </c>
      <c r="Q4" t="s">
        <v>303</v>
      </c>
      <c r="R4" t="s">
        <v>461</v>
      </c>
      <c r="S4" t="s">
        <v>464</v>
      </c>
      <c r="T4" t="s">
        <v>292</v>
      </c>
      <c r="U4" t="s">
        <v>1978</v>
      </c>
      <c r="V4" t="s">
        <v>303</v>
      </c>
      <c r="W4" t="s">
        <v>303</v>
      </c>
      <c r="X4" t="s">
        <v>656</v>
      </c>
      <c r="Y4" t="s">
        <v>303</v>
      </c>
      <c r="Z4" t="s">
        <v>303</v>
      </c>
      <c r="AA4" t="s">
        <v>1014</v>
      </c>
      <c r="AB4" t="s">
        <v>1017</v>
      </c>
      <c r="AC4" t="s">
        <v>1982</v>
      </c>
      <c r="AD4" t="s">
        <v>1982</v>
      </c>
      <c r="AE4" t="s">
        <v>1117</v>
      </c>
      <c r="AF4" t="s">
        <v>1120</v>
      </c>
      <c r="AG4" t="s">
        <v>303</v>
      </c>
      <c r="AH4" t="s">
        <v>821</v>
      </c>
      <c r="AI4" t="s">
        <v>1267</v>
      </c>
      <c r="AJ4" t="s">
        <v>1982</v>
      </c>
      <c r="AK4" t="s">
        <v>1978</v>
      </c>
      <c r="AL4" t="s">
        <v>303</v>
      </c>
      <c r="AM4" t="s">
        <v>1300</v>
      </c>
      <c r="AN4" t="s">
        <v>1270</v>
      </c>
      <c r="AO4" t="s">
        <v>1982</v>
      </c>
      <c r="AP4" t="s">
        <v>17</v>
      </c>
      <c r="AQ4" t="s">
        <v>2076</v>
      </c>
      <c r="AR4" t="s">
        <v>1982</v>
      </c>
      <c r="AS4" t="s">
        <v>1982</v>
      </c>
      <c r="AT4" t="s">
        <v>1531</v>
      </c>
      <c r="AU4" t="s">
        <v>303</v>
      </c>
      <c r="AV4" t="s">
        <v>303</v>
      </c>
      <c r="AW4" t="s">
        <v>2080</v>
      </c>
      <c r="AX4" t="s">
        <v>1341</v>
      </c>
      <c r="AY4" t="s">
        <v>1982</v>
      </c>
      <c r="AZ4" t="s">
        <v>1982</v>
      </c>
      <c r="BA4" t="s">
        <v>1982</v>
      </c>
      <c r="BB4" t="s">
        <v>255</v>
      </c>
      <c r="BC4" t="s">
        <v>257</v>
      </c>
      <c r="BD4" t="s">
        <v>1982</v>
      </c>
      <c r="BE4" t="s">
        <v>303</v>
      </c>
      <c r="BF4" t="s">
        <v>491</v>
      </c>
      <c r="BG4" t="s">
        <v>1688</v>
      </c>
      <c r="BH4" t="s">
        <v>259</v>
      </c>
      <c r="BI4" t="s">
        <v>1688</v>
      </c>
      <c r="BJ4" t="s">
        <v>1937</v>
      </c>
      <c r="BK4" t="s">
        <v>185</v>
      </c>
    </row>
  </sheetData>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heetViews>
  <sheetFormatPr defaultColWidth="4.7109375" defaultRowHeight="12.75"/>
  <cols>
    <col min="1" max="1" width="15.42578125" customWidth="1"/>
  </cols>
  <sheetData>
    <row r="1" spans="1:125">
      <c r="A1" t="s">
        <v>2512</v>
      </c>
      <c r="B1" t="s">
        <v>2668</v>
      </c>
      <c r="C1" t="s">
        <v>2669</v>
      </c>
      <c r="D1" t="s">
        <v>2670</v>
      </c>
      <c r="E1" t="s">
        <v>2671</v>
      </c>
      <c r="F1" t="s">
        <v>2672</v>
      </c>
      <c r="G1" t="s">
        <v>2673</v>
      </c>
      <c r="H1" t="s">
        <v>2674</v>
      </c>
      <c r="I1" t="s">
        <v>2675</v>
      </c>
      <c r="J1" t="s">
        <v>2676</v>
      </c>
      <c r="K1" t="s">
        <v>2677</v>
      </c>
      <c r="L1" t="s">
        <v>2678</v>
      </c>
      <c r="M1" t="s">
        <v>2679</v>
      </c>
      <c r="N1" t="s">
        <v>2680</v>
      </c>
      <c r="O1" t="s">
        <v>2681</v>
      </c>
      <c r="P1" t="s">
        <v>2682</v>
      </c>
      <c r="Q1" t="s">
        <v>2683</v>
      </c>
      <c r="R1" t="s">
        <v>2684</v>
      </c>
      <c r="S1" t="s">
        <v>2685</v>
      </c>
      <c r="T1" t="s">
        <v>2686</v>
      </c>
      <c r="U1" t="s">
        <v>2687</v>
      </c>
      <c r="V1" t="s">
        <v>2688</v>
      </c>
      <c r="W1" t="s">
        <v>2689</v>
      </c>
      <c r="X1" t="s">
        <v>2690</v>
      </c>
      <c r="Y1" t="s">
        <v>2691</v>
      </c>
      <c r="Z1" t="s">
        <v>2692</v>
      </c>
      <c r="AA1" t="s">
        <v>2693</v>
      </c>
      <c r="AB1" t="s">
        <v>2694</v>
      </c>
      <c r="AC1" t="s">
        <v>2695</v>
      </c>
      <c r="AD1" t="s">
        <v>2696</v>
      </c>
      <c r="AE1" t="s">
        <v>2697</v>
      </c>
      <c r="AF1" t="s">
        <v>2698</v>
      </c>
      <c r="AG1" t="s">
        <v>2699</v>
      </c>
      <c r="AH1" t="s">
        <v>2700</v>
      </c>
      <c r="AI1" t="s">
        <v>2701</v>
      </c>
      <c r="AJ1" t="s">
        <v>2702</v>
      </c>
      <c r="AK1" t="s">
        <v>2703</v>
      </c>
      <c r="AL1" t="s">
        <v>2704</v>
      </c>
      <c r="AM1" t="s">
        <v>2705</v>
      </c>
      <c r="AN1" t="s">
        <v>2706</v>
      </c>
      <c r="AO1" t="s">
        <v>2707</v>
      </c>
      <c r="AP1" t="s">
        <v>2708</v>
      </c>
      <c r="AQ1" t="s">
        <v>2709</v>
      </c>
      <c r="AR1" t="s">
        <v>2710</v>
      </c>
      <c r="AS1" t="s">
        <v>2711</v>
      </c>
      <c r="AT1" t="s">
        <v>2712</v>
      </c>
      <c r="AU1" t="s">
        <v>2713</v>
      </c>
      <c r="AV1" t="s">
        <v>2714</v>
      </c>
      <c r="AW1" t="s">
        <v>2715</v>
      </c>
      <c r="AX1" t="s">
        <v>2716</v>
      </c>
      <c r="AY1" t="s">
        <v>2717</v>
      </c>
      <c r="AZ1" t="s">
        <v>2718</v>
      </c>
      <c r="BA1" t="s">
        <v>2719</v>
      </c>
      <c r="BB1" t="s">
        <v>2720</v>
      </c>
      <c r="BC1" t="s">
        <v>2721</v>
      </c>
      <c r="BD1" t="s">
        <v>2722</v>
      </c>
      <c r="BE1" t="s">
        <v>2723</v>
      </c>
      <c r="BF1" t="s">
        <v>2724</v>
      </c>
      <c r="BG1" t="s">
        <v>2725</v>
      </c>
      <c r="BH1" t="s">
        <v>2726</v>
      </c>
      <c r="BI1" t="s">
        <v>2727</v>
      </c>
      <c r="BJ1" t="s">
        <v>2728</v>
      </c>
      <c r="BK1" t="s">
        <v>2729</v>
      </c>
      <c r="BL1" t="s">
        <v>2730</v>
      </c>
      <c r="BM1" t="s">
        <v>2731</v>
      </c>
      <c r="BN1" t="s">
        <v>2732</v>
      </c>
      <c r="BO1" t="s">
        <v>2733</v>
      </c>
      <c r="BP1" t="s">
        <v>2734</v>
      </c>
      <c r="BQ1" t="s">
        <v>2735</v>
      </c>
      <c r="BR1" t="s">
        <v>2736</v>
      </c>
      <c r="BS1" t="s">
        <v>2737</v>
      </c>
      <c r="BT1" t="s">
        <v>2738</v>
      </c>
      <c r="BU1" t="s">
        <v>2739</v>
      </c>
      <c r="BV1" t="s">
        <v>2740</v>
      </c>
      <c r="BW1" t="s">
        <v>2741</v>
      </c>
      <c r="BX1" t="s">
        <v>2742</v>
      </c>
      <c r="BY1" t="s">
        <v>2743</v>
      </c>
      <c r="BZ1" t="s">
        <v>2744</v>
      </c>
      <c r="CA1" t="s">
        <v>2745</v>
      </c>
      <c r="CB1" t="s">
        <v>2746</v>
      </c>
      <c r="CC1" t="s">
        <v>2747</v>
      </c>
      <c r="CD1" t="s">
        <v>2748</v>
      </c>
      <c r="CE1" t="s">
        <v>2749</v>
      </c>
      <c r="CF1" t="s">
        <v>2750</v>
      </c>
      <c r="CG1" t="s">
        <v>2751</v>
      </c>
      <c r="CH1" t="s">
        <v>2752</v>
      </c>
      <c r="CI1" t="s">
        <v>2753</v>
      </c>
      <c r="CJ1" t="s">
        <v>2754</v>
      </c>
      <c r="CK1" t="s">
        <v>2755</v>
      </c>
      <c r="CL1" t="s">
        <v>2756</v>
      </c>
      <c r="CM1" t="s">
        <v>2757</v>
      </c>
      <c r="CN1" t="s">
        <v>2758</v>
      </c>
      <c r="CO1" t="s">
        <v>2759</v>
      </c>
      <c r="CP1" t="s">
        <v>2760</v>
      </c>
      <c r="CQ1" t="s">
        <v>2761</v>
      </c>
      <c r="CR1" t="s">
        <v>2762</v>
      </c>
      <c r="CS1" t="s">
        <v>2763</v>
      </c>
      <c r="CT1" t="s">
        <v>2764</v>
      </c>
      <c r="CU1" t="s">
        <v>2765</v>
      </c>
      <c r="CV1" t="s">
        <v>2766</v>
      </c>
      <c r="CW1" t="s">
        <v>2767</v>
      </c>
      <c r="CX1" t="s">
        <v>2768</v>
      </c>
      <c r="CY1" t="s">
        <v>2769</v>
      </c>
      <c r="CZ1" t="s">
        <v>2770</v>
      </c>
      <c r="DA1" t="s">
        <v>2771</v>
      </c>
      <c r="DB1" t="s">
        <v>2772</v>
      </c>
      <c r="DC1" t="s">
        <v>2773</v>
      </c>
      <c r="DD1" t="s">
        <v>2774</v>
      </c>
      <c r="DE1" t="s">
        <v>2775</v>
      </c>
      <c r="DF1" t="s">
        <v>2776</v>
      </c>
      <c r="DG1" t="s">
        <v>2777</v>
      </c>
      <c r="DH1" t="s">
        <v>2778</v>
      </c>
      <c r="DI1" t="s">
        <v>2779</v>
      </c>
      <c r="DJ1" t="s">
        <v>2780</v>
      </c>
      <c r="DK1" t="s">
        <v>2781</v>
      </c>
      <c r="DL1" t="s">
        <v>2782</v>
      </c>
      <c r="DM1" t="s">
        <v>2783</v>
      </c>
      <c r="DN1" t="s">
        <v>2784</v>
      </c>
      <c r="DO1" t="s">
        <v>2785</v>
      </c>
      <c r="DP1" t="s">
        <v>2786</v>
      </c>
      <c r="DQ1" t="s">
        <v>2787</v>
      </c>
      <c r="DR1" t="s">
        <v>2889</v>
      </c>
      <c r="DS1" t="s">
        <v>2890</v>
      </c>
      <c r="DT1" t="s">
        <v>2891</v>
      </c>
      <c r="DU1" t="s">
        <v>2892</v>
      </c>
    </row>
    <row r="2" spans="1:125">
      <c r="A2" t="s">
        <v>2580</v>
      </c>
    </row>
    <row r="3" spans="1:125">
      <c r="A3" t="s">
        <v>877</v>
      </c>
      <c r="B3">
        <v>5</v>
      </c>
      <c r="D3">
        <v>1</v>
      </c>
      <c r="E3">
        <v>0</v>
      </c>
      <c r="F3">
        <v>1</v>
      </c>
      <c r="H3">
        <v>1</v>
      </c>
      <c r="I3">
        <v>2</v>
      </c>
      <c r="J3">
        <v>0</v>
      </c>
      <c r="L3">
        <v>1</v>
      </c>
      <c r="N3">
        <v>0</v>
      </c>
      <c r="O3">
        <v>3</v>
      </c>
      <c r="P3">
        <v>1</v>
      </c>
      <c r="R3">
        <v>1</v>
      </c>
      <c r="S3">
        <v>5</v>
      </c>
      <c r="T3">
        <v>1</v>
      </c>
      <c r="U3">
        <v>2</v>
      </c>
      <c r="V3" t="s">
        <v>2880</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heetViews>
  <sheetFormatPr defaultRowHeight="12.75"/>
  <cols>
    <col min="1" max="1" width="16.7109375" bestFit="1" customWidth="1"/>
    <col min="2" max="2" width="4.28515625" bestFit="1" customWidth="1"/>
    <col min="3" max="78" width="4.28515625" customWidth="1"/>
  </cols>
  <sheetData>
    <row r="1" spans="1:68">
      <c r="A1" t="s">
        <v>2512</v>
      </c>
      <c r="B1" t="s">
        <v>2513</v>
      </c>
      <c r="C1" t="s">
        <v>2514</v>
      </c>
      <c r="D1" t="s">
        <v>2515</v>
      </c>
      <c r="E1" t="s">
        <v>2516</v>
      </c>
      <c r="F1" t="s">
        <v>2517</v>
      </c>
      <c r="G1" t="s">
        <v>2518</v>
      </c>
      <c r="H1" t="s">
        <v>2519</v>
      </c>
      <c r="I1" t="s">
        <v>2520</v>
      </c>
      <c r="J1" t="s">
        <v>2521</v>
      </c>
      <c r="K1" t="s">
        <v>2522</v>
      </c>
      <c r="L1" t="s">
        <v>2523</v>
      </c>
      <c r="M1" t="s">
        <v>2524</v>
      </c>
      <c r="N1" t="s">
        <v>2525</v>
      </c>
      <c r="O1" t="s">
        <v>2526</v>
      </c>
      <c r="P1" t="s">
        <v>2527</v>
      </c>
      <c r="Q1" t="s">
        <v>2528</v>
      </c>
      <c r="R1" t="s">
        <v>2529</v>
      </c>
      <c r="S1" t="s">
        <v>2530</v>
      </c>
      <c r="T1" t="s">
        <v>2531</v>
      </c>
      <c r="U1" t="s">
        <v>2532</v>
      </c>
      <c r="V1" t="s">
        <v>2533</v>
      </c>
      <c r="W1" t="s">
        <v>2534</v>
      </c>
      <c r="X1" t="s">
        <v>2535</v>
      </c>
      <c r="Y1" t="s">
        <v>2536</v>
      </c>
      <c r="Z1" t="s">
        <v>2537</v>
      </c>
      <c r="AA1" t="s">
        <v>2538</v>
      </c>
      <c r="AB1" t="s">
        <v>2539</v>
      </c>
      <c r="AC1" t="s">
        <v>2540</v>
      </c>
      <c r="AD1" t="s">
        <v>2541</v>
      </c>
      <c r="AE1" t="s">
        <v>2542</v>
      </c>
      <c r="AF1" t="s">
        <v>2543</v>
      </c>
      <c r="AG1" t="s">
        <v>2544</v>
      </c>
      <c r="AH1" t="s">
        <v>2545</v>
      </c>
      <c r="AI1" t="s">
        <v>2546</v>
      </c>
      <c r="AJ1" t="s">
        <v>2547</v>
      </c>
      <c r="AK1" t="s">
        <v>2548</v>
      </c>
      <c r="AL1" t="s">
        <v>2549</v>
      </c>
      <c r="AM1" t="s">
        <v>2550</v>
      </c>
      <c r="AN1" t="s">
        <v>2551</v>
      </c>
      <c r="AO1" t="s">
        <v>2552</v>
      </c>
      <c r="AP1" t="s">
        <v>2553</v>
      </c>
      <c r="AQ1" t="s">
        <v>2554</v>
      </c>
      <c r="AR1" t="s">
        <v>2555</v>
      </c>
      <c r="AS1" t="s">
        <v>2556</v>
      </c>
      <c r="AT1" t="s">
        <v>2557</v>
      </c>
      <c r="AU1" t="s">
        <v>2558</v>
      </c>
      <c r="AV1" t="s">
        <v>2559</v>
      </c>
      <c r="AW1" t="s">
        <v>2560</v>
      </c>
      <c r="AX1" t="s">
        <v>2561</v>
      </c>
      <c r="AY1" t="s">
        <v>2562</v>
      </c>
      <c r="AZ1" t="s">
        <v>2563</v>
      </c>
      <c r="BA1" t="s">
        <v>2564</v>
      </c>
      <c r="BB1" t="s">
        <v>2565</v>
      </c>
      <c r="BC1" t="s">
        <v>2566</v>
      </c>
      <c r="BD1" t="s">
        <v>2567</v>
      </c>
      <c r="BE1" t="s">
        <v>2568</v>
      </c>
      <c r="BF1" t="s">
        <v>2569</v>
      </c>
      <c r="BG1" t="s">
        <v>2570</v>
      </c>
      <c r="BH1" t="s">
        <v>2571</v>
      </c>
      <c r="BI1" t="s">
        <v>2572</v>
      </c>
      <c r="BJ1" t="s">
        <v>2573</v>
      </c>
      <c r="BK1" t="s">
        <v>2574</v>
      </c>
      <c r="BL1" t="s">
        <v>2575</v>
      </c>
      <c r="BM1" t="s">
        <v>2576</v>
      </c>
      <c r="BN1" t="s">
        <v>2577</v>
      </c>
      <c r="BO1" t="s">
        <v>2578</v>
      </c>
      <c r="BP1" t="s">
        <v>2579</v>
      </c>
    </row>
    <row r="2" spans="1:68">
      <c r="A2" t="s">
        <v>2580</v>
      </c>
    </row>
    <row r="3" spans="1:68">
      <c r="A3" t="s">
        <v>2581</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2582</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2583</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2584</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2585</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2586</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2587</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749</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2588</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2589</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2512</v>
      </c>
      <c r="B1" t="s">
        <v>2653</v>
      </c>
      <c r="C1" t="s">
        <v>2654</v>
      </c>
      <c r="D1" t="s">
        <v>2655</v>
      </c>
      <c r="E1" t="s">
        <v>2656</v>
      </c>
      <c r="F1" t="s">
        <v>2863</v>
      </c>
      <c r="G1" t="s">
        <v>2657</v>
      </c>
      <c r="H1" t="s">
        <v>2658</v>
      </c>
      <c r="I1" t="s">
        <v>2659</v>
      </c>
      <c r="J1" t="s">
        <v>2660</v>
      </c>
      <c r="K1" t="s">
        <v>2661</v>
      </c>
      <c r="L1" t="s">
        <v>2663</v>
      </c>
      <c r="M1" t="s">
        <v>2664</v>
      </c>
      <c r="N1" t="s">
        <v>2862</v>
      </c>
      <c r="O1" t="s">
        <v>3033</v>
      </c>
      <c r="P1" t="s">
        <v>3155</v>
      </c>
      <c r="Q1" t="s">
        <v>3002</v>
      </c>
      <c r="R1" t="s">
        <v>2652</v>
      </c>
      <c r="S1" t="s">
        <v>2662</v>
      </c>
      <c r="T1" t="s">
        <v>3003</v>
      </c>
      <c r="U1" t="s">
        <v>2665</v>
      </c>
      <c r="V1" t="s">
        <v>2869</v>
      </c>
      <c r="W1" t="s">
        <v>3001</v>
      </c>
      <c r="X1" t="s">
        <v>2865</v>
      </c>
      <c r="Y1" t="s">
        <v>3191</v>
      </c>
    </row>
    <row r="2" spans="1:25">
      <c r="A2" t="s">
        <v>2580</v>
      </c>
    </row>
    <row r="3" spans="1:25">
      <c r="A3" t="s">
        <v>2666</v>
      </c>
      <c r="B3">
        <v>73</v>
      </c>
      <c r="C3" t="s">
        <v>1733</v>
      </c>
      <c r="D3" t="s">
        <v>144</v>
      </c>
      <c r="E3" t="s">
        <v>144</v>
      </c>
      <c r="F3">
        <v>7685</v>
      </c>
      <c r="G3" t="s">
        <v>1010</v>
      </c>
      <c r="H3">
        <v>0.3</v>
      </c>
      <c r="I3" t="s">
        <v>144</v>
      </c>
      <c r="J3" t="s">
        <v>750</v>
      </c>
      <c r="K3" t="s">
        <v>1012</v>
      </c>
      <c r="L3" t="s">
        <v>750</v>
      </c>
      <c r="M3" t="s">
        <v>1012</v>
      </c>
      <c r="N3" t="s">
        <v>750</v>
      </c>
      <c r="O3" t="s">
        <v>750</v>
      </c>
      <c r="P3" t="b">
        <v>0</v>
      </c>
      <c r="Q3" t="s">
        <v>668</v>
      </c>
      <c r="R3">
        <v>70</v>
      </c>
      <c r="S3" t="s">
        <v>750</v>
      </c>
      <c r="T3">
        <v>300</v>
      </c>
      <c r="U3" t="s">
        <v>750</v>
      </c>
      <c r="V3" s="896">
        <v>1</v>
      </c>
      <c r="W3">
        <v>1</v>
      </c>
      <c r="X3">
        <v>10000</v>
      </c>
      <c r="Y3" t="b">
        <v>0</v>
      </c>
    </row>
    <row r="4" spans="1:25">
      <c r="A4" t="s">
        <v>2667</v>
      </c>
      <c r="B4">
        <v>73</v>
      </c>
      <c r="C4" t="s">
        <v>1733</v>
      </c>
      <c r="D4" t="s">
        <v>144</v>
      </c>
      <c r="E4" t="s">
        <v>144</v>
      </c>
      <c r="F4">
        <v>6200</v>
      </c>
      <c r="G4" t="s">
        <v>1010</v>
      </c>
      <c r="H4">
        <v>0.3</v>
      </c>
      <c r="I4" t="s">
        <v>144</v>
      </c>
      <c r="J4" t="s">
        <v>750</v>
      </c>
      <c r="K4" t="s">
        <v>1012</v>
      </c>
      <c r="L4" t="s">
        <v>750</v>
      </c>
      <c r="M4" t="s">
        <v>1012</v>
      </c>
      <c r="N4" t="s">
        <v>750</v>
      </c>
      <c r="O4" t="s">
        <v>750</v>
      </c>
      <c r="P4" t="b">
        <v>0</v>
      </c>
      <c r="Q4" t="s">
        <v>668</v>
      </c>
      <c r="R4">
        <v>70</v>
      </c>
      <c r="S4" t="s">
        <v>750</v>
      </c>
      <c r="T4">
        <v>300</v>
      </c>
      <c r="U4" t="s">
        <v>750</v>
      </c>
      <c r="V4" s="896">
        <v>1</v>
      </c>
      <c r="W4">
        <v>1</v>
      </c>
      <c r="X4">
        <v>10000</v>
      </c>
      <c r="Y4" t="b">
        <v>0</v>
      </c>
    </row>
  </sheetData>
  <pageMargins left="0.75" right="0.75" top="1" bottom="1" header="0.5" footer="0.5"/>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2512</v>
      </c>
      <c r="B1" t="s">
        <v>3056</v>
      </c>
      <c r="C1" t="s">
        <v>3057</v>
      </c>
      <c r="D1" t="s">
        <v>3058</v>
      </c>
      <c r="E1" t="s">
        <v>3059</v>
      </c>
      <c r="F1" t="s">
        <v>3060</v>
      </c>
      <c r="G1" t="s">
        <v>2513</v>
      </c>
      <c r="H1" t="s">
        <v>2514</v>
      </c>
      <c r="I1" t="s">
        <v>2515</v>
      </c>
      <c r="J1" t="s">
        <v>2516</v>
      </c>
      <c r="K1" t="s">
        <v>2517</v>
      </c>
      <c r="L1" t="s">
        <v>2518</v>
      </c>
      <c r="M1" t="s">
        <v>2519</v>
      </c>
      <c r="N1" t="s">
        <v>2523</v>
      </c>
      <c r="O1" t="s">
        <v>3061</v>
      </c>
      <c r="P1" t="s">
        <v>2524</v>
      </c>
      <c r="Q1" t="s">
        <v>2525</v>
      </c>
      <c r="R1" t="s">
        <v>2526</v>
      </c>
      <c r="S1" t="s">
        <v>2527</v>
      </c>
      <c r="T1" t="s">
        <v>2528</v>
      </c>
      <c r="U1" t="s">
        <v>2529</v>
      </c>
      <c r="V1" t="s">
        <v>3062</v>
      </c>
      <c r="W1" t="s">
        <v>2530</v>
      </c>
      <c r="X1" t="s">
        <v>3063</v>
      </c>
      <c r="Y1" t="s">
        <v>3064</v>
      </c>
      <c r="Z1" t="s">
        <v>3065</v>
      </c>
      <c r="AA1" t="s">
        <v>3066</v>
      </c>
      <c r="AB1" t="s">
        <v>2534</v>
      </c>
      <c r="AC1" t="s">
        <v>2535</v>
      </c>
      <c r="AD1" t="s">
        <v>2536</v>
      </c>
      <c r="AE1" t="s">
        <v>2545</v>
      </c>
      <c r="AF1" t="s">
        <v>2546</v>
      </c>
      <c r="AG1" t="s">
        <v>2547</v>
      </c>
      <c r="AH1" t="s">
        <v>2548</v>
      </c>
      <c r="AI1" t="s">
        <v>2549</v>
      </c>
      <c r="AJ1" t="s">
        <v>2550</v>
      </c>
      <c r="AK1" t="s">
        <v>2551</v>
      </c>
      <c r="AL1" t="s">
        <v>3067</v>
      </c>
      <c r="AM1" t="s">
        <v>3068</v>
      </c>
      <c r="AN1" t="s">
        <v>3069</v>
      </c>
      <c r="AO1" t="s">
        <v>3070</v>
      </c>
      <c r="AP1" t="s">
        <v>2558</v>
      </c>
      <c r="AQ1" t="s">
        <v>2559</v>
      </c>
      <c r="AR1" t="s">
        <v>2561</v>
      </c>
      <c r="AS1" t="s">
        <v>2562</v>
      </c>
      <c r="AT1" t="s">
        <v>2563</v>
      </c>
      <c r="AU1" t="s">
        <v>2564</v>
      </c>
      <c r="AV1" t="s">
        <v>2565</v>
      </c>
      <c r="AW1" t="s">
        <v>2566</v>
      </c>
      <c r="AX1" t="s">
        <v>2567</v>
      </c>
      <c r="AY1" t="s">
        <v>2568</v>
      </c>
      <c r="AZ1" t="s">
        <v>2569</v>
      </c>
      <c r="BA1" t="s">
        <v>2570</v>
      </c>
      <c r="BB1" t="s">
        <v>2571</v>
      </c>
      <c r="BC1" t="s">
        <v>2572</v>
      </c>
      <c r="BD1" t="s">
        <v>2573</v>
      </c>
      <c r="BE1" t="s">
        <v>2574</v>
      </c>
      <c r="BF1" t="s">
        <v>3071</v>
      </c>
      <c r="BG1" t="s">
        <v>2575</v>
      </c>
    </row>
    <row r="2" spans="1:59">
      <c r="A2" t="s">
        <v>2580</v>
      </c>
    </row>
    <row r="3" spans="1:59">
      <c r="A3" t="s">
        <v>877</v>
      </c>
      <c r="B3" t="s">
        <v>750</v>
      </c>
      <c r="C3">
        <v>0</v>
      </c>
      <c r="D3" t="s">
        <v>750</v>
      </c>
      <c r="E3">
        <v>60</v>
      </c>
      <c r="F3">
        <v>120</v>
      </c>
      <c r="G3">
        <v>180</v>
      </c>
      <c r="H3">
        <v>240</v>
      </c>
      <c r="I3">
        <v>300</v>
      </c>
      <c r="J3">
        <v>360</v>
      </c>
      <c r="K3">
        <v>420</v>
      </c>
      <c r="L3">
        <v>480</v>
      </c>
      <c r="M3">
        <v>540</v>
      </c>
      <c r="N3" t="s">
        <v>750</v>
      </c>
      <c r="O3">
        <v>0</v>
      </c>
      <c r="P3" t="s">
        <v>750</v>
      </c>
      <c r="Q3" t="s">
        <v>750</v>
      </c>
      <c r="R3">
        <v>90</v>
      </c>
      <c r="S3">
        <v>180</v>
      </c>
      <c r="T3">
        <v>270</v>
      </c>
      <c r="U3">
        <v>360</v>
      </c>
      <c r="V3">
        <v>450</v>
      </c>
      <c r="W3">
        <v>540</v>
      </c>
      <c r="X3" t="s">
        <v>750</v>
      </c>
      <c r="Y3">
        <v>0</v>
      </c>
      <c r="Z3" t="s">
        <v>750</v>
      </c>
      <c r="AA3">
        <v>120</v>
      </c>
      <c r="AB3">
        <v>240</v>
      </c>
      <c r="AC3">
        <v>360</v>
      </c>
      <c r="AD3">
        <v>480</v>
      </c>
      <c r="AE3" t="s">
        <v>750</v>
      </c>
      <c r="AF3">
        <v>0</v>
      </c>
      <c r="AG3" t="s">
        <v>750</v>
      </c>
      <c r="AH3" t="s">
        <v>750</v>
      </c>
      <c r="AI3">
        <v>180</v>
      </c>
      <c r="AJ3">
        <v>360</v>
      </c>
      <c r="AK3">
        <v>540</v>
      </c>
      <c r="AL3" t="s">
        <v>750</v>
      </c>
      <c r="AM3">
        <v>0</v>
      </c>
      <c r="AN3">
        <v>300</v>
      </c>
      <c r="AO3" t="s">
        <v>750</v>
      </c>
      <c r="AP3">
        <v>0</v>
      </c>
      <c r="AQ3">
        <v>300</v>
      </c>
      <c r="AR3" t="s">
        <v>750</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540</vt:i4>
      </vt:variant>
    </vt:vector>
  </HeadingPairs>
  <TitlesOfParts>
    <vt:vector size="578"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Gear Sets</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BackEnchantListRaw</vt:lpstr>
      <vt:lpstr>BackEnchantStats</vt:lpstr>
      <vt:lpstr>BackListRaw</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BeltListRaw</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BootEnchantListRaw</vt:lpstr>
      <vt:lpstr>BootEnchantStats</vt:lpstr>
      <vt:lpstr>BootsListRaw</vt:lpstr>
      <vt:lpstr>BootsStats</vt:lpstr>
      <vt:lpstr>bosscrit</vt:lpstr>
      <vt:lpstr>BossLevel</vt:lpstr>
      <vt:lpstr>BotSprocs</vt:lpstr>
      <vt:lpstr>BotSrate</vt:lpstr>
      <vt:lpstr>BracerEnchantListRaw</vt:lpstr>
      <vt:lpstr>BracerEnchantStats</vt:lpstr>
      <vt:lpstr>BracersListRaw</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ChestEnchantListRaw</vt:lpstr>
      <vt:lpstr>ChestEnchantStats</vt:lpstr>
      <vt:lpstr>ChestListRaw</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GenSocketListRaw</vt:lpstr>
      <vt:lpstr>GenSocketStats</vt:lpstr>
      <vt:lpstr>GloveEnchantListRaw</vt:lpstr>
      <vt:lpstr>GloveEnchantStats</vt:lpstr>
      <vt:lpstr>Gloves</vt:lpstr>
      <vt:lpstr>GlovesListRaw</vt:lpstr>
      <vt:lpstr>GlovesStats</vt:lpstr>
      <vt:lpstr>gs</vt:lpstr>
      <vt:lpstr>hasmana</vt:lpstr>
      <vt:lpstr>Haste</vt:lpstr>
      <vt:lpstr>hasterate</vt:lpstr>
      <vt:lpstr>HDebuff</vt:lpstr>
      <vt:lpstr>HelmEnchantListRaw</vt:lpstr>
      <vt:lpstr>HelmEnchantStats</vt:lpstr>
      <vt:lpstr>HelmListRaw</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itTNBup</vt:lpstr>
      <vt:lpstr>itTSDup</vt:lpstr>
      <vt:lpstr>itTTup</vt:lpstr>
      <vt:lpstr>itWSCup</vt:lpstr>
      <vt:lpstr>jomgabbar</vt:lpstr>
      <vt:lpstr>kings</vt:lpstr>
      <vt:lpstr>LegEnchantListRaw</vt:lpstr>
      <vt:lpstr>LegEnchantStats</vt:lpstr>
      <vt:lpstr>LegsListRaw</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MHEnchantListRaw</vt:lpstr>
      <vt:lpstr>MHEnchantStats</vt:lpstr>
      <vt:lpstr>MHgdam</vt:lpstr>
      <vt:lpstr>MHgfact</vt:lpstr>
      <vt:lpstr>MHglan</vt:lpstr>
      <vt:lpstr>MHhit</vt:lpstr>
      <vt:lpstr>MHmiss</vt:lpstr>
      <vt:lpstr>MHnorm</vt:lpstr>
      <vt:lpstr>MHspd</vt:lpstr>
      <vt:lpstr>mhtemp</vt:lpstr>
      <vt:lpstr>MHTempEnchantListRaw</vt:lpstr>
      <vt:lpstr>MHTempEnchantStats</vt:lpstr>
      <vt:lpstr>mhtype</vt:lpstr>
      <vt:lpstr>MHWeaponListRaw</vt:lpstr>
      <vt:lpstr>MHWeaponStats</vt:lpstr>
      <vt:lpstr>misery</vt:lpstr>
      <vt:lpstr>miseryimp</vt:lpstr>
      <vt:lpstr>mobtype</vt:lpstr>
      <vt:lpstr>mpsn</vt:lpstr>
      <vt:lpstr>mutilate</vt:lpstr>
      <vt:lpstr>nb2p</vt:lpstr>
      <vt:lpstr>nb4p</vt:lpstr>
      <vt:lpstr>Neck</vt:lpstr>
      <vt:lpstr>NeckListRaw</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OHEnchantListRaw</vt:lpstr>
      <vt:lpstr>OHEnchantStats</vt:lpstr>
      <vt:lpstr>OHgdam</vt:lpstr>
      <vt:lpstr>OHglan</vt:lpstr>
      <vt:lpstr>ohhit</vt:lpstr>
      <vt:lpstr>OHhitt</vt:lpstr>
      <vt:lpstr>OHmiss</vt:lpstr>
      <vt:lpstr>OHnorm</vt:lpstr>
      <vt:lpstr>ohspd</vt:lpstr>
      <vt:lpstr>ohtemp</vt:lpstr>
      <vt:lpstr>OHTempEnchantListRaw</vt:lpstr>
      <vt:lpstr>OHTempEnchantStats</vt:lpstr>
      <vt:lpstr>ohtype</vt:lpstr>
      <vt:lpstr>OHWeaponListRaw</vt:lpstr>
      <vt:lpstr>OHWeaponStats</vt:lpstr>
      <vt:lpstr>opp</vt:lpstr>
      <vt:lpstr>OptDPSadj</vt:lpstr>
      <vt:lpstr>optionyesno</vt:lpstr>
      <vt:lpstr>physicaldps</vt:lpstr>
      <vt:lpstr>poison</vt:lpstr>
      <vt:lpstr>Qrec</vt:lpstr>
      <vt:lpstr>RacesList</vt:lpstr>
      <vt:lpstr>RacesStats</vt:lpstr>
      <vt:lpstr>raidcrit</vt:lpstr>
      <vt:lpstr>RangedListRaw</vt:lpstr>
      <vt:lpstr>RangedStats</vt:lpstr>
      <vt:lpstr>relent</vt:lpstr>
      <vt:lpstr>RingEnchantListRaw</vt:lpstr>
      <vt:lpstr>RingEnchantStats</vt:lpstr>
      <vt:lpstr>RingListRaw</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ShoulderEnchantListRaw</vt:lpstr>
      <vt:lpstr>ShoulderEnchantStats</vt:lpstr>
      <vt:lpstr>ShoulderListRaw</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TrinketListRaw</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2021-06-15T14:53:05Z</dcterms:modified>
</cp:coreProperties>
</file>