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E9D3A08E-6517-4D06-BD01-EC093C49C2E4}"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73" l="1"/>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U58" i="70" l="1"/>
  <c r="Z58" i="70" s="1"/>
  <c r="Y57" i="70"/>
  <c r="AA57" i="70"/>
  <c r="U59" i="70"/>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2" authorId="0" shapeId="0" xr:uid="{00000000-0006-0000-0100-000001000000}">
      <text>
        <r>
          <rPr>
            <b/>
            <sz val="8"/>
            <color indexed="81"/>
            <rFont val="Tahoma"/>
            <family val="2"/>
          </rPr>
          <t>Author:</t>
        </r>
        <r>
          <rPr>
            <sz val="8"/>
            <color indexed="81"/>
            <rFont val="Tahoma"/>
            <family val="2"/>
          </rPr>
          <t xml:space="preserve">
fixed
a small Mongoose bug</t>
        </r>
      </text>
    </comment>
    <comment ref="A583"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4"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5"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6"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7"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8"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9"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0"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1"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2"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3"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4"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5"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6"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7"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8"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9"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0"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1"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2"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3"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4"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5"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6"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7"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8"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9"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0"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1"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2"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3"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4"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5"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6"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7"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8"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9"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0"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1"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2"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3"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4"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5"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6"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7"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8"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9"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0"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1"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2"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3"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4"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5"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6"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7"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8"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9"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<sst xmlns="http://schemas.openxmlformats.org/spreadsheetml/2006/main" count="8573" uniqueCount="3274">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</sst>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145676</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145676</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145676</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3241</v>
      </c>
      <c r="C12" s="1386" t="s">
        <v>1896</v>
      </c>
    </row>
    <row r="13" spans="1:256">
      <c r="B13" s="1407" t="s">
        <v>2325</v>
      </c>
      <c r="C13" s="1387" t="s">
        <v>3225</v>
      </c>
    </row>
    <row r="14" spans="1:256" ht="22.5">
      <c r="B14" s="1407"/>
      <c r="C14" s="1387" t="s">
        <v>3226</v>
      </c>
    </row>
    <row r="15" spans="1:256" ht="22.5">
      <c r="B15" s="1407"/>
      <c r="C15" s="1387" t="s">
        <v>3227</v>
      </c>
    </row>
    <row r="16" spans="1:256">
      <c r="B16" s="1407"/>
      <c r="C16" s="1387" t="s">
        <v>3228</v>
      </c>
    </row>
    <row r="17" spans="2:3">
      <c r="B17" s="1407"/>
      <c r="C17" s="1387" t="s">
        <v>1898</v>
      </c>
    </row>
    <row r="18" spans="2:3" ht="35.25" customHeight="1">
      <c r="B18" s="1407"/>
      <c r="C18" s="1388" t="s">
        <v>3229</v>
      </c>
    </row>
    <row r="19" spans="2:3" ht="22.5">
      <c r="B19" s="1407"/>
      <c r="C19" s="1387" t="s">
        <v>3230</v>
      </c>
    </row>
    <row r="20" spans="2:3" ht="56.25">
      <c r="B20" s="1407"/>
      <c r="C20" s="1387" t="s">
        <v>3231</v>
      </c>
    </row>
    <row r="21" spans="2:3">
      <c r="B21" s="1408" t="s">
        <v>1897</v>
      </c>
      <c r="C21" s="1381" t="s">
        <v>3239</v>
      </c>
    </row>
    <row r="22" spans="2:3" ht="22.5">
      <c r="B22" s="1408"/>
      <c r="C22" s="1380" t="s">
        <v>3232</v>
      </c>
    </row>
    <row r="23" spans="2:3" ht="33.75">
      <c r="B23" s="1408"/>
      <c r="C23" s="1380" t="s">
        <v>3233</v>
      </c>
    </row>
    <row r="24" spans="2:3" ht="22.5">
      <c r="B24" s="1389" t="s">
        <v>3236</v>
      </c>
      <c r="C24" s="1387" t="s">
        <v>3240</v>
      </c>
    </row>
    <row r="25" spans="2:3" ht="27" customHeight="1">
      <c r="B25" s="1382" t="s">
        <v>3237</v>
      </c>
      <c r="C25" s="1380" t="s">
        <v>3238</v>
      </c>
    </row>
    <row r="26" spans="2:3" ht="22.5">
      <c r="B26" s="1389" t="s">
        <v>2326</v>
      </c>
      <c r="C26" s="1387" t="s">
        <v>3234</v>
      </c>
    </row>
    <row r="27" spans="2:3" ht="23.25" thickBot="1">
      <c r="B27" s="1383" t="s">
        <v>3041</v>
      </c>
      <c r="C27" s="1384"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9"/>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A6" s="9" t="s">
        <v>1583</v>
      </c>
      <c r="B6" s="9" t="s">
        <v>3249</v>
      </c>
    </row>
    <row r="7" spans="1:2">
      <c r="A7" s="9" t="s">
        <v>1856</v>
      </c>
      <c r="B7" s="9" t="s">
        <v>3244</v>
      </c>
    </row>
    <row r="8" spans="1:2">
      <c r="B8" s="9" t="s">
        <v>3250</v>
      </c>
    </row>
    <row r="9" spans="1:2">
      <c r="B9" s="9" t="s">
        <v>3251</v>
      </c>
    </row>
    <row r="10" spans="1:2">
      <c r="B10" s="9" t="s">
        <v>3248</v>
      </c>
    </row>
    <row r="11" spans="1:2">
      <c r="B11" s="9" t="s">
        <v>3252</v>
      </c>
    </row>
    <row r="13" spans="1:2">
      <c r="A13" s="9" t="s">
        <v>3202</v>
      </c>
      <c r="B13" s="9" t="s">
        <v>2329</v>
      </c>
    </row>
    <row r="14" spans="1:2">
      <c r="A14" s="9" t="s">
        <v>2214</v>
      </c>
      <c r="B14" s="9" t="s">
        <v>3006</v>
      </c>
    </row>
    <row r="15" spans="1:2">
      <c r="B15" s="9" t="s">
        <v>3005</v>
      </c>
    </row>
    <row r="16" spans="1:2">
      <c r="B16" s="48" t="s">
        <v>2405</v>
      </c>
    </row>
    <row r="17" spans="1:2">
      <c r="B17" s="650" t="s">
        <v>2410</v>
      </c>
    </row>
    <row r="18" spans="1:2">
      <c r="B18" s="650" t="s">
        <v>2988</v>
      </c>
    </row>
    <row r="19" spans="1:2">
      <c r="B19" s="650" t="s">
        <v>2859</v>
      </c>
    </row>
    <row r="20" spans="1:2">
      <c r="B20" s="650" t="s">
        <v>3020</v>
      </c>
    </row>
    <row r="21" spans="1:2">
      <c r="B21" s="650" t="s">
        <v>3035</v>
      </c>
    </row>
    <row r="22" spans="1:2">
      <c r="A22" s="2"/>
      <c r="B22" s="650" t="s">
        <v>2866</v>
      </c>
    </row>
    <row r="23" spans="1:2">
      <c r="A23" s="2"/>
      <c r="B23" s="650" t="s">
        <v>3036</v>
      </c>
    </row>
    <row r="24" spans="1:2">
      <c r="B24" s="650" t="s">
        <v>2885</v>
      </c>
    </row>
    <row r="25" spans="1:2">
      <c r="A25" s="9" t="s">
        <v>1583</v>
      </c>
      <c r="B25" s="9" t="s">
        <v>2330</v>
      </c>
    </row>
    <row r="26" spans="1:2">
      <c r="B26" s="9" t="s">
        <v>2406</v>
      </c>
    </row>
    <row r="27" spans="1:2">
      <c r="B27" s="9" t="s">
        <v>2422</v>
      </c>
    </row>
    <row r="28" spans="1:2">
      <c r="B28" s="9" t="s">
        <v>2860</v>
      </c>
    </row>
    <row r="29" spans="1:2">
      <c r="B29" s="9" t="s">
        <v>2876</v>
      </c>
    </row>
    <row r="30" spans="1:2">
      <c r="B30" s="9" t="s">
        <v>2879</v>
      </c>
    </row>
    <row r="31" spans="1:2">
      <c r="B31" s="9" t="s">
        <v>2984</v>
      </c>
    </row>
    <row r="32" spans="1:2">
      <c r="B32" s="9" t="s">
        <v>2985</v>
      </c>
    </row>
    <row r="33" spans="1:2">
      <c r="B33" s="9" t="s">
        <v>3015</v>
      </c>
    </row>
    <row r="34" spans="1:2">
      <c r="B34" s="9" t="s">
        <v>3016</v>
      </c>
    </row>
    <row r="35" spans="1:2">
      <c r="B35" s="9" t="s">
        <v>3017</v>
      </c>
    </row>
    <row r="36" spans="1:2">
      <c r="B36" s="9" t="s">
        <v>2986</v>
      </c>
    </row>
    <row r="37" spans="1:2">
      <c r="A37" s="9" t="s">
        <v>1856</v>
      </c>
      <c r="B37" s="9" t="s">
        <v>2987</v>
      </c>
    </row>
    <row r="38" spans="1:2">
      <c r="B38" s="9" t="s">
        <v>2864</v>
      </c>
    </row>
    <row r="39" spans="1:2">
      <c r="A39" s="9" t="s">
        <v>2070</v>
      </c>
      <c r="B39" s="9" t="s">
        <v>2332</v>
      </c>
    </row>
    <row r="40" spans="1:2">
      <c r="B40" s="9" t="s">
        <v>2421</v>
      </c>
    </row>
    <row r="42" spans="1:2">
      <c r="A42" s="9" t="s">
        <v>1850</v>
      </c>
    </row>
    <row r="43" spans="1:2">
      <c r="A43" s="9" t="s">
        <v>2331</v>
      </c>
    </row>
    <row r="44" spans="1:2">
      <c r="A44" s="9" t="s">
        <v>311</v>
      </c>
      <c r="B44" s="9" t="s">
        <v>2040</v>
      </c>
    </row>
    <row r="45" spans="1:2">
      <c r="A45" s="9" t="s">
        <v>2214</v>
      </c>
      <c r="B45" s="9" t="s">
        <v>1442</v>
      </c>
    </row>
    <row r="46" spans="1:2">
      <c r="B46" s="9" t="s">
        <v>1441</v>
      </c>
    </row>
    <row r="47" spans="1:2">
      <c r="B47" s="9" t="s">
        <v>65</v>
      </c>
    </row>
    <row r="48" spans="1:2">
      <c r="B48" s="9" t="s">
        <v>62</v>
      </c>
    </row>
    <row r="49" spans="1:2">
      <c r="B49" s="9" t="s">
        <v>60</v>
      </c>
    </row>
    <row r="50" spans="1:2">
      <c r="B50" s="9" t="s">
        <v>61</v>
      </c>
    </row>
    <row r="51" spans="1:2">
      <c r="B51" s="9" t="s">
        <v>64</v>
      </c>
    </row>
    <row r="52" spans="1:2">
      <c r="B52" s="9" t="s">
        <v>1729</v>
      </c>
    </row>
    <row r="53" spans="1:2">
      <c r="B53" s="9" t="s">
        <v>69</v>
      </c>
    </row>
    <row r="54" spans="1:2">
      <c r="B54" s="2" t="s">
        <v>2162</v>
      </c>
    </row>
    <row r="55" spans="1:2">
      <c r="B55" s="2" t="s">
        <v>2163</v>
      </c>
    </row>
    <row r="56" spans="1:2">
      <c r="B56" s="2" t="s">
        <v>67</v>
      </c>
    </row>
    <row r="57" spans="1:2">
      <c r="B57" s="9" t="s">
        <v>68</v>
      </c>
    </row>
    <row r="58" spans="1:2">
      <c r="B58" s="9" t="s">
        <v>1728</v>
      </c>
    </row>
    <row r="59" spans="1:2">
      <c r="B59" s="9" t="s">
        <v>73</v>
      </c>
    </row>
    <row r="60" spans="1:2">
      <c r="B60" s="9" t="s">
        <v>2164</v>
      </c>
    </row>
    <row r="61" spans="1:2">
      <c r="B61" s="9" t="s">
        <v>70</v>
      </c>
    </row>
    <row r="62" spans="1:2">
      <c r="B62" s="9" t="s">
        <v>2159</v>
      </c>
    </row>
    <row r="63" spans="1:2">
      <c r="B63" s="9" t="s">
        <v>789</v>
      </c>
    </row>
    <row r="64" spans="1:2">
      <c r="A64" s="9" t="s">
        <v>1856</v>
      </c>
      <c r="B64" s="9" t="s">
        <v>71</v>
      </c>
    </row>
    <row r="65" spans="1:2">
      <c r="B65" s="9" t="s">
        <v>1443</v>
      </c>
    </row>
    <row r="66" spans="1:2">
      <c r="B66" s="9" t="s">
        <v>66</v>
      </c>
    </row>
    <row r="67" spans="1:2">
      <c r="B67" s="9" t="s">
        <v>1730</v>
      </c>
    </row>
    <row r="68" spans="1:2">
      <c r="B68" s="9" t="s">
        <v>305</v>
      </c>
    </row>
    <row r="69" spans="1:2">
      <c r="B69" s="9" t="s">
        <v>787</v>
      </c>
    </row>
    <row r="70" spans="1:2">
      <c r="B70" s="9" t="s">
        <v>788</v>
      </c>
    </row>
    <row r="71" spans="1:2">
      <c r="B71" s="9" t="s">
        <v>1557</v>
      </c>
    </row>
    <row r="72" spans="1:2">
      <c r="B72" s="9" t="s">
        <v>1756</v>
      </c>
    </row>
    <row r="73" spans="1:2">
      <c r="B73" s="9" t="s">
        <v>309</v>
      </c>
    </row>
    <row r="74" spans="1:2">
      <c r="B74" s="9" t="s">
        <v>310</v>
      </c>
    </row>
    <row r="76" spans="1:2">
      <c r="A76" s="9" t="s">
        <v>2202</v>
      </c>
      <c r="B76" s="9" t="s">
        <v>790</v>
      </c>
    </row>
    <row r="77" spans="1:2">
      <c r="A77" s="9" t="s">
        <v>2214</v>
      </c>
      <c r="B77" s="9" t="s">
        <v>1987</v>
      </c>
    </row>
    <row r="78" spans="1:2">
      <c r="A78" s="2"/>
      <c r="B78" s="9" t="s">
        <v>1833</v>
      </c>
    </row>
    <row r="79" spans="1:2">
      <c r="B79" s="9" t="s">
        <v>408</v>
      </c>
    </row>
    <row r="80" spans="1:2">
      <c r="B80" s="9" t="s">
        <v>1732</v>
      </c>
    </row>
    <row r="81" spans="1:2">
      <c r="A81" s="9" t="s">
        <v>1583</v>
      </c>
      <c r="B81" s="9" t="s">
        <v>1237</v>
      </c>
    </row>
    <row r="82" spans="1:2">
      <c r="B82" s="9" t="s">
        <v>1676</v>
      </c>
    </row>
    <row r="83" spans="1:2">
      <c r="B83" s="9" t="s">
        <v>602</v>
      </c>
    </row>
    <row r="84" spans="1:2">
      <c r="B84" s="9" t="s">
        <v>2203</v>
      </c>
    </row>
    <row r="85" spans="1:2">
      <c r="B85" s="9" t="s">
        <v>37</v>
      </c>
    </row>
    <row r="86" spans="1:2">
      <c r="B86" s="9" t="s">
        <v>2006</v>
      </c>
    </row>
    <row r="87" spans="1:2">
      <c r="B87" s="9" t="s">
        <v>2236</v>
      </c>
    </row>
    <row r="88" spans="1:2">
      <c r="B88" s="9" t="s">
        <v>2235</v>
      </c>
    </row>
    <row r="89" spans="1:2">
      <c r="B89" s="9" t="s">
        <v>2239</v>
      </c>
    </row>
    <row r="90" spans="1:2">
      <c r="A90" s="9" t="s">
        <v>1856</v>
      </c>
      <c r="B90" s="9" t="s">
        <v>1236</v>
      </c>
    </row>
    <row r="91" spans="1:2">
      <c r="B91" s="9" t="s">
        <v>1238</v>
      </c>
    </row>
    <row r="92" spans="1:2">
      <c r="B92" s="9" t="s">
        <v>1239</v>
      </c>
    </row>
    <row r="93" spans="1:2">
      <c r="B93" s="9" t="s">
        <v>1240</v>
      </c>
    </row>
    <row r="94" spans="1:2">
      <c r="B94" s="9" t="s">
        <v>441</v>
      </c>
    </row>
    <row r="95" spans="1:2">
      <c r="B95" s="9" t="s">
        <v>406</v>
      </c>
    </row>
    <row r="96" spans="1:2">
      <c r="B96" s="9" t="s">
        <v>2012</v>
      </c>
    </row>
    <row r="97" spans="1:2">
      <c r="B97" s="9" t="s">
        <v>2313</v>
      </c>
    </row>
    <row r="98" spans="1:2">
      <c r="B98" s="9" t="s">
        <v>2314</v>
      </c>
    </row>
    <row r="99" spans="1:2">
      <c r="B99" s="9" t="s">
        <v>1249</v>
      </c>
    </row>
    <row r="100" spans="1:2">
      <c r="B100" s="9" t="s">
        <v>1731</v>
      </c>
    </row>
    <row r="101" spans="1:2">
      <c r="B101" s="9" t="s">
        <v>1909</v>
      </c>
    </row>
    <row r="102" spans="1:2">
      <c r="B102" s="9" t="s">
        <v>1910</v>
      </c>
    </row>
    <row r="103" spans="1:2">
      <c r="B103" s="9" t="s">
        <v>2233</v>
      </c>
    </row>
    <row r="104" spans="1:2">
      <c r="B104" s="9" t="s">
        <v>1110</v>
      </c>
    </row>
    <row r="105" spans="1:2">
      <c r="B105" s="9" t="s">
        <v>1111</v>
      </c>
    </row>
    <row r="107" spans="1:2">
      <c r="A107" s="9" t="s">
        <v>623</v>
      </c>
      <c r="B107" s="9" t="s">
        <v>790</v>
      </c>
    </row>
    <row r="108" spans="1:2">
      <c r="A108" s="9" t="s">
        <v>2214</v>
      </c>
      <c r="B108" s="9" t="s">
        <v>622</v>
      </c>
    </row>
    <row r="109" spans="1:2">
      <c r="A109" s="9" t="s">
        <v>1583</v>
      </c>
      <c r="B109" s="9" t="s">
        <v>431</v>
      </c>
    </row>
    <row r="110" spans="1:2">
      <c r="B110" s="9" t="s">
        <v>2266</v>
      </c>
    </row>
    <row r="111" spans="1:2">
      <c r="B111" s="9" t="s">
        <v>2058</v>
      </c>
    </row>
    <row r="112" spans="1:2">
      <c r="B112" s="9" t="s">
        <v>2062</v>
      </c>
    </row>
    <row r="113" spans="1:2">
      <c r="B113" s="9" t="s">
        <v>621</v>
      </c>
    </row>
    <row r="114" spans="1:2">
      <c r="B114" s="9" t="s">
        <v>624</v>
      </c>
    </row>
    <row r="115" spans="1:2">
      <c r="A115" s="9" t="s">
        <v>1856</v>
      </c>
      <c r="B115" s="9" t="s">
        <v>1879</v>
      </c>
    </row>
    <row r="116" spans="1:2">
      <c r="B116" s="9" t="s">
        <v>1880</v>
      </c>
    </row>
    <row r="117" spans="1:2">
      <c r="B117" s="9" t="s">
        <v>430</v>
      </c>
    </row>
    <row r="118" spans="1:2">
      <c r="B118" s="9" t="s">
        <v>2264</v>
      </c>
    </row>
    <row r="120" spans="1:2">
      <c r="A120" s="9" t="s">
        <v>1743</v>
      </c>
      <c r="B120" s="9" t="s">
        <v>790</v>
      </c>
    </row>
    <row r="121" spans="1:2">
      <c r="A121" s="9" t="s">
        <v>2214</v>
      </c>
      <c r="B121" s="9" t="s">
        <v>1874</v>
      </c>
    </row>
    <row r="122" spans="1:2">
      <c r="A122" s="2"/>
      <c r="B122" s="9" t="s">
        <v>83</v>
      </c>
    </row>
    <row r="123" spans="1:2">
      <c r="A123" s="2"/>
      <c r="B123" s="9" t="s">
        <v>1260</v>
      </c>
    </row>
    <row r="124" spans="1:2">
      <c r="B124" s="9" t="s">
        <v>79</v>
      </c>
    </row>
    <row r="125" spans="1:2">
      <c r="B125" s="9" t="s">
        <v>1859</v>
      </c>
    </row>
    <row r="126" spans="1:2">
      <c r="B126" s="9" t="s">
        <v>1864</v>
      </c>
    </row>
    <row r="127" spans="1:2">
      <c r="B127" s="9" t="s">
        <v>1860</v>
      </c>
    </row>
    <row r="128" spans="1:2">
      <c r="B128" s="9" t="s">
        <v>1865</v>
      </c>
    </row>
    <row r="129" spans="1:2">
      <c r="B129" s="9" t="s">
        <v>85</v>
      </c>
    </row>
    <row r="130" spans="1:2">
      <c r="B130" s="9" t="s">
        <v>1867</v>
      </c>
    </row>
    <row r="131" spans="1:2">
      <c r="A131" s="2"/>
      <c r="B131" s="9" t="s">
        <v>77</v>
      </c>
    </row>
    <row r="132" spans="1:2">
      <c r="B132" s="9" t="s">
        <v>78</v>
      </c>
    </row>
    <row r="133" spans="1:2">
      <c r="B133" s="9" t="s">
        <v>1261</v>
      </c>
    </row>
    <row r="134" spans="1:2">
      <c r="B134" s="9" t="s">
        <v>1262</v>
      </c>
    </row>
    <row r="135" spans="1:2">
      <c r="B135" s="9" t="s">
        <v>82</v>
      </c>
    </row>
    <row r="136" spans="1:2">
      <c r="B136" s="9" t="s">
        <v>1259</v>
      </c>
    </row>
    <row r="137" spans="1:2">
      <c r="B137" s="9" t="s">
        <v>1553</v>
      </c>
    </row>
    <row r="138" spans="1:2">
      <c r="B138" s="9" t="s">
        <v>1554</v>
      </c>
    </row>
    <row r="139" spans="1:2">
      <c r="B139" s="9" t="s">
        <v>1861</v>
      </c>
    </row>
    <row r="140" spans="1:2">
      <c r="B140" s="9" t="s">
        <v>1870</v>
      </c>
    </row>
    <row r="141" spans="1:2">
      <c r="B141" s="9" t="s">
        <v>1873</v>
      </c>
    </row>
    <row r="142" spans="1:2">
      <c r="B142" s="9" t="s">
        <v>1869</v>
      </c>
    </row>
    <row r="143" spans="1:2">
      <c r="B143" s="9" t="s">
        <v>28</v>
      </c>
    </row>
    <row r="144" spans="1:2">
      <c r="B144" s="9" t="s">
        <v>38</v>
      </c>
    </row>
    <row r="145" spans="1:2">
      <c r="B145" s="9" t="s">
        <v>39</v>
      </c>
    </row>
    <row r="146" spans="1:2">
      <c r="B146" s="9" t="s">
        <v>1742</v>
      </c>
    </row>
    <row r="147" spans="1:2">
      <c r="B147" s="9" t="s">
        <v>103</v>
      </c>
    </row>
    <row r="148" spans="1:2">
      <c r="B148" s="9" t="s">
        <v>106</v>
      </c>
    </row>
    <row r="149" spans="1:2">
      <c r="B149" s="9" t="s">
        <v>1558</v>
      </c>
    </row>
    <row r="150" spans="1:2">
      <c r="A150" s="9" t="s">
        <v>1583</v>
      </c>
      <c r="B150" s="9" t="s">
        <v>1591</v>
      </c>
    </row>
    <row r="151" spans="1:2">
      <c r="B151" s="9" t="s">
        <v>864</v>
      </c>
    </row>
    <row r="152" spans="1:2">
      <c r="B152" s="9" t="s">
        <v>2295</v>
      </c>
    </row>
    <row r="153" spans="1:2">
      <c r="B153" s="9" t="s">
        <v>421</v>
      </c>
    </row>
    <row r="154" spans="1:2">
      <c r="B154" s="9" t="s">
        <v>958</v>
      </c>
    </row>
    <row r="155" spans="1:2">
      <c r="B155" s="9" t="s">
        <v>1135</v>
      </c>
    </row>
    <row r="156" spans="1:2">
      <c r="B156" s="9" t="s">
        <v>865</v>
      </c>
    </row>
    <row r="157" spans="1:2">
      <c r="B157" s="9" t="s">
        <v>94</v>
      </c>
    </row>
    <row r="158" spans="1:2">
      <c r="B158" s="9" t="s">
        <v>96</v>
      </c>
    </row>
    <row r="159" spans="1:2">
      <c r="B159" s="9" t="s">
        <v>1559</v>
      </c>
    </row>
    <row r="160" spans="1:2">
      <c r="A160" s="9" t="s">
        <v>1856</v>
      </c>
      <c r="B160" s="9" t="s">
        <v>1622</v>
      </c>
    </row>
    <row r="161" spans="1:2">
      <c r="B161" s="9" t="s">
        <v>2014</v>
      </c>
    </row>
    <row r="162" spans="1:2">
      <c r="B162" s="9" t="s">
        <v>2015</v>
      </c>
    </row>
    <row r="163" spans="1:2">
      <c r="B163" s="9" t="s">
        <v>99</v>
      </c>
    </row>
    <row r="164" spans="1:2">
      <c r="A164" s="9" t="s">
        <v>2070</v>
      </c>
      <c r="B164" s="9" t="s">
        <v>810</v>
      </c>
    </row>
    <row r="167" spans="1:2">
      <c r="A167" s="9" t="s">
        <v>809</v>
      </c>
      <c r="B167" s="9" t="s">
        <v>790</v>
      </c>
    </row>
    <row r="168" spans="1:2">
      <c r="A168" s="9" t="s">
        <v>1583</v>
      </c>
      <c r="B168" s="9" t="s">
        <v>2260</v>
      </c>
    </row>
    <row r="169" spans="1:2">
      <c r="B169" s="9" t="s">
        <v>2261</v>
      </c>
    </row>
    <row r="170" spans="1:2">
      <c r="B170" s="9" t="s">
        <v>451</v>
      </c>
    </row>
    <row r="171" spans="1:2">
      <c r="A171" s="9" t="s">
        <v>1856</v>
      </c>
      <c r="B171" s="9" t="s">
        <v>2257</v>
      </c>
    </row>
    <row r="172" spans="1:2">
      <c r="B172" s="9" t="s">
        <v>2227</v>
      </c>
    </row>
    <row r="173" spans="1:2">
      <c r="B173" s="9" t="s">
        <v>2258</v>
      </c>
    </row>
    <row r="174" spans="1:2">
      <c r="B174" s="9" t="s">
        <v>2259</v>
      </c>
    </row>
    <row r="177" spans="1:2">
      <c r="A177" s="9" t="s">
        <v>876</v>
      </c>
      <c r="B177" s="9" t="s">
        <v>790</v>
      </c>
    </row>
    <row r="178" spans="1:2">
      <c r="A178" s="9" t="s">
        <v>2214</v>
      </c>
      <c r="B178" s="9" t="s">
        <v>697</v>
      </c>
    </row>
    <row r="179" spans="1:2">
      <c r="B179" s="9" t="s">
        <v>154</v>
      </c>
    </row>
    <row r="180" spans="1:2">
      <c r="B180" s="9" t="s">
        <v>153</v>
      </c>
    </row>
    <row r="181" spans="1:2">
      <c r="B181" s="9" t="s">
        <v>874</v>
      </c>
    </row>
    <row r="182" spans="1:2">
      <c r="A182" s="9" t="s">
        <v>1583</v>
      </c>
      <c r="B182" s="9" t="s">
        <v>156</v>
      </c>
    </row>
    <row r="183" spans="1:2">
      <c r="B183" s="9" t="s">
        <v>848</v>
      </c>
    </row>
    <row r="184" spans="1:2">
      <c r="B184" s="9" t="s">
        <v>875</v>
      </c>
    </row>
    <row r="185" spans="1:2">
      <c r="A185" s="9" t="s">
        <v>1856</v>
      </c>
      <c r="B185" s="9" t="s">
        <v>994</v>
      </c>
    </row>
    <row r="186" spans="1:2">
      <c r="B186" s="9" t="s">
        <v>696</v>
      </c>
    </row>
    <row r="187" spans="1:2">
      <c r="B187" s="9" t="s">
        <v>157</v>
      </c>
    </row>
    <row r="188" spans="1:2">
      <c r="B188" s="9" t="s">
        <v>149</v>
      </c>
    </row>
    <row r="189" spans="1:2">
      <c r="B189" s="9" t="s">
        <v>150</v>
      </c>
    </row>
    <row r="190" spans="1:2">
      <c r="B190" s="9" t="s">
        <v>151</v>
      </c>
    </row>
    <row r="191" spans="1:2">
      <c r="B191" s="9" t="s">
        <v>847</v>
      </c>
    </row>
    <row r="192" spans="1:2">
      <c r="B192" s="9" t="s">
        <v>851</v>
      </c>
    </row>
    <row r="193" spans="1:2">
      <c r="B193" s="9" t="s">
        <v>878</v>
      </c>
    </row>
    <row r="194" spans="1:2">
      <c r="A194" s="9" t="s">
        <v>2070</v>
      </c>
      <c r="B194" s="9" t="s">
        <v>152</v>
      </c>
    </row>
    <row r="196" spans="1:2">
      <c r="A196" s="9" t="s">
        <v>1594</v>
      </c>
      <c r="B196" s="9" t="s">
        <v>790</v>
      </c>
    </row>
    <row r="197" spans="1:2">
      <c r="A197" s="9" t="s">
        <v>1583</v>
      </c>
      <c r="B197" s="9" t="s">
        <v>2039</v>
      </c>
    </row>
    <row r="198" spans="1:2">
      <c r="B198" s="9" t="s">
        <v>313</v>
      </c>
    </row>
    <row r="199" spans="1:2">
      <c r="B199" s="9" t="s">
        <v>314</v>
      </c>
    </row>
    <row r="200" spans="1:2">
      <c r="A200" s="9" t="s">
        <v>1856</v>
      </c>
      <c r="B200" s="9" t="s">
        <v>312</v>
      </c>
    </row>
    <row r="201" spans="1:2">
      <c r="B201" s="9" t="s">
        <v>315</v>
      </c>
    </row>
    <row r="202" spans="1:2">
      <c r="B202" s="9" t="s">
        <v>2038</v>
      </c>
    </row>
    <row r="204" spans="1:2">
      <c r="A204" s="9" t="s">
        <v>1605</v>
      </c>
      <c r="B204" s="9" t="s">
        <v>790</v>
      </c>
    </row>
    <row r="205" spans="1:2">
      <c r="A205" s="9" t="s">
        <v>2214</v>
      </c>
      <c r="B205" s="9" t="s">
        <v>834</v>
      </c>
    </row>
    <row r="206" spans="1:2">
      <c r="B206" s="9" t="s">
        <v>1139</v>
      </c>
    </row>
    <row r="207" spans="1:2">
      <c r="A207" s="9" t="s">
        <v>1583</v>
      </c>
      <c r="B207" s="9" t="s">
        <v>831</v>
      </c>
    </row>
    <row r="208" spans="1:2">
      <c r="B208" s="9" t="s">
        <v>1265</v>
      </c>
    </row>
    <row r="209" spans="1:2">
      <c r="B209" s="9" t="s">
        <v>1487</v>
      </c>
    </row>
    <row r="210" spans="1:2">
      <c r="B210" s="9" t="s">
        <v>1556</v>
      </c>
    </row>
    <row r="211" spans="1:2">
      <c r="B211" s="9" t="s">
        <v>1321</v>
      </c>
    </row>
    <row r="212" spans="1:2">
      <c r="B212" s="9" t="s">
        <v>1488</v>
      </c>
    </row>
    <row r="213" spans="1:2">
      <c r="B213" s="9" t="s">
        <v>1322</v>
      </c>
    </row>
    <row r="214" spans="1:2">
      <c r="B214" s="9" t="s">
        <v>1138</v>
      </c>
    </row>
    <row r="215" spans="1:2">
      <c r="B215" s="9" t="s">
        <v>1489</v>
      </c>
    </row>
    <row r="216" spans="1:2">
      <c r="B216" s="9" t="s">
        <v>1490</v>
      </c>
    </row>
    <row r="217" spans="1:2">
      <c r="B217" s="9" t="s">
        <v>1491</v>
      </c>
    </row>
    <row r="218" spans="1:2">
      <c r="A218" s="9" t="s">
        <v>1856</v>
      </c>
      <c r="B218" s="9" t="s">
        <v>832</v>
      </c>
    </row>
    <row r="219" spans="1:2">
      <c r="B219" s="9" t="s">
        <v>613</v>
      </c>
    </row>
    <row r="220" spans="1:2">
      <c r="B220" s="9" t="s">
        <v>587</v>
      </c>
    </row>
    <row r="221" spans="1:2">
      <c r="B221" s="9" t="s">
        <v>730</v>
      </c>
    </row>
    <row r="222" spans="1:2">
      <c r="B222" s="9" t="s">
        <v>937</v>
      </c>
    </row>
    <row r="223" spans="1:2">
      <c r="A223" s="9" t="s">
        <v>2070</v>
      </c>
      <c r="B223" s="9" t="s">
        <v>266</v>
      </c>
    </row>
    <row r="225" spans="1:2">
      <c r="A225" s="9" t="s">
        <v>1415</v>
      </c>
      <c r="B225" s="9" t="s">
        <v>790</v>
      </c>
    </row>
    <row r="226" spans="1:2">
      <c r="A226" s="9" t="s">
        <v>2214</v>
      </c>
      <c r="B226" s="9" t="s">
        <v>438</v>
      </c>
    </row>
    <row r="227" spans="1:2">
      <c r="B227" s="9" t="s">
        <v>1416</v>
      </c>
    </row>
    <row r="228" spans="1:2">
      <c r="B228" s="9" t="s">
        <v>306</v>
      </c>
    </row>
    <row r="229" spans="1:2">
      <c r="B229" s="9" t="s">
        <v>1354</v>
      </c>
    </row>
    <row r="230" spans="1:2">
      <c r="A230" s="9" t="s">
        <v>1583</v>
      </c>
      <c r="B230" s="9" t="s">
        <v>655</v>
      </c>
    </row>
    <row r="231" spans="1:2">
      <c r="B231" s="9" t="s">
        <v>630</v>
      </c>
    </row>
    <row r="232" spans="1:2">
      <c r="B232" s="9" t="s">
        <v>1350</v>
      </c>
    </row>
    <row r="233" spans="1:2">
      <c r="A233" s="2"/>
      <c r="B233" s="9" t="s">
        <v>626</v>
      </c>
    </row>
    <row r="234" spans="1:2">
      <c r="B234" s="9" t="s">
        <v>625</v>
      </c>
    </row>
    <row r="235" spans="1:2">
      <c r="B235" s="9" t="s">
        <v>627</v>
      </c>
    </row>
    <row r="236" spans="1:2">
      <c r="A236" s="9" t="s">
        <v>1856</v>
      </c>
      <c r="B236" s="9" t="s">
        <v>16</v>
      </c>
    </row>
    <row r="237" spans="1:2">
      <c r="B237" s="9" t="s">
        <v>1620</v>
      </c>
    </row>
    <row r="238" spans="1:2">
      <c r="B238" s="9" t="s">
        <v>1255</v>
      </c>
    </row>
    <row r="239" spans="1:2">
      <c r="B239" s="9" t="s">
        <v>1256</v>
      </c>
    </row>
    <row r="240" spans="1:2">
      <c r="B240" s="9" t="s">
        <v>1257</v>
      </c>
    </row>
    <row r="241" spans="1:2">
      <c r="B241" s="9" t="s">
        <v>1208</v>
      </c>
    </row>
    <row r="242" spans="1:2">
      <c r="B242" s="9" t="s">
        <v>1209</v>
      </c>
    </row>
    <row r="243" spans="1:2">
      <c r="B243" s="9" t="s">
        <v>1417</v>
      </c>
    </row>
    <row r="244" spans="1:2">
      <c r="A244" s="9" t="s">
        <v>2070</v>
      </c>
      <c r="B244" s="9" t="s">
        <v>2016</v>
      </c>
    </row>
    <row r="245" spans="1:2">
      <c r="B245" s="9" t="s">
        <v>2017</v>
      </c>
    </row>
    <row r="247" spans="1:2">
      <c r="A247" s="9" t="s">
        <v>1570</v>
      </c>
      <c r="B247" s="9" t="s">
        <v>790</v>
      </c>
    </row>
    <row r="248" spans="1:2">
      <c r="A248" s="9" t="s">
        <v>2214</v>
      </c>
      <c r="B248" s="9" t="s">
        <v>2093</v>
      </c>
    </row>
    <row r="249" spans="1:2">
      <c r="B249" s="9" t="s">
        <v>10</v>
      </c>
    </row>
    <row r="250" spans="1:2">
      <c r="B250" s="9" t="s">
        <v>130</v>
      </c>
    </row>
    <row r="251" spans="1:2">
      <c r="B251" s="9" t="s">
        <v>1883</v>
      </c>
    </row>
    <row r="252" spans="1:2">
      <c r="B252" s="9" t="s">
        <v>1568</v>
      </c>
    </row>
    <row r="253" spans="1:2">
      <c r="A253" s="2"/>
      <c r="B253" s="9" t="s">
        <v>1634</v>
      </c>
    </row>
    <row r="254" spans="1:2">
      <c r="A254" s="2"/>
      <c r="B254" s="9" t="s">
        <v>425</v>
      </c>
    </row>
    <row r="255" spans="1:2">
      <c r="A255" s="2"/>
      <c r="B255" s="9" t="s">
        <v>11</v>
      </c>
    </row>
    <row r="256" spans="1:2">
      <c r="B256" s="9" t="s">
        <v>2026</v>
      </c>
    </row>
    <row r="257" spans="1:2">
      <c r="B257" s="9" t="s">
        <v>2027</v>
      </c>
    </row>
    <row r="258" spans="1:2">
      <c r="B258" s="9" t="s">
        <v>426</v>
      </c>
    </row>
    <row r="259" spans="1:2">
      <c r="A259" s="2"/>
      <c r="B259" s="9" t="s">
        <v>1140</v>
      </c>
    </row>
    <row r="260" spans="1:2">
      <c r="B260" s="9" t="s">
        <v>1141</v>
      </c>
    </row>
    <row r="261" spans="1:2">
      <c r="B261" s="9" t="s">
        <v>1884</v>
      </c>
    </row>
    <row r="262" spans="1:2">
      <c r="B262" s="9" t="s">
        <v>1892</v>
      </c>
    </row>
    <row r="263" spans="1:2">
      <c r="B263" s="9" t="s">
        <v>1346</v>
      </c>
    </row>
    <row r="264" spans="1:2">
      <c r="B264" s="9" t="s">
        <v>1677</v>
      </c>
    </row>
    <row r="265" spans="1:2">
      <c r="B265" s="9" t="s">
        <v>1885</v>
      </c>
    </row>
    <row r="266" spans="1:2">
      <c r="B266" s="9" t="s">
        <v>12</v>
      </c>
    </row>
    <row r="267" spans="1:2">
      <c r="B267" s="9" t="s">
        <v>700</v>
      </c>
    </row>
    <row r="268" spans="1:2">
      <c r="A268" s="2"/>
      <c r="B268" s="9" t="s">
        <v>1027</v>
      </c>
    </row>
    <row r="269" spans="1:2">
      <c r="A269" s="2"/>
      <c r="B269" s="9" t="s">
        <v>1635</v>
      </c>
    </row>
    <row r="270" spans="1:2">
      <c r="A270" s="2"/>
      <c r="B270" s="9" t="s">
        <v>1142</v>
      </c>
    </row>
    <row r="271" spans="1:2">
      <c r="B271" s="9" t="s">
        <v>879</v>
      </c>
    </row>
    <row r="272" spans="1:2">
      <c r="B272" s="9" t="s">
        <v>129</v>
      </c>
    </row>
    <row r="273" spans="1:2">
      <c r="B273" s="9" t="s">
        <v>1886</v>
      </c>
    </row>
    <row r="274" spans="1:2">
      <c r="B274" s="9" t="s">
        <v>427</v>
      </c>
    </row>
    <row r="275" spans="1:2">
      <c r="B275" s="9" t="s">
        <v>1887</v>
      </c>
    </row>
    <row r="276" spans="1:2">
      <c r="B276" s="9" t="s">
        <v>1891</v>
      </c>
    </row>
    <row r="277" spans="1:2">
      <c r="B277" s="9" t="s">
        <v>428</v>
      </c>
    </row>
    <row r="278" spans="1:2">
      <c r="B278" s="9" t="s">
        <v>1889</v>
      </c>
    </row>
    <row r="279" spans="1:2">
      <c r="B279" s="9" t="s">
        <v>1890</v>
      </c>
    </row>
    <row r="280" spans="1:2">
      <c r="B280" s="9" t="s">
        <v>429</v>
      </c>
    </row>
    <row r="281" spans="1:2">
      <c r="B281" s="9" t="s">
        <v>1881</v>
      </c>
    </row>
    <row r="282" spans="1:2">
      <c r="B282" s="9" t="s">
        <v>1882</v>
      </c>
    </row>
    <row r="283" spans="1:2">
      <c r="A283" s="9" t="s">
        <v>1856</v>
      </c>
      <c r="B283" s="9" t="s">
        <v>422</v>
      </c>
    </row>
    <row r="284" spans="1:2">
      <c r="B284" s="9" t="s">
        <v>252</v>
      </c>
    </row>
    <row r="285" spans="1:2">
      <c r="B285" s="9" t="s">
        <v>254</v>
      </c>
    </row>
    <row r="286" spans="1:2">
      <c r="B286" s="9" t="s">
        <v>307</v>
      </c>
    </row>
    <row r="287" spans="1:2">
      <c r="B287" s="9" t="s">
        <v>1569</v>
      </c>
    </row>
    <row r="288" spans="1:2">
      <c r="B288" s="9" t="s">
        <v>1571</v>
      </c>
    </row>
    <row r="289" spans="1:2">
      <c r="A289" s="9" t="s">
        <v>423</v>
      </c>
      <c r="B289" s="9" t="s">
        <v>424</v>
      </c>
    </row>
    <row r="290" spans="1:2">
      <c r="B290" s="9" t="s">
        <v>253</v>
      </c>
    </row>
    <row r="291" spans="1:2">
      <c r="B291" s="9" t="s">
        <v>1567</v>
      </c>
    </row>
    <row r="293" spans="1:2">
      <c r="A293" s="9" t="s">
        <v>458</v>
      </c>
      <c r="B293" s="9" t="s">
        <v>790</v>
      </c>
    </row>
    <row r="294" spans="1:2">
      <c r="A294" s="9" t="s">
        <v>2214</v>
      </c>
      <c r="B294" s="9" t="s">
        <v>989</v>
      </c>
    </row>
    <row r="295" spans="1:2">
      <c r="A295" s="2"/>
      <c r="B295" s="9" t="s">
        <v>966</v>
      </c>
    </row>
    <row r="296" spans="1:2">
      <c r="B296" s="9" t="s">
        <v>970</v>
      </c>
    </row>
    <row r="297" spans="1:2">
      <c r="B297" s="9" t="s">
        <v>859</v>
      </c>
    </row>
    <row r="298" spans="1:2">
      <c r="B298" s="9" t="s">
        <v>707</v>
      </c>
    </row>
    <row r="299" spans="1:2">
      <c r="B299" s="9" t="s">
        <v>987</v>
      </c>
    </row>
    <row r="300" spans="1:2">
      <c r="A300" s="2"/>
      <c r="B300" s="9" t="s">
        <v>965</v>
      </c>
    </row>
    <row r="301" spans="1:2">
      <c r="A301" s="2"/>
      <c r="B301" s="9" t="s">
        <v>985</v>
      </c>
    </row>
    <row r="302" spans="1:2">
      <c r="A302" s="2"/>
      <c r="B302" s="9" t="s">
        <v>964</v>
      </c>
    </row>
    <row r="303" spans="1:2">
      <c r="A303" s="2"/>
      <c r="B303" s="9" t="s">
        <v>986</v>
      </c>
    </row>
    <row r="304" spans="1:2">
      <c r="A304" s="2"/>
      <c r="B304" s="9" t="s">
        <v>706</v>
      </c>
    </row>
    <row r="305" spans="1:2">
      <c r="A305" s="2"/>
      <c r="B305" s="9" t="s">
        <v>968</v>
      </c>
    </row>
    <row r="306" spans="1:2">
      <c r="A306" s="2"/>
      <c r="B306" s="9" t="s">
        <v>978</v>
      </c>
    </row>
    <row r="307" spans="1:2">
      <c r="A307" s="2"/>
      <c r="B307" s="9" t="s">
        <v>977</v>
      </c>
    </row>
    <row r="308" spans="1:2">
      <c r="A308" s="2"/>
      <c r="B308" s="9" t="s">
        <v>869</v>
      </c>
    </row>
    <row r="309" spans="1:2">
      <c r="A309" s="2"/>
      <c r="B309" s="9" t="s">
        <v>971</v>
      </c>
    </row>
    <row r="310" spans="1:2">
      <c r="A310" s="2"/>
      <c r="B310" s="9" t="s">
        <v>959</v>
      </c>
    </row>
    <row r="311" spans="1:2">
      <c r="A311" s="2"/>
      <c r="B311" s="9" t="s">
        <v>969</v>
      </c>
    </row>
    <row r="312" spans="1:2">
      <c r="A312" s="2"/>
      <c r="B312" s="9" t="s">
        <v>871</v>
      </c>
    </row>
    <row r="313" spans="1:2">
      <c r="A313" s="2"/>
      <c r="B313" s="9" t="s">
        <v>967</v>
      </c>
    </row>
    <row r="314" spans="1:2">
      <c r="A314" s="2"/>
      <c r="B314" s="9" t="s">
        <v>992</v>
      </c>
    </row>
    <row r="315" spans="1:2">
      <c r="A315" s="2"/>
      <c r="B315" s="9" t="s">
        <v>703</v>
      </c>
    </row>
    <row r="316" spans="1:2">
      <c r="A316" s="2"/>
      <c r="B316" s="9" t="s">
        <v>704</v>
      </c>
    </row>
    <row r="317" spans="1:2">
      <c r="A317" s="2"/>
      <c r="B317" s="9" t="s">
        <v>702</v>
      </c>
    </row>
    <row r="318" spans="1:2">
      <c r="A318" s="2"/>
      <c r="B318" s="9" t="s">
        <v>701</v>
      </c>
    </row>
    <row r="319" spans="1:2">
      <c r="A319" s="2"/>
      <c r="B319" s="9" t="s">
        <v>705</v>
      </c>
    </row>
    <row r="320" spans="1:2">
      <c r="A320" s="2"/>
      <c r="B320" s="9" t="s">
        <v>979</v>
      </c>
    </row>
    <row r="321" spans="1:2">
      <c r="A321" s="2"/>
      <c r="B321" s="9" t="s">
        <v>963</v>
      </c>
    </row>
    <row r="322" spans="1:2">
      <c r="A322" s="2"/>
      <c r="B322" s="9" t="s">
        <v>990</v>
      </c>
    </row>
    <row r="323" spans="1:2">
      <c r="A323" s="2"/>
      <c r="B323" s="9" t="s">
        <v>974</v>
      </c>
    </row>
    <row r="324" spans="1:2">
      <c r="A324" s="2"/>
      <c r="B324" s="9" t="s">
        <v>975</v>
      </c>
    </row>
    <row r="325" spans="1:2">
      <c r="A325" s="2"/>
      <c r="B325" s="9" t="s">
        <v>988</v>
      </c>
    </row>
    <row r="326" spans="1:2">
      <c r="B326" s="9" t="s">
        <v>872</v>
      </c>
    </row>
    <row r="327" spans="1:2">
      <c r="B327" s="9" t="s">
        <v>980</v>
      </c>
    </row>
    <row r="328" spans="1:2">
      <c r="B328" s="9" t="s">
        <v>981</v>
      </c>
    </row>
    <row r="329" spans="1:2">
      <c r="B329" s="9" t="s">
        <v>982</v>
      </c>
    </row>
    <row r="330" spans="1:2">
      <c r="B330" s="9" t="s">
        <v>991</v>
      </c>
    </row>
    <row r="331" spans="1:2">
      <c r="B331" s="9" t="s">
        <v>972</v>
      </c>
    </row>
    <row r="332" spans="1:2">
      <c r="B332" s="9" t="s">
        <v>983</v>
      </c>
    </row>
    <row r="333" spans="1:2">
      <c r="B333" s="9" t="s">
        <v>973</v>
      </c>
    </row>
    <row r="334" spans="1:2">
      <c r="B334" s="9" t="s">
        <v>1266</v>
      </c>
    </row>
    <row r="335" spans="1:2">
      <c r="A335" s="9" t="s">
        <v>1583</v>
      </c>
      <c r="B335" s="9" t="s">
        <v>609</v>
      </c>
    </row>
    <row r="336" spans="1:2">
      <c r="B336" s="9" t="s">
        <v>610</v>
      </c>
    </row>
    <row r="337" spans="1:2">
      <c r="B337" s="9" t="s">
        <v>611</v>
      </c>
    </row>
    <row r="338" spans="1:2">
      <c r="B338" s="9" t="s">
        <v>938</v>
      </c>
    </row>
    <row r="339" spans="1:2">
      <c r="A339" s="9" t="s">
        <v>1856</v>
      </c>
      <c r="B339" s="9" t="s">
        <v>714</v>
      </c>
    </row>
    <row r="340" spans="1:2">
      <c r="B340" s="9" t="s">
        <v>993</v>
      </c>
    </row>
    <row r="341" spans="1:2">
      <c r="B341" s="9" t="s">
        <v>955</v>
      </c>
    </row>
    <row r="342" spans="1:2">
      <c r="B342" s="9" t="s">
        <v>1604</v>
      </c>
    </row>
    <row r="343" spans="1:2">
      <c r="B343" s="9" t="s">
        <v>1962</v>
      </c>
    </row>
    <row r="344" spans="1:2">
      <c r="B344" s="9" t="s">
        <v>612</v>
      </c>
    </row>
    <row r="345" spans="1:2">
      <c r="A345" s="9" t="s">
        <v>855</v>
      </c>
      <c r="B345" s="9" t="s">
        <v>856</v>
      </c>
    </row>
    <row r="346" spans="1:2">
      <c r="B346" s="9" t="s">
        <v>1398</v>
      </c>
    </row>
    <row r="347" spans="1:2">
      <c r="B347" s="9" t="s">
        <v>857</v>
      </c>
    </row>
    <row r="348" spans="1:2">
      <c r="B348" s="9" t="s">
        <v>858</v>
      </c>
    </row>
    <row r="349" spans="1:2">
      <c r="B349" s="9" t="s">
        <v>1150</v>
      </c>
    </row>
    <row r="351" spans="1:2">
      <c r="A351" s="9" t="s">
        <v>189</v>
      </c>
      <c r="B351" s="9" t="s">
        <v>790</v>
      </c>
    </row>
    <row r="352" spans="1:2">
      <c r="A352" s="9" t="s">
        <v>2214</v>
      </c>
      <c r="B352" s="9" t="s">
        <v>1290</v>
      </c>
    </row>
    <row r="353" spans="1:2">
      <c r="A353" s="2"/>
      <c r="B353" s="9" t="s">
        <v>1291</v>
      </c>
    </row>
    <row r="354" spans="1:2">
      <c r="A354" s="2"/>
      <c r="B354" s="9" t="s">
        <v>811</v>
      </c>
    </row>
    <row r="355" spans="1:2">
      <c r="A355" s="2"/>
      <c r="B355" s="9" t="s">
        <v>1357</v>
      </c>
    </row>
    <row r="356" spans="1:2">
      <c r="A356" s="2"/>
      <c r="B356" s="9" t="s">
        <v>188</v>
      </c>
    </row>
    <row r="357" spans="1:2">
      <c r="A357" s="2" t="s">
        <v>1583</v>
      </c>
      <c r="B357" s="9" t="s">
        <v>1911</v>
      </c>
    </row>
    <row r="358" spans="1:2">
      <c r="A358" s="2"/>
      <c r="B358" s="9" t="s">
        <v>1129</v>
      </c>
    </row>
    <row r="359" spans="1:2">
      <c r="A359" s="2"/>
      <c r="B359" s="9" t="s">
        <v>190</v>
      </c>
    </row>
    <row r="360" spans="1:2">
      <c r="A360" s="2"/>
      <c r="B360" s="9" t="s">
        <v>560</v>
      </c>
    </row>
    <row r="361" spans="1:2">
      <c r="A361" s="2"/>
      <c r="B361" s="9" t="s">
        <v>1630</v>
      </c>
    </row>
    <row r="362" spans="1:2">
      <c r="A362" s="2"/>
      <c r="B362" s="9" t="s">
        <v>1636</v>
      </c>
    </row>
    <row r="363" spans="1:2">
      <c r="A363" s="2"/>
      <c r="B363" s="9" t="s">
        <v>1741</v>
      </c>
    </row>
    <row r="364" spans="1:2">
      <c r="A364" s="2"/>
      <c r="B364" s="9" t="s">
        <v>1631</v>
      </c>
    </row>
    <row r="365" spans="1:2">
      <c r="A365" s="2"/>
      <c r="B365" s="9" t="s">
        <v>1632</v>
      </c>
    </row>
    <row r="366" spans="1:2">
      <c r="A366" s="2"/>
      <c r="B366" s="9" t="s">
        <v>1740</v>
      </c>
    </row>
    <row r="367" spans="1:2">
      <c r="A367" s="2"/>
      <c r="B367" s="9" t="s">
        <v>1633</v>
      </c>
    </row>
    <row r="368" spans="1:2">
      <c r="A368" s="2"/>
      <c r="B368" s="9" t="s">
        <v>45</v>
      </c>
    </row>
    <row r="369" spans="1:2">
      <c r="A369" s="2"/>
      <c r="B369" s="9" t="s">
        <v>52</v>
      </c>
    </row>
    <row r="370" spans="1:2">
      <c r="A370" s="2"/>
      <c r="B370" s="9" t="s">
        <v>1637</v>
      </c>
    </row>
    <row r="371" spans="1:2">
      <c r="A371" s="2" t="s">
        <v>1856</v>
      </c>
      <c r="B371" s="9" t="s">
        <v>1292</v>
      </c>
    </row>
    <row r="372" spans="1:2">
      <c r="A372" s="2"/>
      <c r="B372" s="9" t="s">
        <v>1293</v>
      </c>
    </row>
    <row r="373" spans="1:2">
      <c r="A373" s="2"/>
      <c r="B373" s="9" t="s">
        <v>1130</v>
      </c>
    </row>
    <row r="374" spans="1:2">
      <c r="A374" s="2"/>
      <c r="B374" s="9" t="s">
        <v>1652</v>
      </c>
    </row>
    <row r="375" spans="1:2">
      <c r="A375" s="2"/>
      <c r="B375" s="9" t="s">
        <v>114</v>
      </c>
    </row>
    <row r="376" spans="1:2">
      <c r="A376" s="2"/>
      <c r="B376" s="9" t="s">
        <v>606</v>
      </c>
    </row>
    <row r="377" spans="1:2">
      <c r="A377" s="2"/>
      <c r="B377" s="9" t="s">
        <v>40</v>
      </c>
    </row>
    <row r="378" spans="1:2">
      <c r="A378" s="2"/>
      <c r="B378" s="9" t="s">
        <v>42</v>
      </c>
    </row>
    <row r="379" spans="1:2">
      <c r="A379" s="2"/>
      <c r="B379" s="9" t="s">
        <v>41</v>
      </c>
    </row>
    <row r="380" spans="1:2">
      <c r="A380" s="2" t="s">
        <v>2070</v>
      </c>
      <c r="B380" s="9" t="s">
        <v>43</v>
      </c>
    </row>
    <row r="381" spans="1:2">
      <c r="A381" s="2"/>
      <c r="B381" s="9" t="s">
        <v>51</v>
      </c>
    </row>
    <row r="382" spans="1:2">
      <c r="B382" s="9" t="s">
        <v>1618</v>
      </c>
    </row>
    <row r="383" spans="1:2">
      <c r="B383" s="9" t="s">
        <v>1619</v>
      </c>
    </row>
    <row r="384" spans="1:2">
      <c r="B384" s="9" t="s">
        <v>2068</v>
      </c>
    </row>
    <row r="386" spans="1:2">
      <c r="A386" s="9" t="s">
        <v>1855</v>
      </c>
      <c r="B386" s="9" t="s">
        <v>790</v>
      </c>
    </row>
    <row r="387" spans="1:2">
      <c r="A387" s="9" t="s">
        <v>2214</v>
      </c>
      <c r="B387" s="9" t="s">
        <v>2215</v>
      </c>
    </row>
    <row r="388" spans="1:2">
      <c r="A388" s="9" t="s">
        <v>1856</v>
      </c>
      <c r="B388" s="9" t="s">
        <v>2217</v>
      </c>
    </row>
    <row r="389" spans="1:2">
      <c r="B389" s="9" t="s">
        <v>497</v>
      </c>
    </row>
    <row r="390" spans="1:2">
      <c r="B390" s="9" t="s">
        <v>2216</v>
      </c>
    </row>
    <row r="391" spans="1:2">
      <c r="B391" s="9" t="s">
        <v>995</v>
      </c>
    </row>
    <row r="392" spans="1:2">
      <c r="B392" s="9" t="s">
        <v>1339</v>
      </c>
    </row>
    <row r="393" spans="1:2">
      <c r="B393" s="9" t="s">
        <v>2212</v>
      </c>
    </row>
    <row r="394" spans="1:2">
      <c r="B394" s="9" t="s">
        <v>2218</v>
      </c>
    </row>
    <row r="396" spans="1:2">
      <c r="A396" s="9" t="s">
        <v>1353</v>
      </c>
      <c r="B396" s="9" t="s">
        <v>790</v>
      </c>
    </row>
    <row r="397" spans="1:2">
      <c r="A397" s="9" t="s">
        <v>2247</v>
      </c>
      <c r="B397" s="9" t="s">
        <v>791</v>
      </c>
    </row>
    <row r="398" spans="1:2">
      <c r="A398" s="9" t="s">
        <v>2178</v>
      </c>
      <c r="B398" s="9" t="s">
        <v>1424</v>
      </c>
    </row>
    <row r="399" spans="1:2">
      <c r="B399" s="9" t="s">
        <v>1425</v>
      </c>
    </row>
    <row r="400" spans="1:2">
      <c r="B400" s="9" t="s">
        <v>488</v>
      </c>
    </row>
    <row r="401" spans="1:2">
      <c r="B401" s="9" t="s">
        <v>489</v>
      </c>
    </row>
    <row r="402" spans="1:2">
      <c r="B402" s="9" t="s">
        <v>1336</v>
      </c>
    </row>
    <row r="403" spans="1:2">
      <c r="B403" s="9" t="s">
        <v>873</v>
      </c>
    </row>
    <row r="404" spans="1:2">
      <c r="A404" s="9" t="s">
        <v>2246</v>
      </c>
      <c r="B404" s="9" t="s">
        <v>261</v>
      </c>
    </row>
    <row r="405" spans="1:2">
      <c r="B405" s="9" t="s">
        <v>262</v>
      </c>
    </row>
    <row r="406" spans="1:2">
      <c r="B406" s="9" t="s">
        <v>852</v>
      </c>
    </row>
    <row r="408" spans="1:2">
      <c r="A408" s="9" t="s">
        <v>1964</v>
      </c>
      <c r="B408" s="9" t="s">
        <v>790</v>
      </c>
    </row>
    <row r="409" spans="1:2">
      <c r="A409" s="9" t="s">
        <v>2247</v>
      </c>
      <c r="B409" s="9" t="s">
        <v>534</v>
      </c>
    </row>
    <row r="410" spans="1:2">
      <c r="B410" s="9" t="s">
        <v>889</v>
      </c>
    </row>
    <row r="411" spans="1:2">
      <c r="B411" s="9" t="s">
        <v>890</v>
      </c>
    </row>
    <row r="412" spans="1:2">
      <c r="B412" s="9" t="s">
        <v>1593</v>
      </c>
    </row>
    <row r="413" spans="1:2">
      <c r="A413" s="9" t="s">
        <v>2246</v>
      </c>
      <c r="B413" s="9" t="s">
        <v>1854</v>
      </c>
    </row>
    <row r="414" spans="1:2">
      <c r="A414" s="9" t="s">
        <v>2178</v>
      </c>
      <c r="B414" s="9" t="s">
        <v>1963</v>
      </c>
    </row>
    <row r="415" spans="1:2">
      <c r="B415" s="9" t="s">
        <v>795</v>
      </c>
    </row>
    <row r="416" spans="1:2">
      <c r="B416" s="9" t="s">
        <v>7</v>
      </c>
    </row>
    <row r="417" spans="1:2">
      <c r="B417" s="9" t="s">
        <v>896</v>
      </c>
    </row>
    <row r="418" spans="1:2">
      <c r="B418" s="9" t="s">
        <v>2181</v>
      </c>
    </row>
    <row r="419" spans="1:2">
      <c r="B419" s="9" t="s">
        <v>2182</v>
      </c>
    </row>
    <row r="420" spans="1:2">
      <c r="B420" s="9" t="s">
        <v>2183</v>
      </c>
    </row>
    <row r="421" spans="1:2">
      <c r="B421" s="9" t="s">
        <v>1560</v>
      </c>
    </row>
    <row r="422" spans="1:2">
      <c r="B422" s="9" t="s">
        <v>1853</v>
      </c>
    </row>
    <row r="423" spans="1:2">
      <c r="A423" s="9" t="s">
        <v>1565</v>
      </c>
      <c r="B423" s="9" t="s">
        <v>1561</v>
      </c>
    </row>
    <row r="425" spans="1:2">
      <c r="A425" s="9" t="s">
        <v>500</v>
      </c>
      <c r="B425" s="9" t="s">
        <v>790</v>
      </c>
    </row>
    <row r="426" spans="1:2">
      <c r="A426" s="9" t="s">
        <v>2247</v>
      </c>
      <c r="B426" s="9" t="s">
        <v>1925</v>
      </c>
    </row>
    <row r="427" spans="1:2">
      <c r="B427" s="9" t="s">
        <v>453</v>
      </c>
    </row>
    <row r="428" spans="1:2">
      <c r="B428" s="6" t="s">
        <v>1926</v>
      </c>
    </row>
    <row r="429" spans="1:2">
      <c r="A429" s="9" t="s">
        <v>452</v>
      </c>
      <c r="B429" s="6" t="s">
        <v>907</v>
      </c>
    </row>
    <row r="430" spans="1:2">
      <c r="A430" s="9" t="s">
        <v>2178</v>
      </c>
      <c r="B430" s="9" t="s">
        <v>501</v>
      </c>
    </row>
    <row r="431" spans="1:2">
      <c r="B431" s="9" t="s">
        <v>502</v>
      </c>
    </row>
    <row r="432" spans="1:2">
      <c r="B432" s="9" t="s">
        <v>503</v>
      </c>
    </row>
    <row r="433" spans="1:2">
      <c r="B433" s="9" t="s">
        <v>906</v>
      </c>
    </row>
    <row r="434" spans="1:2">
      <c r="B434" s="9" t="s">
        <v>1924</v>
      </c>
    </row>
    <row r="435" spans="1:2">
      <c r="B435" s="9" t="s">
        <v>905</v>
      </c>
    </row>
    <row r="437" spans="1:2">
      <c r="A437" s="9" t="s">
        <v>1477</v>
      </c>
      <c r="B437" s="9" t="s">
        <v>790</v>
      </c>
    </row>
    <row r="438" spans="1:2">
      <c r="A438" s="9" t="s">
        <v>2246</v>
      </c>
      <c r="B438" s="9" t="s">
        <v>1658</v>
      </c>
    </row>
    <row r="439" spans="1:2">
      <c r="B439" s="9" t="s">
        <v>1007</v>
      </c>
    </row>
    <row r="440" spans="1:2">
      <c r="A440" s="9" t="s">
        <v>2247</v>
      </c>
      <c r="B440" s="9" t="s">
        <v>1006</v>
      </c>
    </row>
    <row r="441" spans="1:2">
      <c r="B441" s="9" t="s">
        <v>1206</v>
      </c>
    </row>
    <row r="442" spans="1:2">
      <c r="B442" s="9" t="s">
        <v>1229</v>
      </c>
    </row>
    <row r="443" spans="1:2">
      <c r="B443" s="9" t="s">
        <v>1230</v>
      </c>
    </row>
    <row r="444" spans="1:2">
      <c r="B444" s="9" t="s">
        <v>1407</v>
      </c>
    </row>
    <row r="445" spans="1:2">
      <c r="B445" s="9" t="s">
        <v>1493</v>
      </c>
    </row>
    <row r="446" spans="1:2">
      <c r="B446" s="9" t="s">
        <v>1496</v>
      </c>
    </row>
    <row r="447" spans="1:2">
      <c r="B447" s="9" t="s">
        <v>1503</v>
      </c>
    </row>
    <row r="448" spans="1:2">
      <c r="B448" s="9" t="s">
        <v>1504</v>
      </c>
    </row>
    <row r="449" spans="1:2">
      <c r="B449" s="9" t="s">
        <v>1505</v>
      </c>
    </row>
    <row r="450" spans="1:2">
      <c r="B450" s="9" t="s">
        <v>1506</v>
      </c>
    </row>
    <row r="451" spans="1:2">
      <c r="B451" s="9" t="s">
        <v>1507</v>
      </c>
    </row>
    <row r="452" spans="1:2">
      <c r="B452" s="9" t="s">
        <v>1508</v>
      </c>
    </row>
    <row r="453" spans="1:2">
      <c r="A453" s="9" t="s">
        <v>1565</v>
      </c>
      <c r="B453" s="9" t="s">
        <v>1913</v>
      </c>
    </row>
    <row r="454" spans="1:2">
      <c r="B454" s="9" t="s">
        <v>1509</v>
      </c>
    </row>
    <row r="455" spans="1:2">
      <c r="A455" s="9" t="s">
        <v>2178</v>
      </c>
      <c r="B455" s="9" t="s">
        <v>1481</v>
      </c>
    </row>
    <row r="456" spans="1:2">
      <c r="B456" s="9" t="s">
        <v>1482</v>
      </c>
    </row>
    <row r="457" spans="1:2">
      <c r="B457" s="9" t="s">
        <v>1467</v>
      </c>
    </row>
    <row r="458" spans="1:2">
      <c r="B458" s="9" t="s">
        <v>136</v>
      </c>
    </row>
    <row r="460" spans="1:2">
      <c r="A460" s="9" t="s">
        <v>1478</v>
      </c>
      <c r="B460" s="9" t="s">
        <v>1479</v>
      </c>
    </row>
    <row r="461" spans="1:2">
      <c r="A461" s="9" t="s">
        <v>2247</v>
      </c>
      <c r="B461" s="9" t="s">
        <v>1480</v>
      </c>
    </row>
    <row r="463" spans="1:2">
      <c r="A463" s="9" t="s">
        <v>1061</v>
      </c>
      <c r="B463" s="9" t="s">
        <v>790</v>
      </c>
    </row>
    <row r="464" spans="1:2">
      <c r="A464" s="9" t="s">
        <v>2246</v>
      </c>
      <c r="B464" s="9" t="s">
        <v>1057</v>
      </c>
    </row>
    <row r="465" spans="1:2">
      <c r="A465" s="9" t="s">
        <v>2178</v>
      </c>
      <c r="B465" s="9" t="s">
        <v>283</v>
      </c>
    </row>
    <row r="466" spans="1:2">
      <c r="B466" s="9" t="s">
        <v>284</v>
      </c>
    </row>
    <row r="467" spans="1:2">
      <c r="B467" s="9" t="s">
        <v>285</v>
      </c>
    </row>
    <row r="468" spans="1:2">
      <c r="B468" s="9" t="s">
        <v>286</v>
      </c>
    </row>
    <row r="469" spans="1:2">
      <c r="B469" s="9" t="s">
        <v>287</v>
      </c>
    </row>
    <row r="470" spans="1:2">
      <c r="B470" s="9" t="s">
        <v>288</v>
      </c>
    </row>
    <row r="471" spans="1:2">
      <c r="B471" s="9" t="s">
        <v>289</v>
      </c>
    </row>
    <row r="472" spans="1:2">
      <c r="B472" s="9" t="s">
        <v>1023</v>
      </c>
    </row>
    <row r="473" spans="1:2">
      <c r="B473" s="9" t="s">
        <v>757</v>
      </c>
    </row>
    <row r="474" spans="1:2">
      <c r="B474" s="9" t="s">
        <v>758</v>
      </c>
    </row>
    <row r="475" spans="1:2">
      <c r="B475" s="9" t="s">
        <v>1058</v>
      </c>
    </row>
    <row r="476" spans="1:2">
      <c r="B476" s="9" t="s">
        <v>1060</v>
      </c>
    </row>
    <row r="477" spans="1:2">
      <c r="B477" s="9" t="s">
        <v>1059</v>
      </c>
    </row>
    <row r="479" spans="1:2">
      <c r="A479" s="9" t="s">
        <v>1125</v>
      </c>
      <c r="B479" s="9" t="s">
        <v>790</v>
      </c>
    </row>
    <row r="480" spans="1:2">
      <c r="A480" s="9" t="s">
        <v>2178</v>
      </c>
      <c r="B480" s="9" t="s">
        <v>1126</v>
      </c>
    </row>
    <row r="481" spans="1:2">
      <c r="B481" s="9" t="s">
        <v>1127</v>
      </c>
    </row>
    <row r="482" spans="1:2">
      <c r="A482" s="9" t="s">
        <v>2247</v>
      </c>
      <c r="B482" s="9" t="s">
        <v>1128</v>
      </c>
    </row>
    <row r="483" spans="1:2">
      <c r="B483" s="9" t="s">
        <v>867</v>
      </c>
    </row>
    <row r="485" spans="1:2">
      <c r="A485" s="9" t="s">
        <v>2263</v>
      </c>
      <c r="B485" s="9" t="s">
        <v>790</v>
      </c>
    </row>
    <row r="486" spans="1:2">
      <c r="A486" s="9" t="s">
        <v>2246</v>
      </c>
      <c r="B486" s="9" t="s">
        <v>160</v>
      </c>
    </row>
    <row r="488" spans="1:2">
      <c r="A488" s="9" t="s">
        <v>2262</v>
      </c>
      <c r="B488" s="9" t="s">
        <v>790</v>
      </c>
    </row>
    <row r="489" spans="1:2">
      <c r="A489" s="9" t="s">
        <v>2246</v>
      </c>
      <c r="B489" s="9" t="s">
        <v>1768</v>
      </c>
    </row>
    <row r="490" spans="1:2">
      <c r="B490" s="9" t="s">
        <v>1959</v>
      </c>
    </row>
    <row r="491" spans="1:2">
      <c r="A491" s="9" t="s">
        <v>2247</v>
      </c>
      <c r="B491" s="9" t="s">
        <v>165</v>
      </c>
    </row>
    <row r="492" spans="1:2">
      <c r="A492" s="9" t="s">
        <v>1565</v>
      </c>
      <c r="B492" s="9" t="s">
        <v>162</v>
      </c>
    </row>
    <row r="493" spans="1:2">
      <c r="B493" s="9" t="s">
        <v>1769</v>
      </c>
    </row>
    <row r="494" spans="1:2">
      <c r="A494" s="9" t="s">
        <v>2178</v>
      </c>
      <c r="B494" s="9" t="s">
        <v>530</v>
      </c>
    </row>
    <row r="495" spans="1:2">
      <c r="B495" s="9" t="s">
        <v>529</v>
      </c>
    </row>
    <row r="496" spans="1:2">
      <c r="B496" s="9" t="s">
        <v>230</v>
      </c>
    </row>
    <row r="497" spans="1:256">
      <c r="B497" s="9" t="s">
        <v>166</v>
      </c>
    </row>
    <row r="498" spans="1:256">
      <c r="B498" s="10" t="s">
        <v>1770</v>
      </c>
    </row>
    <row r="499" spans="1:256">
      <c r="B499" s="9" t="s">
        <v>1956</v>
      </c>
    </row>
    <row r="500" spans="1:256">
      <c r="B500" s="10" t="s">
        <v>1957</v>
      </c>
    </row>
    <row r="501" spans="1:256">
      <c r="B501" s="10" t="s">
        <v>1958</v>
      </c>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c r="BY501" s="9"/>
      <c r="BZ501" s="9"/>
      <c r="CA501" s="9"/>
      <c r="CB501" s="9"/>
      <c r="CC501" s="9"/>
      <c r="CD501" s="9"/>
      <c r="CE501" s="9"/>
      <c r="CF501" s="9"/>
      <c r="CG501" s="9"/>
      <c r="CH501" s="9"/>
      <c r="CI501" s="9"/>
      <c r="CJ501" s="9"/>
      <c r="CK501" s="9"/>
      <c r="CL501" s="9"/>
      <c r="CM501" s="9"/>
      <c r="CN501" s="9"/>
      <c r="CO501" s="9"/>
      <c r="CP501" s="9"/>
      <c r="CQ501" s="9"/>
      <c r="CR501" s="9"/>
      <c r="CS501" s="9"/>
      <c r="CT501" s="9"/>
      <c r="CU501" s="9"/>
      <c r="CV501" s="9"/>
      <c r="CW501" s="9"/>
      <c r="CX501" s="9"/>
      <c r="CY501" s="9"/>
      <c r="CZ501" s="9"/>
      <c r="DA501" s="9"/>
      <c r="DB501" s="9"/>
      <c r="DC501" s="9"/>
      <c r="DD501" s="9"/>
      <c r="DE501" s="9"/>
      <c r="DF501" s="9"/>
      <c r="DG501" s="9"/>
      <c r="DH501" s="9"/>
      <c r="DI501" s="9"/>
      <c r="DJ501" s="9"/>
      <c r="DK501" s="9"/>
      <c r="DL501" s="9"/>
      <c r="DM501" s="9"/>
      <c r="DN501" s="9"/>
      <c r="DO501" s="9"/>
      <c r="DP501" s="9"/>
      <c r="DQ501" s="9"/>
      <c r="DR501" s="9"/>
      <c r="DS501" s="9"/>
      <c r="DT501" s="9"/>
      <c r="DU501" s="9"/>
      <c r="DV501" s="9"/>
      <c r="DW501" s="9"/>
      <c r="DX501" s="9"/>
      <c r="DY501" s="9"/>
      <c r="DZ501" s="9"/>
      <c r="EA501" s="9"/>
      <c r="EB501" s="9"/>
      <c r="EC501" s="9"/>
      <c r="ED501" s="9"/>
      <c r="EE501" s="9"/>
      <c r="EF501" s="9"/>
      <c r="EG501" s="9"/>
      <c r="EH501" s="9"/>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c r="FW501" s="9"/>
      <c r="FX501" s="9"/>
      <c r="FY501" s="9"/>
      <c r="FZ501" s="9"/>
      <c r="GA501" s="9"/>
      <c r="GB501" s="9"/>
      <c r="GC501" s="9"/>
      <c r="GD501" s="9"/>
      <c r="GE501" s="9"/>
      <c r="GF501" s="9"/>
      <c r="GG501" s="9"/>
      <c r="GH501" s="9"/>
      <c r="GI501" s="9"/>
      <c r="GJ501" s="9"/>
      <c r="GK501" s="9"/>
      <c r="GL501" s="9"/>
      <c r="GM501" s="9"/>
      <c r="GN501" s="9"/>
      <c r="GO501" s="9"/>
      <c r="GP501" s="9"/>
      <c r="GQ501" s="9"/>
      <c r="GR501" s="9"/>
      <c r="GS501" s="9"/>
      <c r="GT501" s="9"/>
      <c r="GU501" s="9"/>
      <c r="GV501" s="9"/>
      <c r="GW501" s="9"/>
      <c r="GX501" s="9"/>
      <c r="GY501" s="9"/>
      <c r="GZ501" s="9"/>
      <c r="HA501" s="9"/>
      <c r="HB501" s="9"/>
      <c r="HC501" s="9"/>
      <c r="HD501" s="9"/>
      <c r="HE501" s="9"/>
      <c r="HF501" s="9"/>
      <c r="HG501" s="9"/>
      <c r="HH501" s="9"/>
      <c r="HI501" s="9"/>
      <c r="HJ501" s="9"/>
      <c r="HK501" s="9"/>
      <c r="HL501" s="9"/>
      <c r="HM501" s="9"/>
      <c r="HN501" s="9"/>
      <c r="HO501" s="9"/>
      <c r="HP501" s="9"/>
      <c r="HQ501" s="9"/>
      <c r="HR501" s="9"/>
      <c r="HS501" s="9"/>
      <c r="HT501" s="9"/>
      <c r="HU501" s="9"/>
      <c r="HV501" s="9"/>
      <c r="HW501" s="9"/>
      <c r="HX501" s="9"/>
      <c r="HY501" s="9"/>
      <c r="HZ501" s="9"/>
      <c r="IA501" s="9"/>
      <c r="IB501" s="9"/>
      <c r="IC501" s="9"/>
      <c r="ID501" s="9"/>
      <c r="IE501" s="9"/>
      <c r="IF501" s="9"/>
      <c r="IG501" s="9"/>
      <c r="IH501" s="9"/>
      <c r="II501" s="9"/>
      <c r="IJ501" s="9"/>
      <c r="IK501" s="9"/>
      <c r="IL501" s="9"/>
      <c r="IM501" s="9"/>
      <c r="IN501" s="9"/>
      <c r="IO501" s="9"/>
      <c r="IP501" s="9"/>
      <c r="IQ501" s="9"/>
      <c r="IR501" s="9"/>
      <c r="IS501" s="9"/>
      <c r="IT501" s="9"/>
      <c r="IU501" s="9"/>
      <c r="IV501" s="9"/>
    </row>
    <row r="502" spans="1:256">
      <c r="B502" s="10" t="s">
        <v>1960</v>
      </c>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B503" s="10" t="s">
        <v>1961</v>
      </c>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E503" s="9"/>
      <c r="BF503" s="9"/>
      <c r="BG503" s="9"/>
      <c r="BH503" s="9"/>
      <c r="BI503" s="9"/>
      <c r="BJ503" s="9"/>
      <c r="BK503" s="9"/>
      <c r="BL503" s="9"/>
      <c r="BM503" s="9"/>
      <c r="BN503" s="9"/>
      <c r="BO503" s="9"/>
      <c r="BP503" s="9"/>
      <c r="BQ503" s="9"/>
      <c r="BR503" s="9"/>
      <c r="BS503" s="9"/>
      <c r="BT503" s="9"/>
      <c r="BU503" s="9"/>
      <c r="BV503" s="9"/>
      <c r="BW503" s="9"/>
      <c r="BX503" s="9"/>
      <c r="BY503" s="9"/>
      <c r="BZ503" s="9"/>
      <c r="CA503" s="9"/>
      <c r="CB503" s="9"/>
      <c r="CC503" s="9"/>
      <c r="CD503" s="9"/>
      <c r="CE503" s="9"/>
      <c r="CF503" s="9"/>
      <c r="CG503" s="9"/>
      <c r="CH503" s="9"/>
      <c r="CI503" s="9"/>
      <c r="CJ503" s="9"/>
      <c r="CK503" s="9"/>
      <c r="CL503" s="9"/>
      <c r="CM503" s="9"/>
      <c r="CN503" s="9"/>
      <c r="CO503" s="9"/>
      <c r="CP503" s="9"/>
      <c r="CQ503" s="9"/>
      <c r="CR503" s="9"/>
      <c r="CS503" s="9"/>
      <c r="CT503" s="9"/>
      <c r="CU503" s="9"/>
      <c r="CV503" s="9"/>
      <c r="CW503" s="9"/>
      <c r="CX503" s="9"/>
      <c r="CY503" s="9"/>
      <c r="CZ503" s="9"/>
      <c r="DA503" s="9"/>
      <c r="DB503" s="9"/>
      <c r="DC503" s="9"/>
      <c r="DD503" s="9"/>
      <c r="DE503" s="9"/>
      <c r="DF503" s="9"/>
      <c r="DG503" s="9"/>
      <c r="DH503" s="9"/>
      <c r="DI503" s="9"/>
      <c r="DJ503" s="9"/>
      <c r="DK503" s="9"/>
      <c r="DL503" s="9"/>
      <c r="DM503" s="9"/>
      <c r="DN503" s="9"/>
      <c r="DO503" s="9"/>
      <c r="DP503" s="9"/>
      <c r="DQ503" s="9"/>
      <c r="DR503" s="9"/>
      <c r="DS503" s="9"/>
      <c r="DT503" s="9"/>
      <c r="DU503" s="9"/>
      <c r="DV503" s="9"/>
      <c r="DW503" s="9"/>
      <c r="DX503" s="9"/>
      <c r="DY503" s="9"/>
      <c r="DZ503" s="9"/>
      <c r="EA503" s="9"/>
      <c r="EB503" s="9"/>
      <c r="EC503" s="9"/>
      <c r="ED503" s="9"/>
      <c r="EE503" s="9"/>
      <c r="EF503" s="9"/>
      <c r="EG503" s="9"/>
      <c r="EH503" s="9"/>
      <c r="EI503" s="9"/>
      <c r="EJ503" s="9"/>
      <c r="EK503" s="9"/>
      <c r="EL503" s="9"/>
      <c r="EM503" s="9"/>
      <c r="EN503" s="9"/>
      <c r="EO503" s="9"/>
      <c r="EP503" s="9"/>
      <c r="EQ503" s="9"/>
      <c r="ER503" s="9"/>
      <c r="ES503" s="9"/>
      <c r="ET503" s="9"/>
      <c r="EU503" s="9"/>
      <c r="EV503" s="9"/>
      <c r="EW503" s="9"/>
      <c r="EX503" s="9"/>
      <c r="EY503" s="9"/>
      <c r="EZ503" s="9"/>
      <c r="FA503" s="9"/>
      <c r="FB503" s="9"/>
      <c r="FC503" s="9"/>
      <c r="FD503" s="9"/>
      <c r="FE503" s="9"/>
      <c r="FF503" s="9"/>
      <c r="FG503" s="9"/>
      <c r="FH503" s="9"/>
      <c r="FI503" s="9"/>
      <c r="FJ503" s="9"/>
      <c r="FK503" s="9"/>
      <c r="FL503" s="9"/>
      <c r="FM503" s="9"/>
      <c r="FN503" s="9"/>
      <c r="FO503" s="9"/>
      <c r="FP503" s="9"/>
      <c r="FQ503" s="9"/>
      <c r="FR503" s="9"/>
      <c r="FS503" s="9"/>
      <c r="FT503" s="9"/>
      <c r="FU503" s="9"/>
      <c r="FV503" s="9"/>
      <c r="FW503" s="9"/>
      <c r="FX503" s="9"/>
      <c r="FY503" s="9"/>
      <c r="FZ503" s="9"/>
      <c r="GA503" s="9"/>
      <c r="GB503" s="9"/>
      <c r="GC503" s="9"/>
      <c r="GD503" s="9"/>
      <c r="GE503" s="9"/>
      <c r="GF503" s="9"/>
      <c r="GG503" s="9"/>
      <c r="GH503" s="9"/>
      <c r="GI503" s="9"/>
      <c r="GJ503" s="9"/>
      <c r="GK503" s="9"/>
      <c r="GL503" s="9"/>
      <c r="GM503" s="9"/>
      <c r="GN503" s="9"/>
      <c r="GO503" s="9"/>
      <c r="GP503" s="9"/>
      <c r="GQ503" s="9"/>
      <c r="GR503" s="9"/>
      <c r="GS503" s="9"/>
      <c r="GT503" s="9"/>
      <c r="GU503" s="9"/>
      <c r="GV503" s="9"/>
      <c r="GW503" s="9"/>
      <c r="GX503" s="9"/>
      <c r="GY503" s="9"/>
      <c r="GZ503" s="9"/>
      <c r="HA503" s="9"/>
      <c r="HB503" s="9"/>
      <c r="HC503" s="9"/>
      <c r="HD503" s="9"/>
      <c r="HE503" s="9"/>
      <c r="HF503" s="9"/>
      <c r="HG503" s="9"/>
      <c r="HH503" s="9"/>
      <c r="HI503" s="9"/>
      <c r="HJ503" s="9"/>
      <c r="HK503" s="9"/>
      <c r="HL503" s="9"/>
      <c r="HM503" s="9"/>
      <c r="HN503" s="9"/>
      <c r="HO503" s="9"/>
      <c r="HP503" s="9"/>
      <c r="HQ503" s="9"/>
      <c r="HR503" s="9"/>
      <c r="HS503" s="9"/>
      <c r="HT503" s="9"/>
      <c r="HU503" s="9"/>
      <c r="HV503" s="9"/>
      <c r="HW503" s="9"/>
      <c r="HX503" s="9"/>
      <c r="HY503" s="9"/>
      <c r="HZ503" s="9"/>
      <c r="IA503" s="9"/>
      <c r="IB503" s="9"/>
      <c r="IC503" s="9"/>
      <c r="ID503" s="9"/>
      <c r="IE503" s="9"/>
      <c r="IF503" s="9"/>
      <c r="IG503" s="9"/>
      <c r="IH503" s="9"/>
      <c r="II503" s="9"/>
      <c r="IJ503" s="9"/>
      <c r="IK503" s="9"/>
      <c r="IL503" s="9"/>
      <c r="IM503" s="9"/>
      <c r="IN503" s="9"/>
      <c r="IO503" s="9"/>
      <c r="IP503" s="9"/>
      <c r="IQ503" s="9"/>
      <c r="IR503" s="9"/>
      <c r="IS503" s="9"/>
      <c r="IT503" s="9"/>
      <c r="IU503" s="9"/>
      <c r="IV503" s="9"/>
    </row>
    <row r="504" spans="1:256">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c r="BY504" s="9"/>
      <c r="BZ504" s="9"/>
      <c r="CA504" s="9"/>
      <c r="CB504" s="9"/>
      <c r="CC504" s="9"/>
      <c r="CD504" s="9"/>
      <c r="CE504" s="9"/>
      <c r="CF504" s="9"/>
      <c r="CG504" s="9"/>
      <c r="CH504" s="9"/>
      <c r="CI504" s="9"/>
      <c r="CJ504" s="9"/>
      <c r="CK504" s="9"/>
      <c r="CL504" s="9"/>
      <c r="CM504" s="9"/>
      <c r="CN504" s="9"/>
      <c r="CO504" s="9"/>
      <c r="CP504" s="9"/>
      <c r="CQ504" s="9"/>
      <c r="CR504" s="9"/>
      <c r="CS504" s="9"/>
      <c r="CT504" s="9"/>
      <c r="CU504" s="9"/>
      <c r="CV504" s="9"/>
      <c r="CW504" s="9"/>
      <c r="CX504" s="9"/>
      <c r="CY504" s="9"/>
      <c r="CZ504" s="9"/>
      <c r="DA504" s="9"/>
      <c r="DB504" s="9"/>
      <c r="DC504" s="9"/>
      <c r="DD504" s="9"/>
      <c r="DE504" s="9"/>
      <c r="DF504" s="9"/>
      <c r="DG504" s="9"/>
      <c r="DH504" s="9"/>
      <c r="DI504" s="9"/>
      <c r="DJ504" s="9"/>
      <c r="DK504" s="9"/>
      <c r="DL504" s="9"/>
      <c r="DM504" s="9"/>
      <c r="DN504" s="9"/>
      <c r="DO504" s="9"/>
      <c r="DP504" s="9"/>
      <c r="DQ504" s="9"/>
      <c r="DR504" s="9"/>
      <c r="DS504" s="9"/>
      <c r="DT504" s="9"/>
      <c r="DU504" s="9"/>
      <c r="DV504" s="9"/>
      <c r="DW504" s="9"/>
      <c r="DX504" s="9"/>
      <c r="DY504" s="9"/>
      <c r="DZ504" s="9"/>
      <c r="EA504" s="9"/>
      <c r="EB504" s="9"/>
      <c r="EC504" s="9"/>
      <c r="ED504" s="9"/>
      <c r="EE504" s="9"/>
      <c r="EF504" s="9"/>
      <c r="EG504" s="9"/>
      <c r="EH504" s="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c r="FW504" s="9"/>
      <c r="FX504" s="9"/>
      <c r="FY504" s="9"/>
      <c r="FZ504" s="9"/>
      <c r="GA504" s="9"/>
      <c r="GB504" s="9"/>
      <c r="GC504" s="9"/>
      <c r="GD504" s="9"/>
      <c r="GE504" s="9"/>
      <c r="GF504" s="9"/>
      <c r="GG504" s="9"/>
      <c r="GH504" s="9"/>
      <c r="GI504" s="9"/>
      <c r="GJ504" s="9"/>
      <c r="GK504" s="9"/>
      <c r="GL504" s="9"/>
      <c r="GM504" s="9"/>
      <c r="GN504" s="9"/>
      <c r="GO504" s="9"/>
      <c r="GP504" s="9"/>
      <c r="GQ504" s="9"/>
      <c r="GR504" s="9"/>
      <c r="GS504" s="9"/>
      <c r="GT504" s="9"/>
      <c r="GU504" s="9"/>
      <c r="GV504" s="9"/>
      <c r="GW504" s="9"/>
      <c r="GX504" s="9"/>
      <c r="GY504" s="9"/>
      <c r="GZ504" s="9"/>
      <c r="HA504" s="9"/>
      <c r="HB504" s="9"/>
      <c r="HC504" s="9"/>
      <c r="HD504" s="9"/>
      <c r="HE504" s="9"/>
      <c r="HF504" s="9"/>
      <c r="HG504" s="9"/>
      <c r="HH504" s="9"/>
      <c r="HI504" s="9"/>
      <c r="HJ504" s="9"/>
      <c r="HK504" s="9"/>
      <c r="HL504" s="9"/>
      <c r="HM504" s="9"/>
      <c r="HN504" s="9"/>
      <c r="HO504" s="9"/>
      <c r="HP504" s="9"/>
      <c r="HQ504" s="9"/>
      <c r="HR504" s="9"/>
      <c r="HS504" s="9"/>
      <c r="HT504" s="9"/>
      <c r="HU504" s="9"/>
      <c r="HV504" s="9"/>
      <c r="HW504" s="9"/>
      <c r="HX504" s="9"/>
      <c r="HY504" s="9"/>
      <c r="HZ504" s="9"/>
      <c r="IA504" s="9"/>
      <c r="IB504" s="9"/>
      <c r="IC504" s="9"/>
      <c r="ID504" s="9"/>
      <c r="IE504" s="9"/>
      <c r="IF504" s="9"/>
      <c r="IG504" s="9"/>
      <c r="IH504" s="9"/>
      <c r="II504" s="9"/>
      <c r="IJ504" s="9"/>
      <c r="IK504" s="9"/>
      <c r="IL504" s="9"/>
      <c r="IM504" s="9"/>
      <c r="IN504" s="9"/>
      <c r="IO504" s="9"/>
      <c r="IP504" s="9"/>
      <c r="IQ504" s="9"/>
      <c r="IR504" s="9"/>
      <c r="IS504" s="9"/>
      <c r="IT504" s="9"/>
      <c r="IU504" s="9"/>
      <c r="IV504" s="9"/>
    </row>
    <row r="505" spans="1:256">
      <c r="A505" s="9" t="s">
        <v>823</v>
      </c>
      <c r="B505" s="9" t="s">
        <v>1671</v>
      </c>
      <c r="C505" s="9"/>
      <c r="D505" s="10"/>
      <c r="E505" s="9"/>
      <c r="F505" s="10"/>
      <c r="G505" s="9"/>
      <c r="H505" s="10"/>
      <c r="I505" s="9"/>
      <c r="J505" s="10"/>
      <c r="K505" s="9"/>
      <c r="L505" s="10"/>
      <c r="M505" s="9"/>
      <c r="N505" s="10"/>
      <c r="O505" s="9"/>
      <c r="P505" s="10"/>
      <c r="Q505" s="9"/>
      <c r="R505" s="10"/>
      <c r="S505" s="9"/>
      <c r="T505" s="10"/>
      <c r="U505" s="9"/>
      <c r="V505" s="10"/>
      <c r="W505" s="9"/>
      <c r="X505" s="10"/>
      <c r="Y505" s="9"/>
      <c r="Z505" s="10"/>
      <c r="AA505" s="9"/>
      <c r="AB505" s="10"/>
      <c r="AC505" s="9"/>
      <c r="AD505" s="10"/>
      <c r="AE505" s="9"/>
      <c r="AF505" s="10"/>
      <c r="AG505" s="9"/>
      <c r="AH505" s="10"/>
      <c r="AI505" s="9"/>
      <c r="AJ505" s="10"/>
      <c r="AK505" s="9"/>
      <c r="AL505" s="10"/>
      <c r="AM505" s="9"/>
      <c r="AN505" s="10"/>
      <c r="AO505" s="9"/>
      <c r="AP505" s="10"/>
      <c r="AQ505" s="9"/>
      <c r="AR505" s="10"/>
      <c r="AS505" s="9"/>
      <c r="AT505" s="10"/>
      <c r="AU505" s="9"/>
      <c r="AV505" s="10"/>
      <c r="AW505" s="9"/>
      <c r="AX505" s="10"/>
      <c r="AY505" s="9"/>
      <c r="AZ505" s="10"/>
      <c r="BA505" s="9"/>
      <c r="BB505" s="10"/>
      <c r="BC505" s="9"/>
      <c r="BD505" s="10"/>
      <c r="BE505" s="9"/>
      <c r="BF505" s="10"/>
      <c r="BG505" s="9"/>
      <c r="BH505" s="10"/>
      <c r="BI505" s="9"/>
      <c r="BJ505" s="10"/>
      <c r="BK505" s="9"/>
      <c r="BL505" s="10"/>
      <c r="BM505" s="9"/>
      <c r="BN505" s="10"/>
      <c r="BO505" s="9"/>
      <c r="BP505" s="10"/>
      <c r="BQ505" s="9"/>
      <c r="BR505" s="10"/>
      <c r="BS505" s="9"/>
      <c r="BT505" s="10"/>
      <c r="BU505" s="9"/>
      <c r="BV505" s="10"/>
      <c r="BW505" s="9"/>
      <c r="BX505" s="10"/>
      <c r="BY505" s="9"/>
      <c r="BZ505" s="10"/>
      <c r="CA505" s="9"/>
      <c r="CB505" s="10"/>
      <c r="CC505" s="9"/>
      <c r="CD505" s="10"/>
      <c r="CE505" s="9"/>
      <c r="CF505" s="10"/>
      <c r="CG505" s="9"/>
      <c r="CH505" s="10"/>
      <c r="CI505" s="9"/>
      <c r="CJ505" s="10"/>
      <c r="CK505" s="9"/>
      <c r="CL505" s="10"/>
      <c r="CM505" s="9"/>
      <c r="CN505" s="10"/>
      <c r="CO505" s="9"/>
      <c r="CP505" s="10"/>
      <c r="CQ505" s="9"/>
      <c r="CR505" s="10"/>
      <c r="CS505" s="9"/>
      <c r="CT505" s="10"/>
      <c r="CU505" s="9"/>
      <c r="CV505" s="10"/>
      <c r="CW505" s="9"/>
      <c r="CX505" s="10"/>
      <c r="CY505" s="9"/>
      <c r="CZ505" s="10"/>
      <c r="DA505" s="9"/>
      <c r="DB505" s="10"/>
      <c r="DC505" s="9"/>
      <c r="DD505" s="10"/>
      <c r="DE505" s="9"/>
      <c r="DF505" s="10"/>
      <c r="DG505" s="9"/>
      <c r="DH505" s="10"/>
      <c r="DI505" s="9"/>
      <c r="DJ505" s="10"/>
      <c r="DK505" s="9"/>
      <c r="DL505" s="10"/>
      <c r="DM505" s="9"/>
      <c r="DN505" s="10"/>
      <c r="DO505" s="9"/>
      <c r="DP505" s="10"/>
      <c r="DQ505" s="9"/>
      <c r="DR505" s="10"/>
      <c r="DS505" s="9"/>
      <c r="DT505" s="10"/>
      <c r="DU505" s="9"/>
      <c r="DV505" s="10"/>
      <c r="DW505" s="9"/>
      <c r="DX505" s="10"/>
      <c r="DY505" s="9"/>
      <c r="DZ505" s="10"/>
      <c r="EA505" s="9"/>
      <c r="EB505" s="10"/>
      <c r="EC505" s="9"/>
      <c r="ED505" s="10"/>
      <c r="EE505" s="9"/>
      <c r="EF505" s="10"/>
      <c r="EG505" s="9"/>
      <c r="EH505" s="10"/>
      <c r="EI505" s="9"/>
      <c r="EJ505" s="10"/>
      <c r="EK505" s="9"/>
      <c r="EL505" s="10"/>
      <c r="EM505" s="9"/>
      <c r="EN505" s="10"/>
      <c r="EO505" s="9"/>
      <c r="EP505" s="10"/>
      <c r="EQ505" s="9"/>
      <c r="ER505" s="10"/>
      <c r="ES505" s="9"/>
      <c r="ET505" s="10"/>
      <c r="EU505" s="9"/>
      <c r="EV505" s="10"/>
      <c r="EW505" s="9"/>
      <c r="EX505" s="10"/>
      <c r="EY505" s="9"/>
      <c r="EZ505" s="10"/>
      <c r="FA505" s="9"/>
      <c r="FB505" s="10"/>
      <c r="FC505" s="9"/>
      <c r="FD505" s="10"/>
      <c r="FE505" s="9"/>
      <c r="FF505" s="10"/>
      <c r="FG505" s="9"/>
      <c r="FH505" s="10"/>
      <c r="FI505" s="9"/>
      <c r="FJ505" s="10"/>
      <c r="FK505" s="9"/>
      <c r="FL505" s="10"/>
      <c r="FM505" s="9"/>
      <c r="FN505" s="10"/>
      <c r="FO505" s="9"/>
      <c r="FP505" s="10"/>
      <c r="FQ505" s="9"/>
      <c r="FR505" s="10"/>
      <c r="FS505" s="9"/>
      <c r="FT505" s="10"/>
      <c r="FU505" s="9"/>
      <c r="FV505" s="10"/>
      <c r="FW505" s="9"/>
      <c r="FX505" s="10"/>
      <c r="FY505" s="9"/>
      <c r="FZ505" s="10"/>
      <c r="GA505" s="9"/>
      <c r="GB505" s="10"/>
      <c r="GC505" s="9"/>
      <c r="GD505" s="10"/>
      <c r="GE505" s="9"/>
      <c r="GF505" s="10"/>
      <c r="GG505" s="9"/>
      <c r="GH505" s="10"/>
      <c r="GI505" s="9"/>
      <c r="GJ505" s="10"/>
      <c r="GK505" s="9"/>
      <c r="GL505" s="10"/>
      <c r="GM505" s="9"/>
      <c r="GN505" s="10"/>
      <c r="GO505" s="9"/>
      <c r="GP505" s="10"/>
      <c r="GQ505" s="9"/>
      <c r="GR505" s="10"/>
      <c r="GS505" s="9"/>
      <c r="GT505" s="10"/>
      <c r="GU505" s="9"/>
      <c r="GV505" s="10"/>
      <c r="GW505" s="9"/>
      <c r="GX505" s="10"/>
      <c r="GY505" s="9"/>
      <c r="GZ505" s="10"/>
      <c r="HA505" s="9"/>
      <c r="HB505" s="10"/>
      <c r="HC505" s="9"/>
      <c r="HD505" s="10"/>
      <c r="HE505" s="9"/>
      <c r="HF505" s="10"/>
      <c r="HG505" s="9"/>
      <c r="HH505" s="10"/>
      <c r="HI505" s="9"/>
      <c r="HJ505" s="10"/>
      <c r="HK505" s="9"/>
      <c r="HL505" s="10"/>
      <c r="HM505" s="9"/>
      <c r="HN505" s="10"/>
      <c r="HO505" s="9"/>
      <c r="HP505" s="10"/>
      <c r="HQ505" s="9"/>
      <c r="HR505" s="10"/>
      <c r="HS505" s="9"/>
      <c r="HT505" s="10"/>
      <c r="HU505" s="9"/>
      <c r="HV505" s="10"/>
      <c r="HW505" s="9"/>
      <c r="HX505" s="10"/>
      <c r="HY505" s="9"/>
      <c r="HZ505" s="10"/>
      <c r="IA505" s="9"/>
      <c r="IB505" s="10"/>
      <c r="IC505" s="9"/>
      <c r="ID505" s="10"/>
      <c r="IE505" s="9"/>
      <c r="IF505" s="10"/>
      <c r="IG505" s="9"/>
      <c r="IH505" s="10"/>
      <c r="II505" s="9"/>
      <c r="IJ505" s="10"/>
      <c r="IK505" s="9"/>
      <c r="IL505" s="10"/>
      <c r="IM505" s="9"/>
      <c r="IN505" s="10"/>
      <c r="IO505" s="9"/>
      <c r="IP505" s="10"/>
      <c r="IQ505" s="9"/>
      <c r="IR505" s="10"/>
      <c r="IS505" s="9"/>
      <c r="IT505" s="10"/>
      <c r="IU505" s="9"/>
      <c r="IV505" s="10"/>
    </row>
    <row r="506" spans="1:256">
      <c r="A506" s="9" t="s">
        <v>2246</v>
      </c>
      <c r="B506" s="9" t="s">
        <v>1672</v>
      </c>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E506" s="9"/>
      <c r="BF506" s="9"/>
      <c r="BG506" s="9"/>
      <c r="BH506" s="9"/>
      <c r="BI506" s="9"/>
      <c r="BJ506" s="9"/>
      <c r="BK506" s="9"/>
      <c r="BL506" s="9"/>
      <c r="BM506" s="9"/>
      <c r="BN506" s="9"/>
      <c r="BO506" s="9"/>
      <c r="BP506" s="9"/>
      <c r="BQ506" s="9"/>
      <c r="BR506" s="9"/>
      <c r="BS506" s="9"/>
      <c r="BT506" s="9"/>
      <c r="BU506" s="9"/>
      <c r="BV506" s="9"/>
      <c r="BW506" s="9"/>
      <c r="BX506" s="9"/>
      <c r="BY506" s="9"/>
      <c r="BZ506" s="9"/>
      <c r="CA506" s="9"/>
      <c r="CB506" s="9"/>
      <c r="CC506" s="9"/>
      <c r="CD506" s="9"/>
      <c r="CE506" s="9"/>
      <c r="CF506" s="9"/>
      <c r="CG506" s="9"/>
      <c r="CH506" s="9"/>
      <c r="CI506" s="9"/>
      <c r="CJ506" s="9"/>
      <c r="CK506" s="9"/>
      <c r="CL506" s="9"/>
      <c r="CM506" s="9"/>
      <c r="CN506" s="9"/>
      <c r="CO506" s="9"/>
      <c r="CP506" s="9"/>
      <c r="CQ506" s="9"/>
      <c r="CR506" s="9"/>
      <c r="CS506" s="9"/>
      <c r="CT506" s="9"/>
      <c r="CU506" s="9"/>
      <c r="CV506" s="9"/>
      <c r="CW506" s="9"/>
      <c r="CX506" s="9"/>
      <c r="CY506" s="9"/>
      <c r="CZ506" s="9"/>
      <c r="DA506" s="9"/>
      <c r="DB506" s="9"/>
      <c r="DC506" s="9"/>
      <c r="DD506" s="9"/>
      <c r="DE506" s="9"/>
      <c r="DF506" s="9"/>
      <c r="DG506" s="9"/>
      <c r="DH506" s="9"/>
      <c r="DI506" s="9"/>
      <c r="DJ506" s="9"/>
      <c r="DK506" s="9"/>
      <c r="DL506" s="9"/>
      <c r="DM506" s="9"/>
      <c r="DN506" s="9"/>
      <c r="DO506" s="9"/>
      <c r="DP506" s="9"/>
      <c r="DQ506" s="9"/>
      <c r="DR506" s="9"/>
      <c r="DS506" s="9"/>
      <c r="DT506" s="9"/>
      <c r="DU506" s="9"/>
      <c r="DV506" s="9"/>
      <c r="DW506" s="9"/>
      <c r="DX506" s="9"/>
      <c r="DY506" s="9"/>
      <c r="DZ506" s="9"/>
      <c r="EA506" s="9"/>
      <c r="EB506" s="9"/>
      <c r="EC506" s="9"/>
      <c r="ED506" s="9"/>
      <c r="EE506" s="9"/>
      <c r="EF506" s="9"/>
      <c r="EG506" s="9"/>
      <c r="EH506" s="9"/>
      <c r="EI506" s="9"/>
      <c r="EJ506" s="9"/>
      <c r="EK506" s="9"/>
      <c r="EL506" s="9"/>
      <c r="EM506" s="9"/>
      <c r="EN506" s="9"/>
      <c r="EO506" s="9"/>
      <c r="EP506" s="9"/>
      <c r="EQ506" s="9"/>
      <c r="ER506" s="9"/>
      <c r="ES506" s="9"/>
      <c r="ET506" s="9"/>
      <c r="EU506" s="9"/>
      <c r="EV506" s="9"/>
      <c r="EW506" s="9"/>
      <c r="EX506" s="9"/>
      <c r="EY506" s="9"/>
      <c r="EZ506" s="9"/>
      <c r="FA506" s="9"/>
      <c r="FB506" s="9"/>
      <c r="FC506" s="9"/>
      <c r="FD506" s="9"/>
      <c r="FE506" s="9"/>
      <c r="FF506" s="9"/>
      <c r="FG506" s="9"/>
      <c r="FH506" s="9"/>
      <c r="FI506" s="9"/>
      <c r="FJ506" s="9"/>
      <c r="FK506" s="9"/>
      <c r="FL506" s="9"/>
      <c r="FM506" s="9"/>
      <c r="FN506" s="9"/>
      <c r="FO506" s="9"/>
      <c r="FP506" s="9"/>
      <c r="FQ506" s="9"/>
      <c r="FR506" s="9"/>
      <c r="FS506" s="9"/>
      <c r="FT506" s="9"/>
      <c r="FU506" s="9"/>
      <c r="FV506" s="9"/>
      <c r="FW506" s="9"/>
      <c r="FX506" s="9"/>
      <c r="FY506" s="9"/>
      <c r="FZ506" s="9"/>
      <c r="GA506" s="9"/>
      <c r="GB506" s="9"/>
      <c r="GC506" s="9"/>
      <c r="GD506" s="9"/>
      <c r="GE506" s="9"/>
      <c r="GF506" s="9"/>
      <c r="GG506" s="9"/>
      <c r="GH506" s="9"/>
      <c r="GI506" s="9"/>
      <c r="GJ506" s="9"/>
      <c r="GK506" s="9"/>
      <c r="GL506" s="9"/>
      <c r="GM506" s="9"/>
      <c r="GN506" s="9"/>
      <c r="GO506" s="9"/>
      <c r="GP506" s="9"/>
      <c r="GQ506" s="9"/>
      <c r="GR506" s="9"/>
      <c r="GS506" s="9"/>
      <c r="GT506" s="9"/>
      <c r="GU506" s="9"/>
      <c r="GV506" s="9"/>
      <c r="GW506" s="9"/>
      <c r="GX506" s="9"/>
      <c r="GY506" s="9"/>
      <c r="GZ506" s="9"/>
      <c r="HA506" s="9"/>
      <c r="HB506" s="9"/>
      <c r="HC506" s="9"/>
      <c r="HD506" s="9"/>
      <c r="HE506" s="9"/>
      <c r="HF506" s="9"/>
      <c r="HG506" s="9"/>
      <c r="HH506" s="9"/>
      <c r="HI506" s="9"/>
      <c r="HJ506" s="9"/>
      <c r="HK506" s="9"/>
      <c r="HL506" s="9"/>
      <c r="HM506" s="9"/>
      <c r="HN506" s="9"/>
      <c r="HO506" s="9"/>
      <c r="HP506" s="9"/>
      <c r="HQ506" s="9"/>
      <c r="HR506" s="9"/>
      <c r="HS506" s="9"/>
      <c r="HT506" s="9"/>
      <c r="HU506" s="9"/>
      <c r="HV506" s="9"/>
      <c r="HW506" s="9"/>
      <c r="HX506" s="9"/>
      <c r="HY506" s="9"/>
      <c r="HZ506" s="9"/>
      <c r="IA506" s="9"/>
      <c r="IB506" s="9"/>
      <c r="IC506" s="9"/>
      <c r="ID506" s="9"/>
      <c r="IE506" s="9"/>
      <c r="IF506" s="9"/>
      <c r="IG506" s="9"/>
      <c r="IH506" s="9"/>
      <c r="II506" s="9"/>
      <c r="IJ506" s="9"/>
      <c r="IK506" s="9"/>
      <c r="IL506" s="9"/>
      <c r="IM506" s="9"/>
      <c r="IN506" s="9"/>
      <c r="IO506" s="9"/>
      <c r="IP506" s="9"/>
      <c r="IQ506" s="9"/>
      <c r="IR506" s="9"/>
      <c r="IS506" s="9"/>
      <c r="IT506" s="9"/>
      <c r="IU506" s="9"/>
      <c r="IV506" s="9"/>
    </row>
    <row r="507" spans="1:256">
      <c r="B507" s="9" t="s">
        <v>1241</v>
      </c>
      <c r="C507" s="9"/>
      <c r="D507" s="10"/>
      <c r="E507" s="9"/>
      <c r="F507" s="10"/>
      <c r="G507" s="9"/>
      <c r="H507" s="10"/>
      <c r="I507" s="9"/>
      <c r="J507" s="10"/>
      <c r="K507" s="9"/>
      <c r="L507" s="10"/>
      <c r="M507" s="9"/>
      <c r="N507" s="10"/>
      <c r="O507" s="9"/>
      <c r="P507" s="10"/>
      <c r="Q507" s="9"/>
      <c r="R507" s="10"/>
      <c r="S507" s="9"/>
      <c r="T507" s="10"/>
      <c r="U507" s="9"/>
      <c r="V507" s="10"/>
      <c r="W507" s="9"/>
      <c r="X507" s="10"/>
      <c r="Y507" s="9"/>
      <c r="Z507" s="10"/>
      <c r="AA507" s="9"/>
      <c r="AB507" s="10"/>
      <c r="AC507" s="9"/>
      <c r="AD507" s="10"/>
      <c r="AE507" s="9"/>
      <c r="AF507" s="10"/>
      <c r="AG507" s="9"/>
      <c r="AH507" s="10"/>
      <c r="AI507" s="9"/>
      <c r="AJ507" s="10"/>
      <c r="AK507" s="9"/>
      <c r="AL507" s="10"/>
      <c r="AM507" s="9"/>
      <c r="AN507" s="10"/>
      <c r="AO507" s="9"/>
      <c r="AP507" s="10"/>
      <c r="AQ507" s="9"/>
      <c r="AR507" s="10"/>
      <c r="AS507" s="9"/>
      <c r="AT507" s="10"/>
      <c r="AU507" s="9"/>
      <c r="AV507" s="10"/>
      <c r="AW507" s="9"/>
      <c r="AX507" s="10"/>
      <c r="AY507" s="9"/>
      <c r="AZ507" s="10"/>
      <c r="BA507" s="9"/>
      <c r="BB507" s="10"/>
      <c r="BC507" s="9"/>
      <c r="BD507" s="10"/>
      <c r="BE507" s="9"/>
      <c r="BF507" s="10"/>
      <c r="BG507" s="9"/>
      <c r="BH507" s="10"/>
      <c r="BI507" s="9"/>
      <c r="BJ507" s="10"/>
      <c r="BK507" s="9"/>
      <c r="BL507" s="10"/>
      <c r="BM507" s="9"/>
      <c r="BN507" s="10"/>
      <c r="BO507" s="9"/>
      <c r="BP507" s="10"/>
      <c r="BQ507" s="9"/>
      <c r="BR507" s="10"/>
      <c r="BS507" s="9"/>
      <c r="BT507" s="10"/>
      <c r="BU507" s="9"/>
      <c r="BV507" s="10"/>
      <c r="BW507" s="9"/>
      <c r="BX507" s="10"/>
      <c r="BY507" s="9"/>
      <c r="BZ507" s="10"/>
      <c r="CA507" s="9"/>
      <c r="CB507" s="10"/>
      <c r="CC507" s="9"/>
      <c r="CD507" s="10"/>
      <c r="CE507" s="9"/>
      <c r="CF507" s="10"/>
      <c r="CG507" s="9"/>
      <c r="CH507" s="10"/>
      <c r="CI507" s="9"/>
      <c r="CJ507" s="10"/>
      <c r="CK507" s="9"/>
      <c r="CL507" s="10"/>
      <c r="CM507" s="9"/>
      <c r="CN507" s="10"/>
      <c r="CO507" s="9"/>
      <c r="CP507" s="10"/>
      <c r="CQ507" s="9"/>
      <c r="CR507" s="10"/>
      <c r="CS507" s="9"/>
      <c r="CT507" s="10"/>
      <c r="CU507" s="9"/>
      <c r="CV507" s="10"/>
      <c r="CW507" s="9"/>
      <c r="CX507" s="10"/>
      <c r="CY507" s="9"/>
      <c r="CZ507" s="10"/>
      <c r="DA507" s="9"/>
      <c r="DB507" s="10"/>
      <c r="DC507" s="9"/>
      <c r="DD507" s="10"/>
      <c r="DE507" s="9"/>
      <c r="DF507" s="10"/>
      <c r="DG507" s="9"/>
      <c r="DH507" s="10"/>
      <c r="DI507" s="9"/>
      <c r="DJ507" s="10"/>
      <c r="DK507" s="9"/>
      <c r="DL507" s="10"/>
      <c r="DM507" s="9"/>
      <c r="DN507" s="10"/>
      <c r="DO507" s="9"/>
      <c r="DP507" s="10"/>
      <c r="DQ507" s="9"/>
      <c r="DR507" s="10"/>
      <c r="DS507" s="9"/>
      <c r="DT507" s="10"/>
      <c r="DU507" s="9"/>
      <c r="DV507" s="10"/>
      <c r="DW507" s="9"/>
      <c r="DX507" s="10"/>
      <c r="DY507" s="9"/>
      <c r="DZ507" s="10"/>
      <c r="EA507" s="9"/>
      <c r="EB507" s="10"/>
      <c r="EC507" s="9"/>
      <c r="ED507" s="10"/>
      <c r="EE507" s="9"/>
      <c r="EF507" s="10"/>
      <c r="EG507" s="9"/>
      <c r="EH507" s="10"/>
      <c r="EI507" s="9"/>
      <c r="EJ507" s="10"/>
      <c r="EK507" s="9"/>
      <c r="EL507" s="10"/>
      <c r="EM507" s="9"/>
      <c r="EN507" s="10"/>
      <c r="EO507" s="9"/>
      <c r="EP507" s="10"/>
      <c r="EQ507" s="9"/>
      <c r="ER507" s="10"/>
      <c r="ES507" s="9"/>
      <c r="ET507" s="10"/>
      <c r="EU507" s="9"/>
      <c r="EV507" s="10"/>
      <c r="EW507" s="9"/>
      <c r="EX507" s="10"/>
      <c r="EY507" s="9"/>
      <c r="EZ507" s="10"/>
      <c r="FA507" s="9"/>
      <c r="FB507" s="10"/>
      <c r="FC507" s="9"/>
      <c r="FD507" s="10"/>
      <c r="FE507" s="9"/>
      <c r="FF507" s="10"/>
      <c r="FG507" s="9"/>
      <c r="FH507" s="10"/>
      <c r="FI507" s="9"/>
      <c r="FJ507" s="10"/>
      <c r="FK507" s="9"/>
      <c r="FL507" s="10"/>
      <c r="FM507" s="9"/>
      <c r="FN507" s="10"/>
      <c r="FO507" s="9"/>
      <c r="FP507" s="10"/>
      <c r="FQ507" s="9"/>
      <c r="FR507" s="10"/>
      <c r="FS507" s="9"/>
      <c r="FT507" s="10"/>
      <c r="FU507" s="9"/>
      <c r="FV507" s="10"/>
      <c r="FW507" s="9"/>
      <c r="FX507" s="10"/>
      <c r="FY507" s="9"/>
      <c r="FZ507" s="10"/>
      <c r="GA507" s="9"/>
      <c r="GB507" s="10"/>
      <c r="GC507" s="9"/>
      <c r="GD507" s="10"/>
      <c r="GE507" s="9"/>
      <c r="GF507" s="10"/>
      <c r="GG507" s="9"/>
      <c r="GH507" s="10"/>
      <c r="GI507" s="9"/>
      <c r="GJ507" s="10"/>
      <c r="GK507" s="9"/>
      <c r="GL507" s="10"/>
      <c r="GM507" s="9"/>
      <c r="GN507" s="10"/>
      <c r="GO507" s="9"/>
      <c r="GP507" s="10"/>
      <c r="GQ507" s="9"/>
      <c r="GR507" s="10"/>
      <c r="GS507" s="9"/>
      <c r="GT507" s="10"/>
      <c r="GU507" s="9"/>
      <c r="GV507" s="10"/>
      <c r="GW507" s="9"/>
      <c r="GX507" s="10"/>
      <c r="GY507" s="9"/>
      <c r="GZ507" s="10"/>
      <c r="HA507" s="9"/>
      <c r="HB507" s="10"/>
      <c r="HC507" s="9"/>
      <c r="HD507" s="10"/>
      <c r="HE507" s="9"/>
      <c r="HF507" s="10"/>
      <c r="HG507" s="9"/>
      <c r="HH507" s="10"/>
      <c r="HI507" s="9"/>
      <c r="HJ507" s="10"/>
      <c r="HK507" s="9"/>
      <c r="HL507" s="10"/>
      <c r="HM507" s="9"/>
      <c r="HN507" s="10"/>
      <c r="HO507" s="9"/>
      <c r="HP507" s="10"/>
      <c r="HQ507" s="9"/>
      <c r="HR507" s="10"/>
      <c r="HS507" s="9"/>
      <c r="HT507" s="10"/>
      <c r="HU507" s="9"/>
      <c r="HV507" s="10"/>
      <c r="HW507" s="9"/>
      <c r="HX507" s="10"/>
      <c r="HY507" s="9"/>
      <c r="HZ507" s="10"/>
      <c r="IA507" s="9"/>
      <c r="IB507" s="10"/>
      <c r="IC507" s="9"/>
      <c r="ID507" s="10"/>
      <c r="IE507" s="9"/>
      <c r="IF507" s="10"/>
      <c r="IG507" s="9"/>
      <c r="IH507" s="10"/>
      <c r="II507" s="9"/>
      <c r="IJ507" s="10"/>
      <c r="IK507" s="9"/>
      <c r="IL507" s="10"/>
      <c r="IM507" s="9"/>
      <c r="IN507" s="10"/>
      <c r="IO507" s="9"/>
      <c r="IP507" s="10"/>
      <c r="IQ507" s="9"/>
      <c r="IR507" s="10"/>
      <c r="IS507" s="9"/>
      <c r="IT507" s="10"/>
      <c r="IU507" s="9"/>
      <c r="IV507" s="10"/>
    </row>
    <row r="508" spans="1:256">
      <c r="B508" s="9" t="s">
        <v>2175</v>
      </c>
      <c r="C508" s="9"/>
      <c r="D508" s="10"/>
      <c r="E508" s="9"/>
      <c r="F508" s="10"/>
      <c r="G508" s="9"/>
      <c r="H508" s="10"/>
      <c r="I508" s="9"/>
      <c r="J508" s="10"/>
      <c r="K508" s="9"/>
      <c r="L508" s="10"/>
      <c r="M508" s="9"/>
      <c r="N508" s="10"/>
      <c r="O508" s="9"/>
      <c r="P508" s="10"/>
      <c r="Q508" s="9"/>
      <c r="R508" s="10"/>
      <c r="S508" s="9"/>
      <c r="T508" s="10"/>
      <c r="U508" s="9"/>
      <c r="V508" s="10"/>
      <c r="W508" s="9"/>
      <c r="X508" s="10"/>
      <c r="Y508" s="9"/>
      <c r="Z508" s="10"/>
      <c r="AA508" s="9"/>
      <c r="AB508" s="10"/>
      <c r="AC508" s="9"/>
      <c r="AD508" s="10"/>
      <c r="AE508" s="9"/>
      <c r="AF508" s="10"/>
      <c r="AG508" s="9"/>
      <c r="AH508" s="10"/>
      <c r="AI508" s="9"/>
      <c r="AJ508" s="10"/>
      <c r="AK508" s="9"/>
      <c r="AL508" s="10"/>
      <c r="AM508" s="9"/>
      <c r="AN508" s="10"/>
      <c r="AO508" s="9"/>
      <c r="AP508" s="10"/>
      <c r="AQ508" s="9"/>
      <c r="AR508" s="10"/>
      <c r="AS508" s="9"/>
      <c r="AT508" s="10"/>
      <c r="AU508" s="9"/>
      <c r="AV508" s="10"/>
      <c r="AW508" s="9"/>
      <c r="AX508" s="10"/>
      <c r="AY508" s="9"/>
      <c r="AZ508" s="10"/>
      <c r="BA508" s="9"/>
      <c r="BB508" s="10"/>
      <c r="BC508" s="9"/>
      <c r="BD508" s="10"/>
      <c r="BE508" s="9"/>
      <c r="BF508" s="10"/>
      <c r="BG508" s="9"/>
      <c r="BH508" s="10"/>
      <c r="BI508" s="9"/>
      <c r="BJ508" s="10"/>
      <c r="BK508" s="9"/>
      <c r="BL508" s="10"/>
      <c r="BM508" s="9"/>
      <c r="BN508" s="10"/>
      <c r="BO508" s="9"/>
      <c r="BP508" s="10"/>
      <c r="BQ508" s="9"/>
      <c r="BR508" s="10"/>
      <c r="BS508" s="9"/>
      <c r="BT508" s="10"/>
      <c r="BU508" s="9"/>
      <c r="BV508" s="10"/>
      <c r="BW508" s="9"/>
      <c r="BX508" s="10"/>
      <c r="BY508" s="9"/>
      <c r="BZ508" s="10"/>
      <c r="CA508" s="9"/>
      <c r="CB508" s="10"/>
      <c r="CC508" s="9"/>
      <c r="CD508" s="10"/>
      <c r="CE508" s="9"/>
      <c r="CF508" s="10"/>
      <c r="CG508" s="9"/>
      <c r="CH508" s="10"/>
      <c r="CI508" s="9"/>
      <c r="CJ508" s="10"/>
      <c r="CK508" s="9"/>
      <c r="CL508" s="10"/>
      <c r="CM508" s="9"/>
      <c r="CN508" s="10"/>
      <c r="CO508" s="9"/>
      <c r="CP508" s="10"/>
      <c r="CQ508" s="9"/>
      <c r="CR508" s="10"/>
      <c r="CS508" s="9"/>
      <c r="CT508" s="10"/>
      <c r="CU508" s="9"/>
      <c r="CV508" s="10"/>
      <c r="CW508" s="9"/>
      <c r="CX508" s="10"/>
      <c r="CY508" s="9"/>
      <c r="CZ508" s="10"/>
      <c r="DA508" s="9"/>
      <c r="DB508" s="10"/>
      <c r="DC508" s="9"/>
      <c r="DD508" s="10"/>
      <c r="DE508" s="9"/>
      <c r="DF508" s="10"/>
      <c r="DG508" s="9"/>
      <c r="DH508" s="10"/>
      <c r="DI508" s="9"/>
      <c r="DJ508" s="10"/>
      <c r="DK508" s="9"/>
      <c r="DL508" s="10"/>
      <c r="DM508" s="9"/>
      <c r="DN508" s="10"/>
      <c r="DO508" s="9"/>
      <c r="DP508" s="10"/>
      <c r="DQ508" s="9"/>
      <c r="DR508" s="10"/>
      <c r="DS508" s="9"/>
      <c r="DT508" s="10"/>
      <c r="DU508" s="9"/>
      <c r="DV508" s="10"/>
      <c r="DW508" s="9"/>
      <c r="DX508" s="10"/>
      <c r="DY508" s="9"/>
      <c r="DZ508" s="10"/>
      <c r="EA508" s="9"/>
      <c r="EB508" s="10"/>
      <c r="EC508" s="9"/>
      <c r="ED508" s="10"/>
      <c r="EE508" s="9"/>
      <c r="EF508" s="10"/>
      <c r="EG508" s="9"/>
      <c r="EH508" s="10"/>
      <c r="EI508" s="9"/>
      <c r="EJ508" s="10"/>
      <c r="EK508" s="9"/>
      <c r="EL508" s="10"/>
      <c r="EM508" s="9"/>
      <c r="EN508" s="10"/>
      <c r="EO508" s="9"/>
      <c r="EP508" s="10"/>
      <c r="EQ508" s="9"/>
      <c r="ER508" s="10"/>
      <c r="ES508" s="9"/>
      <c r="ET508" s="10"/>
      <c r="EU508" s="9"/>
      <c r="EV508" s="10"/>
      <c r="EW508" s="9"/>
      <c r="EX508" s="10"/>
      <c r="EY508" s="9"/>
      <c r="EZ508" s="10"/>
      <c r="FA508" s="9"/>
      <c r="FB508" s="10"/>
      <c r="FC508" s="9"/>
      <c r="FD508" s="10"/>
      <c r="FE508" s="9"/>
      <c r="FF508" s="10"/>
      <c r="FG508" s="9"/>
      <c r="FH508" s="10"/>
      <c r="FI508" s="9"/>
      <c r="FJ508" s="10"/>
      <c r="FK508" s="9"/>
      <c r="FL508" s="10"/>
      <c r="FM508" s="9"/>
      <c r="FN508" s="10"/>
      <c r="FO508" s="9"/>
      <c r="FP508" s="10"/>
      <c r="FQ508" s="9"/>
      <c r="FR508" s="10"/>
      <c r="FS508" s="9"/>
      <c r="FT508" s="10"/>
      <c r="FU508" s="9"/>
      <c r="FV508" s="10"/>
      <c r="FW508" s="9"/>
      <c r="FX508" s="10"/>
      <c r="FY508" s="9"/>
      <c r="FZ508" s="10"/>
      <c r="GA508" s="9"/>
      <c r="GB508" s="10"/>
      <c r="GC508" s="9"/>
      <c r="GD508" s="10"/>
      <c r="GE508" s="9"/>
      <c r="GF508" s="10"/>
      <c r="GG508" s="9"/>
      <c r="GH508" s="10"/>
      <c r="GI508" s="9"/>
      <c r="GJ508" s="10"/>
      <c r="GK508" s="9"/>
      <c r="GL508" s="10"/>
      <c r="GM508" s="9"/>
      <c r="GN508" s="10"/>
      <c r="GO508" s="9"/>
      <c r="GP508" s="10"/>
      <c r="GQ508" s="9"/>
      <c r="GR508" s="10"/>
      <c r="GS508" s="9"/>
      <c r="GT508" s="10"/>
      <c r="GU508" s="9"/>
      <c r="GV508" s="10"/>
      <c r="GW508" s="9"/>
      <c r="GX508" s="10"/>
      <c r="GY508" s="9"/>
      <c r="GZ508" s="10"/>
      <c r="HA508" s="9"/>
      <c r="HB508" s="10"/>
      <c r="HC508" s="9"/>
      <c r="HD508" s="10"/>
      <c r="HE508" s="9"/>
      <c r="HF508" s="10"/>
      <c r="HG508" s="9"/>
      <c r="HH508" s="10"/>
      <c r="HI508" s="9"/>
      <c r="HJ508" s="10"/>
      <c r="HK508" s="9"/>
      <c r="HL508" s="10"/>
      <c r="HM508" s="9"/>
      <c r="HN508" s="10"/>
      <c r="HO508" s="9"/>
      <c r="HP508" s="10"/>
      <c r="HQ508" s="9"/>
      <c r="HR508" s="10"/>
      <c r="HS508" s="9"/>
      <c r="HT508" s="10"/>
      <c r="HU508" s="9"/>
      <c r="HV508" s="10"/>
      <c r="HW508" s="9"/>
      <c r="HX508" s="10"/>
      <c r="HY508" s="9"/>
      <c r="HZ508" s="10"/>
      <c r="IA508" s="9"/>
      <c r="IB508" s="10"/>
      <c r="IC508" s="9"/>
      <c r="ID508" s="10"/>
      <c r="IE508" s="9"/>
      <c r="IF508" s="10"/>
      <c r="IG508" s="9"/>
      <c r="IH508" s="10"/>
      <c r="II508" s="9"/>
      <c r="IJ508" s="10"/>
      <c r="IK508" s="9"/>
      <c r="IL508" s="10"/>
      <c r="IM508" s="9"/>
      <c r="IN508" s="10"/>
      <c r="IO508" s="9"/>
      <c r="IP508" s="10"/>
      <c r="IQ508" s="9"/>
      <c r="IR508" s="10"/>
      <c r="IS508" s="9"/>
      <c r="IT508" s="10"/>
      <c r="IU508" s="9"/>
      <c r="IV508" s="10"/>
    </row>
    <row r="509" spans="1:256">
      <c r="B509" s="10" t="s">
        <v>2176</v>
      </c>
      <c r="C509" s="9"/>
      <c r="D509" s="10"/>
      <c r="E509" s="9"/>
      <c r="F509" s="10"/>
      <c r="G509" s="9"/>
      <c r="H509" s="10"/>
      <c r="I509" s="9"/>
      <c r="J509" s="10"/>
      <c r="K509" s="9"/>
      <c r="L509" s="10"/>
      <c r="M509" s="9"/>
      <c r="N509" s="10"/>
      <c r="O509" s="9"/>
      <c r="P509" s="10"/>
      <c r="Q509" s="9"/>
      <c r="R509" s="10"/>
      <c r="S509" s="9"/>
      <c r="T509" s="10"/>
      <c r="U509" s="9"/>
      <c r="V509" s="10"/>
      <c r="W509" s="9"/>
      <c r="X509" s="10"/>
      <c r="Y509" s="9"/>
      <c r="Z509" s="10"/>
      <c r="AA509" s="9"/>
      <c r="AB509" s="10"/>
      <c r="AC509" s="9"/>
      <c r="AD509" s="10"/>
      <c r="AE509" s="9"/>
      <c r="AF509" s="10"/>
      <c r="AG509" s="9"/>
      <c r="AH509" s="10"/>
      <c r="AI509" s="9"/>
      <c r="AJ509" s="10"/>
      <c r="AK509" s="9"/>
      <c r="AL509" s="10"/>
      <c r="AM509" s="9"/>
      <c r="AN509" s="10"/>
      <c r="AO509" s="9"/>
      <c r="AP509" s="10"/>
      <c r="AQ509" s="9"/>
      <c r="AR509" s="10"/>
      <c r="AS509" s="9"/>
      <c r="AT509" s="10"/>
      <c r="AU509" s="9"/>
      <c r="AV509" s="10"/>
      <c r="AW509" s="9"/>
      <c r="AX509" s="10"/>
      <c r="AY509" s="9"/>
      <c r="AZ509" s="10"/>
      <c r="BA509" s="9"/>
      <c r="BB509" s="10"/>
      <c r="BC509" s="9"/>
      <c r="BD509" s="10"/>
      <c r="BE509" s="9"/>
      <c r="BF509" s="10"/>
      <c r="BG509" s="9"/>
      <c r="BH509" s="10"/>
      <c r="BI509" s="9"/>
      <c r="BJ509" s="10"/>
      <c r="BK509" s="9"/>
      <c r="BL509" s="10"/>
      <c r="BM509" s="9"/>
      <c r="BN509" s="10"/>
      <c r="BO509" s="9"/>
      <c r="BP509" s="10"/>
      <c r="BQ509" s="9"/>
      <c r="BR509" s="10"/>
      <c r="BS509" s="9"/>
      <c r="BT509" s="10"/>
      <c r="BU509" s="9"/>
      <c r="BV509" s="10"/>
      <c r="BW509" s="9"/>
      <c r="BX509" s="10"/>
      <c r="BY509" s="9"/>
      <c r="BZ509" s="10"/>
      <c r="CA509" s="9"/>
      <c r="CB509" s="10"/>
      <c r="CC509" s="9"/>
      <c r="CD509" s="10"/>
      <c r="CE509" s="9"/>
      <c r="CF509" s="10"/>
      <c r="CG509" s="9"/>
      <c r="CH509" s="10"/>
      <c r="CI509" s="9"/>
      <c r="CJ509" s="10"/>
      <c r="CK509" s="9"/>
      <c r="CL509" s="10"/>
      <c r="CM509" s="9"/>
      <c r="CN509" s="10"/>
      <c r="CO509" s="9"/>
      <c r="CP509" s="10"/>
      <c r="CQ509" s="9"/>
      <c r="CR509" s="10"/>
      <c r="CS509" s="9"/>
      <c r="CT509" s="10"/>
      <c r="CU509" s="9"/>
      <c r="CV509" s="10"/>
      <c r="CW509" s="9"/>
      <c r="CX509" s="10"/>
      <c r="CY509" s="9"/>
      <c r="CZ509" s="10"/>
      <c r="DA509" s="9"/>
      <c r="DB509" s="10"/>
      <c r="DC509" s="9"/>
      <c r="DD509" s="10"/>
      <c r="DE509" s="9"/>
      <c r="DF509" s="10"/>
      <c r="DG509" s="9"/>
      <c r="DH509" s="10"/>
      <c r="DI509" s="9"/>
      <c r="DJ509" s="10"/>
      <c r="DK509" s="9"/>
      <c r="DL509" s="10"/>
      <c r="DM509" s="9"/>
      <c r="DN509" s="10"/>
      <c r="DO509" s="9"/>
      <c r="DP509" s="10"/>
      <c r="DQ509" s="9"/>
      <c r="DR509" s="10"/>
      <c r="DS509" s="9"/>
      <c r="DT509" s="10"/>
      <c r="DU509" s="9"/>
      <c r="DV509" s="10"/>
      <c r="DW509" s="9"/>
      <c r="DX509" s="10"/>
      <c r="DY509" s="9"/>
      <c r="DZ509" s="10"/>
      <c r="EA509" s="9"/>
      <c r="EB509" s="10"/>
      <c r="EC509" s="9"/>
      <c r="ED509" s="10"/>
      <c r="EE509" s="9"/>
      <c r="EF509" s="10"/>
      <c r="EG509" s="9"/>
      <c r="EH509" s="10"/>
      <c r="EI509" s="9"/>
      <c r="EJ509" s="10"/>
      <c r="EK509" s="9"/>
      <c r="EL509" s="10"/>
      <c r="EM509" s="9"/>
      <c r="EN509" s="10"/>
      <c r="EO509" s="9"/>
      <c r="EP509" s="10"/>
      <c r="EQ509" s="9"/>
      <c r="ER509" s="10"/>
      <c r="ES509" s="9"/>
      <c r="ET509" s="10"/>
      <c r="EU509" s="9"/>
      <c r="EV509" s="10"/>
      <c r="EW509" s="9"/>
      <c r="EX509" s="10"/>
      <c r="EY509" s="9"/>
      <c r="EZ509" s="10"/>
      <c r="FA509" s="9"/>
      <c r="FB509" s="10"/>
      <c r="FC509" s="9"/>
      <c r="FD509" s="10"/>
      <c r="FE509" s="9"/>
      <c r="FF509" s="10"/>
      <c r="FG509" s="9"/>
      <c r="FH509" s="10"/>
      <c r="FI509" s="9"/>
      <c r="FJ509" s="10"/>
      <c r="FK509" s="9"/>
      <c r="FL509" s="10"/>
      <c r="FM509" s="9"/>
      <c r="FN509" s="10"/>
      <c r="FO509" s="9"/>
      <c r="FP509" s="10"/>
      <c r="FQ509" s="9"/>
      <c r="FR509" s="10"/>
      <c r="FS509" s="9"/>
      <c r="FT509" s="10"/>
      <c r="FU509" s="9"/>
      <c r="FV509" s="10"/>
      <c r="FW509" s="9"/>
      <c r="FX509" s="10"/>
      <c r="FY509" s="9"/>
      <c r="FZ509" s="10"/>
      <c r="GA509" s="9"/>
      <c r="GB509" s="10"/>
      <c r="GC509" s="9"/>
      <c r="GD509" s="10"/>
      <c r="GE509" s="9"/>
      <c r="GF509" s="10"/>
      <c r="GG509" s="9"/>
      <c r="GH509" s="10"/>
      <c r="GI509" s="9"/>
      <c r="GJ509" s="10"/>
      <c r="GK509" s="9"/>
      <c r="GL509" s="10"/>
      <c r="GM509" s="9"/>
      <c r="GN509" s="10"/>
      <c r="GO509" s="9"/>
      <c r="GP509" s="10"/>
      <c r="GQ509" s="9"/>
      <c r="GR509" s="10"/>
      <c r="GS509" s="9"/>
      <c r="GT509" s="10"/>
      <c r="GU509" s="9"/>
      <c r="GV509" s="10"/>
      <c r="GW509" s="9"/>
      <c r="GX509" s="10"/>
      <c r="GY509" s="9"/>
      <c r="GZ509" s="10"/>
      <c r="HA509" s="9"/>
      <c r="HB509" s="10"/>
      <c r="HC509" s="9"/>
      <c r="HD509" s="10"/>
      <c r="HE509" s="9"/>
      <c r="HF509" s="10"/>
      <c r="HG509" s="9"/>
      <c r="HH509" s="10"/>
      <c r="HI509" s="9"/>
      <c r="HJ509" s="10"/>
      <c r="HK509" s="9"/>
      <c r="HL509" s="10"/>
      <c r="HM509" s="9"/>
      <c r="HN509" s="10"/>
      <c r="HO509" s="9"/>
      <c r="HP509" s="10"/>
      <c r="HQ509" s="9"/>
      <c r="HR509" s="10"/>
      <c r="HS509" s="9"/>
      <c r="HT509" s="10"/>
      <c r="HU509" s="9"/>
      <c r="HV509" s="10"/>
      <c r="HW509" s="9"/>
      <c r="HX509" s="10"/>
      <c r="HY509" s="9"/>
      <c r="HZ509" s="10"/>
      <c r="IA509" s="9"/>
      <c r="IB509" s="10"/>
      <c r="IC509" s="9"/>
      <c r="ID509" s="10"/>
      <c r="IE509" s="9"/>
      <c r="IF509" s="10"/>
      <c r="IG509" s="9"/>
      <c r="IH509" s="10"/>
      <c r="II509" s="9"/>
      <c r="IJ509" s="10"/>
      <c r="IK509" s="9"/>
      <c r="IL509" s="10"/>
      <c r="IM509" s="9"/>
      <c r="IN509" s="10"/>
      <c r="IO509" s="9"/>
      <c r="IP509" s="10"/>
      <c r="IQ509" s="9"/>
      <c r="IR509" s="10"/>
      <c r="IS509" s="9"/>
      <c r="IT509" s="10"/>
      <c r="IU509" s="9"/>
      <c r="IV509" s="10"/>
    </row>
    <row r="510" spans="1:256">
      <c r="A510" s="9" t="s">
        <v>2247</v>
      </c>
      <c r="B510" s="9" t="s">
        <v>2177</v>
      </c>
    </row>
    <row r="511" spans="1:256">
      <c r="A511" s="9" t="s">
        <v>2178</v>
      </c>
      <c r="B511" s="10" t="s">
        <v>2179</v>
      </c>
    </row>
    <row r="512" spans="1:256">
      <c r="B512" s="10" t="s">
        <v>2180</v>
      </c>
    </row>
    <row r="513" spans="1:10">
      <c r="B513" s="10"/>
    </row>
    <row r="514" spans="1:10">
      <c r="A514" s="9" t="s">
        <v>1670</v>
      </c>
    </row>
    <row r="515" spans="1:10">
      <c r="A515" s="9" t="s">
        <v>2246</v>
      </c>
      <c r="B515" s="9" t="s">
        <v>1669</v>
      </c>
    </row>
    <row r="516" spans="1:10">
      <c r="B516" s="9" t="s">
        <v>2210</v>
      </c>
      <c r="J516" s="10"/>
    </row>
    <row r="517" spans="1:10">
      <c r="A517" s="9" t="s">
        <v>2247</v>
      </c>
      <c r="B517" s="9" t="s">
        <v>161</v>
      </c>
    </row>
    <row r="519" spans="1:10">
      <c r="A519" s="9" t="s">
        <v>1579</v>
      </c>
      <c r="B519" s="9" t="s">
        <v>1580</v>
      </c>
    </row>
    <row r="520" spans="1:10">
      <c r="A520" s="9" t="s">
        <v>1583</v>
      </c>
      <c r="B520" s="9" t="s">
        <v>1584</v>
      </c>
    </row>
    <row r="521" spans="1:10">
      <c r="B521" s="9" t="s">
        <v>1582</v>
      </c>
    </row>
    <row r="522" spans="1:10">
      <c r="B522" s="9" t="s">
        <v>1426</v>
      </c>
    </row>
    <row r="523" spans="1:10">
      <c r="B523" s="9" t="s">
        <v>1715</v>
      </c>
    </row>
    <row r="524" spans="1:10">
      <c r="B524" s="9" t="s">
        <v>1716</v>
      </c>
    </row>
    <row r="525" spans="1:10">
      <c r="B525" s="9" t="s">
        <v>219</v>
      </c>
    </row>
    <row r="526" spans="1:10">
      <c r="B526" s="9" t="s">
        <v>220</v>
      </c>
    </row>
    <row r="527" spans="1:10">
      <c r="B527" s="9" t="s">
        <v>221</v>
      </c>
    </row>
    <row r="529" spans="1:2">
      <c r="A529" s="9" t="s">
        <v>725</v>
      </c>
    </row>
    <row r="530" spans="1:2">
      <c r="A530" s="9" t="s">
        <v>2246</v>
      </c>
      <c r="B530" s="10" t="s">
        <v>724</v>
      </c>
    </row>
    <row r="531" spans="1:2">
      <c r="B531" s="9" t="s">
        <v>936</v>
      </c>
    </row>
    <row r="532" spans="1:2">
      <c r="A532" s="9" t="s">
        <v>1565</v>
      </c>
      <c r="B532" s="9" t="s">
        <v>543</v>
      </c>
    </row>
    <row r="533" spans="1:2">
      <c r="A533" s="9" t="s">
        <v>2247</v>
      </c>
      <c r="B533" s="285" t="s">
        <v>1437</v>
      </c>
    </row>
    <row r="534" spans="1:2">
      <c r="B534" s="10" t="s">
        <v>282</v>
      </c>
    </row>
    <row r="535" spans="1:2">
      <c r="B535" s="10" t="s">
        <v>278</v>
      </c>
    </row>
    <row r="536" spans="1:2">
      <c r="B536" s="10" t="s">
        <v>1759</v>
      </c>
    </row>
    <row r="537" spans="1:2">
      <c r="B537" s="10" t="s">
        <v>1529</v>
      </c>
    </row>
    <row r="538" spans="1:2">
      <c r="B538" s="10" t="s">
        <v>544</v>
      </c>
    </row>
    <row r="539" spans="1:2">
      <c r="B539" s="48" t="s">
        <v>1429</v>
      </c>
    </row>
    <row r="540" spans="1:2">
      <c r="B540" s="126" t="s">
        <v>1428</v>
      </c>
    </row>
    <row r="541" spans="1:2">
      <c r="B541" s="10" t="s">
        <v>280</v>
      </c>
    </row>
    <row r="542" spans="1:2">
      <c r="B542" s="10" t="s">
        <v>547</v>
      </c>
    </row>
    <row r="543" spans="1:2">
      <c r="B543" s="10" t="s">
        <v>281</v>
      </c>
    </row>
    <row r="544" spans="1:2">
      <c r="B544" s="10" t="s">
        <v>1431</v>
      </c>
    </row>
    <row r="545" spans="1:6">
      <c r="B545" s="10" t="s">
        <v>1430</v>
      </c>
    </row>
    <row r="546" spans="1:6">
      <c r="B546" s="10" t="s">
        <v>1530</v>
      </c>
    </row>
    <row r="547" spans="1:6">
      <c r="A547" s="2"/>
      <c r="B547" s="10" t="s">
        <v>279</v>
      </c>
    </row>
    <row r="548" spans="1:6">
      <c r="A548" s="2"/>
      <c r="B548" s="10" t="s">
        <v>726</v>
      </c>
      <c r="F548" s="286"/>
    </row>
    <row r="549" spans="1:6">
      <c r="A549" s="2"/>
      <c r="B549" s="10" t="s">
        <v>545</v>
      </c>
    </row>
    <row r="550" spans="1:6">
      <c r="A550" s="2"/>
      <c r="B550" s="10" t="s">
        <v>1432</v>
      </c>
    </row>
    <row r="551" spans="1:6">
      <c r="A551" s="2"/>
      <c r="B551" s="10" t="s">
        <v>1301</v>
      </c>
    </row>
    <row r="552" spans="1:6">
      <c r="A552" s="2"/>
      <c r="B552" s="10" t="s">
        <v>1436</v>
      </c>
    </row>
    <row r="553" spans="1:6">
      <c r="A553" s="2"/>
      <c r="B553" s="10" t="s">
        <v>277</v>
      </c>
    </row>
    <row r="554" spans="1:6">
      <c r="A554" s="2"/>
      <c r="B554" s="10" t="s">
        <v>1433</v>
      </c>
    </row>
    <row r="555" spans="1:6">
      <c r="A555" s="2"/>
      <c r="B555" s="10" t="s">
        <v>1434</v>
      </c>
    </row>
    <row r="556" spans="1:6">
      <c r="A556" s="2"/>
      <c r="B556" s="10" t="s">
        <v>1435</v>
      </c>
    </row>
    <row r="557" spans="1:6">
      <c r="A557" s="2"/>
      <c r="B557" s="10" t="s">
        <v>1762</v>
      </c>
    </row>
    <row r="558" spans="1:6">
      <c r="A558" s="2"/>
      <c r="B558" s="10" t="s">
        <v>1527</v>
      </c>
    </row>
    <row r="559" spans="1:6">
      <c r="A559" s="2"/>
      <c r="B559" s="10" t="s">
        <v>1524</v>
      </c>
    </row>
    <row r="560" spans="1:6">
      <c r="A560" s="2"/>
      <c r="B560" s="10" t="s">
        <v>1528</v>
      </c>
    </row>
    <row r="561" spans="1:2">
      <c r="A561" s="2"/>
      <c r="B561" s="10" t="s">
        <v>1525</v>
      </c>
    </row>
    <row r="562" spans="1:2">
      <c r="A562" s="2"/>
      <c r="B562" s="10" t="s">
        <v>1526</v>
      </c>
    </row>
    <row r="563" spans="1:2">
      <c r="A563" s="2"/>
      <c r="B563" s="10" t="s">
        <v>1761</v>
      </c>
    </row>
    <row r="564" spans="1:2">
      <c r="A564" s="2"/>
      <c r="B564" s="10" t="s">
        <v>1420</v>
      </c>
    </row>
    <row r="565" spans="1:2">
      <c r="A565" s="2"/>
      <c r="B565" s="10" t="s">
        <v>1765</v>
      </c>
    </row>
    <row r="566" spans="1:2">
      <c r="A566" s="2"/>
      <c r="B566" s="10" t="s">
        <v>1760</v>
      </c>
    </row>
    <row r="567" spans="1:2">
      <c r="A567" s="2"/>
      <c r="B567" s="10" t="s">
        <v>1766</v>
      </c>
    </row>
    <row r="568" spans="1:2">
      <c r="A568" s="2"/>
      <c r="B568" s="10" t="s">
        <v>1764</v>
      </c>
    </row>
    <row r="569" spans="1:2">
      <c r="A569" s="2"/>
      <c r="B569" s="10" t="s">
        <v>1763</v>
      </c>
    </row>
    <row r="570" spans="1:2">
      <c r="A570" s="2"/>
      <c r="B570" s="10" t="s">
        <v>1767</v>
      </c>
    </row>
    <row r="571" spans="1:2">
      <c r="A571" s="2"/>
      <c r="B571" s="10" t="s">
        <v>546</v>
      </c>
    </row>
    <row r="572" spans="1:2">
      <c r="A572" s="2"/>
      <c r="B572" s="10" t="s">
        <v>159</v>
      </c>
    </row>
    <row r="573" spans="1:2">
      <c r="A573" s="2"/>
      <c r="B573" s="10" t="s">
        <v>1421</v>
      </c>
    </row>
    <row r="574" spans="1:2">
      <c r="A574" s="2"/>
      <c r="B574" s="10" t="s">
        <v>1422</v>
      </c>
    </row>
    <row r="575" spans="1:2">
      <c r="A575" s="2"/>
      <c r="B575" s="10" t="s">
        <v>1423</v>
      </c>
    </row>
    <row r="576" spans="1:2">
      <c r="A576" s="2"/>
      <c r="B576" s="10" t="s">
        <v>158</v>
      </c>
    </row>
    <row r="577" spans="1:2">
      <c r="A577" s="2"/>
      <c r="B577" s="10"/>
    </row>
    <row r="578" spans="1:2">
      <c r="A578" s="2"/>
      <c r="B578" s="10"/>
    </row>
    <row r="579" spans="1:2">
      <c r="A579" s="2"/>
      <c r="B579" s="285" t="s">
        <v>542</v>
      </c>
    </row>
    <row r="580" spans="1:2">
      <c r="B580" s="286" t="s">
        <v>548</v>
      </c>
    </row>
    <row r="582" spans="1:2">
      <c r="A582" s="9" t="s">
        <v>1030</v>
      </c>
    </row>
    <row r="583" spans="1:2">
      <c r="A583" s="9" t="s">
        <v>276</v>
      </c>
      <c r="B583" s="9" t="s">
        <v>962</v>
      </c>
    </row>
    <row r="584" spans="1:2">
      <c r="A584" s="9" t="s">
        <v>273</v>
      </c>
      <c r="B584" s="9" t="s">
        <v>962</v>
      </c>
    </row>
    <row r="585" spans="1:2">
      <c r="A585" s="9" t="s">
        <v>1342</v>
      </c>
      <c r="B585" s="9" t="s">
        <v>962</v>
      </c>
    </row>
    <row r="586" spans="1:2">
      <c r="A586" s="9" t="s">
        <v>1564</v>
      </c>
      <c r="B586" s="9" t="s">
        <v>962</v>
      </c>
    </row>
    <row r="587" spans="1:2">
      <c r="A587" s="9" t="s">
        <v>1899</v>
      </c>
      <c r="B587" s="9" t="s">
        <v>2245</v>
      </c>
    </row>
    <row r="588" spans="1:2">
      <c r="A588" s="9" t="s">
        <v>1663</v>
      </c>
      <c r="B588" s="9" t="s">
        <v>2245</v>
      </c>
    </row>
    <row r="589" spans="1:2">
      <c r="A589" s="9" t="s">
        <v>1917</v>
      </c>
      <c r="B589" s="9" t="s">
        <v>2245</v>
      </c>
    </row>
    <row r="590" spans="1:2">
      <c r="A590" s="9" t="s">
        <v>2229</v>
      </c>
      <c r="B590" s="9" t="s">
        <v>962</v>
      </c>
    </row>
    <row r="591" spans="1:2">
      <c r="A591" s="9" t="s">
        <v>806</v>
      </c>
      <c r="B591" s="9" t="s">
        <v>962</v>
      </c>
    </row>
    <row r="592" spans="1:2">
      <c r="A592" s="9" t="s">
        <v>804</v>
      </c>
      <c r="B592" s="9" t="s">
        <v>962</v>
      </c>
    </row>
    <row r="593" spans="1:8">
      <c r="A593" s="9" t="s">
        <v>2073</v>
      </c>
      <c r="B593" s="9" t="s">
        <v>962</v>
      </c>
    </row>
    <row r="594" spans="1:8">
      <c r="A594" s="9" t="s">
        <v>1852</v>
      </c>
      <c r="B594" s="10" t="s">
        <v>962</v>
      </c>
    </row>
    <row r="595" spans="1:8">
      <c r="A595" s="9" t="s">
        <v>1851</v>
      </c>
      <c r="B595" s="9" t="s">
        <v>2245</v>
      </c>
    </row>
    <row r="596" spans="1:8">
      <c r="A596" s="9" t="s">
        <v>1469</v>
      </c>
      <c r="B596" s="9" t="s">
        <v>2245</v>
      </c>
    </row>
    <row r="597" spans="1:8">
      <c r="A597" s="9" t="s">
        <v>819</v>
      </c>
      <c r="B597" s="9" t="s">
        <v>962</v>
      </c>
    </row>
    <row r="598" spans="1:8">
      <c r="A598" s="9" t="s">
        <v>930</v>
      </c>
      <c r="B598" s="9" t="s">
        <v>2245</v>
      </c>
    </row>
    <row r="599" spans="1:8">
      <c r="A599" s="9" t="s">
        <v>929</v>
      </c>
      <c r="B599" s="9" t="s">
        <v>962</v>
      </c>
    </row>
    <row r="600" spans="1:8">
      <c r="A600" s="9" t="s">
        <v>2244</v>
      </c>
      <c r="B600" s="9" t="s">
        <v>962</v>
      </c>
    </row>
    <row r="601" spans="1:8">
      <c r="A601" s="9" t="s">
        <v>2249</v>
      </c>
      <c r="B601" s="9" t="s">
        <v>2245</v>
      </c>
    </row>
    <row r="602" spans="1:8">
      <c r="A602" s="9" t="s">
        <v>2094</v>
      </c>
      <c r="B602" s="9" t="s">
        <v>962</v>
      </c>
    </row>
    <row r="603" spans="1:8">
      <c r="A603" s="9" t="s">
        <v>2095</v>
      </c>
      <c r="B603" s="9" t="s">
        <v>962</v>
      </c>
    </row>
    <row r="604" spans="1:8">
      <c r="A604" s="9" t="s">
        <v>2096</v>
      </c>
      <c r="B604" s="9" t="s">
        <v>962</v>
      </c>
    </row>
    <row r="605" spans="1:8">
      <c r="A605" s="9" t="s">
        <v>2097</v>
      </c>
      <c r="B605" s="9" t="s">
        <v>962</v>
      </c>
    </row>
    <row r="606" spans="1:8">
      <c r="A606" s="9" t="s">
        <v>2098</v>
      </c>
      <c r="B606" s="9" t="s">
        <v>962</v>
      </c>
      <c r="G606" s="10"/>
    </row>
    <row r="607" spans="1:8">
      <c r="A607" s="9" t="s">
        <v>2100</v>
      </c>
      <c r="B607" s="9" t="s">
        <v>2099</v>
      </c>
      <c r="G607" s="10"/>
    </row>
    <row r="608" spans="1:8">
      <c r="A608" s="9" t="s">
        <v>2101</v>
      </c>
      <c r="B608" s="9" t="s">
        <v>2245</v>
      </c>
      <c r="H608" s="2"/>
    </row>
    <row r="609" spans="1:8">
      <c r="A609" s="9" t="s">
        <v>2102</v>
      </c>
      <c r="B609" s="9" t="s">
        <v>2245</v>
      </c>
      <c r="H609" s="2"/>
    </row>
    <row r="610" spans="1:8">
      <c r="A610" s="9" t="s">
        <v>2104</v>
      </c>
      <c r="B610" s="9" t="s">
        <v>2103</v>
      </c>
      <c r="H610" s="2"/>
    </row>
    <row r="611" spans="1:8">
      <c r="A611" s="9" t="s">
        <v>2105</v>
      </c>
      <c r="B611" s="9" t="s">
        <v>962</v>
      </c>
      <c r="H611" s="2"/>
    </row>
    <row r="612" spans="1:8">
      <c r="A612" s="9" t="s">
        <v>2106</v>
      </c>
      <c r="B612" s="9" t="s">
        <v>2245</v>
      </c>
      <c r="H612" s="2"/>
    </row>
    <row r="613" spans="1:8">
      <c r="A613" s="9" t="s">
        <v>2107</v>
      </c>
      <c r="B613" s="9" t="s">
        <v>962</v>
      </c>
    </row>
    <row r="614" spans="1:8">
      <c r="A614" s="9" t="s">
        <v>2108</v>
      </c>
      <c r="B614" s="9" t="s">
        <v>2245</v>
      </c>
      <c r="H614" s="2"/>
    </row>
    <row r="615" spans="1:8">
      <c r="A615" s="9" t="s">
        <v>2109</v>
      </c>
      <c r="B615" s="9" t="s">
        <v>962</v>
      </c>
      <c r="H615" s="2"/>
    </row>
    <row r="616" spans="1:8">
      <c r="A616" s="9" t="s">
        <v>2110</v>
      </c>
      <c r="B616" s="9" t="s">
        <v>962</v>
      </c>
    </row>
    <row r="617" spans="1:8">
      <c r="A617" s="9" t="s">
        <v>2112</v>
      </c>
      <c r="B617" s="9" t="s">
        <v>2111</v>
      </c>
      <c r="H617" s="2"/>
    </row>
    <row r="618" spans="1:8">
      <c r="A618" s="9" t="s">
        <v>2113</v>
      </c>
      <c r="B618" s="9" t="s">
        <v>2245</v>
      </c>
      <c r="G618" s="8"/>
      <c r="H618" s="2"/>
    </row>
    <row r="619" spans="1:8">
      <c r="A619" s="9" t="s">
        <v>2114</v>
      </c>
      <c r="B619" s="9" t="s">
        <v>2111</v>
      </c>
      <c r="H619" s="2"/>
    </row>
    <row r="620" spans="1:8">
      <c r="A620" s="9" t="s">
        <v>2115</v>
      </c>
      <c r="B620" s="9" t="s">
        <v>2245</v>
      </c>
      <c r="H620" s="2"/>
    </row>
    <row r="621" spans="1:8">
      <c r="A621" s="9" t="s">
        <v>2116</v>
      </c>
      <c r="B621" s="9" t="s">
        <v>2245</v>
      </c>
      <c r="H621" s="2"/>
    </row>
    <row r="622" spans="1:8">
      <c r="A622" s="9" t="s">
        <v>2117</v>
      </c>
      <c r="B622" s="9" t="s">
        <v>2111</v>
      </c>
    </row>
    <row r="623" spans="1:8">
      <c r="A623" s="9" t="s">
        <v>2118</v>
      </c>
      <c r="B623" s="9" t="s">
        <v>2245</v>
      </c>
      <c r="H623" s="2"/>
    </row>
    <row r="624" spans="1:8">
      <c r="A624" s="9" t="s">
        <v>2119</v>
      </c>
      <c r="B624" s="9" t="s">
        <v>2111</v>
      </c>
      <c r="H624" s="2"/>
    </row>
    <row r="625" spans="1:8">
      <c r="A625" s="9" t="s">
        <v>2120</v>
      </c>
      <c r="B625" s="9" t="s">
        <v>2245</v>
      </c>
      <c r="H625" s="2"/>
    </row>
    <row r="626" spans="1:8">
      <c r="A626" s="9" t="s">
        <v>2121</v>
      </c>
      <c r="B626" s="9" t="s">
        <v>2245</v>
      </c>
      <c r="H626" s="2"/>
    </row>
    <row r="627" spans="1:8">
      <c r="A627" s="9" t="s">
        <v>2122</v>
      </c>
      <c r="B627" s="9" t="s">
        <v>2245</v>
      </c>
      <c r="H627" s="2"/>
    </row>
    <row r="628" spans="1:8">
      <c r="A628" s="9" t="s">
        <v>2123</v>
      </c>
      <c r="B628" s="9" t="s">
        <v>2245</v>
      </c>
      <c r="H628" s="2"/>
    </row>
    <row r="629" spans="1:8">
      <c r="A629" s="9" t="s">
        <v>2125</v>
      </c>
      <c r="B629" s="9" t="s">
        <v>2124</v>
      </c>
      <c r="H629" s="2"/>
    </row>
    <row r="630" spans="1:8">
      <c r="A630" s="9" t="s">
        <v>2126</v>
      </c>
      <c r="B630" s="9" t="s">
        <v>2245</v>
      </c>
      <c r="H630" s="2"/>
    </row>
    <row r="631" spans="1:8">
      <c r="A631" s="9" t="s">
        <v>2127</v>
      </c>
      <c r="B631" s="9" t="s">
        <v>2124</v>
      </c>
      <c r="H631" s="2"/>
    </row>
    <row r="632" spans="1:8">
      <c r="A632" s="9" t="s">
        <v>2128</v>
      </c>
      <c r="B632" s="9" t="s">
        <v>2245</v>
      </c>
      <c r="H632" s="2"/>
    </row>
    <row r="633" spans="1:8">
      <c r="A633" s="9" t="s">
        <v>2129</v>
      </c>
      <c r="B633" s="9" t="s">
        <v>2245</v>
      </c>
      <c r="H633" s="2"/>
    </row>
    <row r="634" spans="1:8">
      <c r="A634" s="9" t="s">
        <v>2130</v>
      </c>
      <c r="B634" s="9" t="s">
        <v>2245</v>
      </c>
      <c r="H634" s="2"/>
    </row>
    <row r="635" spans="1:8">
      <c r="A635" s="9" t="s">
        <v>2131</v>
      </c>
      <c r="B635" s="9" t="s">
        <v>2124</v>
      </c>
      <c r="H635" s="2"/>
    </row>
    <row r="636" spans="1:8">
      <c r="A636" s="9" t="s">
        <v>2132</v>
      </c>
      <c r="B636" s="9" t="s">
        <v>2245</v>
      </c>
      <c r="H636" s="2"/>
    </row>
    <row r="637" spans="1:8">
      <c r="A637" s="9" t="s">
        <v>2133</v>
      </c>
      <c r="B637" s="9" t="s">
        <v>2245</v>
      </c>
      <c r="H637" s="2"/>
    </row>
    <row r="638" spans="1:8">
      <c r="A638" s="9" t="s">
        <v>2134</v>
      </c>
      <c r="B638" s="2"/>
    </row>
    <row r="639" spans="1:8">
      <c r="A639" s="9" t="s">
        <v>2135</v>
      </c>
      <c r="B639" s="2"/>
      <c r="H639" s="2"/>
    </row>
    <row r="640" spans="1:8">
      <c r="B640" s="2"/>
      <c r="H640" s="2"/>
    </row>
    <row r="641" spans="7:8">
      <c r="H641" s="2"/>
    </row>
    <row r="642" spans="7:8">
      <c r="H642" s="2"/>
    </row>
    <row r="643" spans="7:8">
      <c r="G643" s="11"/>
      <c r="H643" s="2"/>
    </row>
    <row r="644" spans="7:8">
      <c r="G644" s="11"/>
      <c r="H644" s="2"/>
    </row>
    <row r="645" spans="7:8">
      <c r="G645" s="11"/>
      <c r="H645" s="2"/>
    </row>
    <row r="646" spans="7:8">
      <c r="H646" s="2"/>
    </row>
    <row r="647" spans="7:8">
      <c r="H647" s="2"/>
    </row>
    <row r="648" spans="7:8">
      <c r="H648" s="2"/>
    </row>
    <row r="649" spans="7:8">
      <c r="H649" s="2"/>
    </row>
    <row r="650" spans="7:8">
      <c r="H650" s="2"/>
    </row>
    <row r="651" spans="7:8">
      <c r="H651" s="2"/>
    </row>
    <row r="652" spans="7:8">
      <c r="H652" s="2"/>
    </row>
    <row r="654" spans="7:8">
      <c r="H654" s="2"/>
    </row>
    <row r="655" spans="7:8">
      <c r="H655" s="2"/>
    </row>
    <row r="656" spans="7:8">
      <c r="H656" s="2"/>
    </row>
    <row r="658" spans="7:8">
      <c r="H658" s="2"/>
    </row>
    <row r="659" spans="7:8">
      <c r="G659" s="12"/>
      <c r="H659" s="2"/>
    </row>
    <row r="660" spans="7:8">
      <c r="G660" s="287"/>
      <c r="H660" s="2"/>
    </row>
    <row r="661" spans="7:8">
      <c r="G661" s="287"/>
      <c r="H661" s="2"/>
    </row>
    <row r="662" spans="7:8">
      <c r="G662" s="287"/>
      <c r="H662" s="2"/>
    </row>
    <row r="663" spans="7:8">
      <c r="G663" s="287"/>
      <c r="H663" s="2"/>
    </row>
    <row r="664" spans="7:8">
      <c r="G664" s="287"/>
      <c r="H664" s="2"/>
    </row>
    <row r="665" spans="7:8">
      <c r="H665" s="2"/>
    </row>
    <row r="666" spans="7:8">
      <c r="H666" s="2"/>
    </row>
    <row r="667" spans="7:8">
      <c r="H667" s="2"/>
    </row>
    <row r="668" spans="7:8">
      <c r="G668" s="12"/>
      <c r="H668" s="2"/>
    </row>
    <row r="669" spans="7:8">
      <c r="G669" s="12"/>
      <c r="H669" s="2"/>
    </row>
    <row r="670" spans="7:8">
      <c r="H670" s="2"/>
    </row>
    <row r="673" spans="1:8">
      <c r="G673" s="12"/>
    </row>
    <row r="682" spans="1:8">
      <c r="G682" s="9"/>
    </row>
    <row r="683" spans="1:8">
      <c r="G683" s="9"/>
    </row>
    <row r="684" spans="1:8">
      <c r="G684" s="9"/>
    </row>
    <row r="685" spans="1:8">
      <c r="B685" s="8"/>
      <c r="G685" s="9"/>
    </row>
    <row r="686" spans="1:8">
      <c r="A686" s="2"/>
      <c r="H686" s="2"/>
    </row>
    <row r="687" spans="1:8">
      <c r="A687" s="2"/>
      <c r="B687" s="13"/>
      <c r="H687" s="2"/>
    </row>
    <row r="688" spans="1:8">
      <c r="H688" s="2"/>
    </row>
    <row r="689" spans="2:8">
      <c r="B689" s="8"/>
      <c r="H689" s="2"/>
    </row>
    <row r="690" spans="2:8">
      <c r="H690" s="2"/>
    </row>
    <row r="691" spans="2:8">
      <c r="B691" s="8"/>
    </row>
    <row r="692" spans="2:8">
      <c r="H692" s="2"/>
    </row>
    <row r="693" spans="2:8">
      <c r="H693" s="2"/>
    </row>
    <row r="694" spans="2:8">
      <c r="H694" s="2"/>
    </row>
    <row r="695" spans="2:8">
      <c r="H695" s="2"/>
    </row>
    <row r="696" spans="2:8">
      <c r="H696" s="2"/>
    </row>
    <row r="697" spans="2:8">
      <c r="H697" s="2"/>
    </row>
    <row r="698" spans="2:8">
      <c r="H698" s="2"/>
    </row>
    <row r="699" spans="2:8">
      <c r="H699" s="2"/>
    </row>
    <row r="701" spans="2:8">
      <c r="H701" s="2"/>
    </row>
    <row r="702" spans="2:8">
      <c r="H702" s="2"/>
    </row>
    <row r="703" spans="2:8">
      <c r="H703" s="2"/>
    </row>
    <row r="704" spans="2:8">
      <c r="G704" s="9"/>
      <c r="H704" s="2"/>
    </row>
    <row r="705" spans="6:8">
      <c r="H705" s="2"/>
    </row>
    <row r="706" spans="6:8">
      <c r="H706" s="2"/>
    </row>
    <row r="708" spans="6:8">
      <c r="H708" s="2"/>
    </row>
    <row r="709" spans="6:8">
      <c r="H709" s="2"/>
    </row>
    <row r="710" spans="6:8">
      <c r="H710" s="2"/>
    </row>
    <row r="712" spans="6:8">
      <c r="H712" s="2"/>
    </row>
    <row r="713" spans="6:8">
      <c r="F713" s="9"/>
      <c r="G713" s="9"/>
      <c r="H713" s="2"/>
    </row>
    <row r="714" spans="6:8">
      <c r="F714" s="9"/>
      <c r="H714" s="2"/>
    </row>
    <row r="715" spans="6:8">
      <c r="F715" s="9"/>
      <c r="G715" s="9"/>
      <c r="H715" s="2"/>
    </row>
    <row r="716" spans="6:8">
      <c r="H716" s="2"/>
    </row>
    <row r="717" spans="6:8">
      <c r="H717" s="2"/>
    </row>
    <row r="718" spans="6:8">
      <c r="H718" s="2"/>
    </row>
    <row r="720" spans="6:8">
      <c r="H720" s="2"/>
    </row>
    <row r="721" spans="5:8">
      <c r="H721" s="2"/>
    </row>
    <row r="722" spans="5:8">
      <c r="H722" s="2"/>
    </row>
    <row r="723" spans="5:8">
      <c r="H723" s="2"/>
    </row>
    <row r="724" spans="5:8">
      <c r="H724" s="2"/>
    </row>
    <row r="725" spans="5:8">
      <c r="H725" s="2"/>
    </row>
    <row r="726" spans="5:8">
      <c r="H726" s="2"/>
    </row>
    <row r="727" spans="5:8">
      <c r="H727" s="2"/>
    </row>
    <row r="729" spans="5:8">
      <c r="H729" s="2"/>
    </row>
    <row r="730" spans="5:8">
      <c r="H730" s="2"/>
    </row>
    <row r="731" spans="5:8">
      <c r="H731" s="2"/>
    </row>
    <row r="732" spans="5:8">
      <c r="H732" s="2"/>
    </row>
    <row r="734" spans="5:8">
      <c r="F734" s="8"/>
      <c r="H734" s="2"/>
    </row>
    <row r="735" spans="5:8">
      <c r="E735" s="285"/>
      <c r="F735" s="8"/>
      <c r="H735" s="2"/>
    </row>
    <row r="736" spans="5:8">
      <c r="F736" s="8"/>
      <c r="H736" s="2"/>
    </row>
    <row r="737" spans="1:8">
      <c r="F737" s="8"/>
      <c r="H737" s="2"/>
    </row>
    <row r="738" spans="1:8">
      <c r="E738" s="285"/>
      <c r="F738" s="8"/>
      <c r="H738" s="2"/>
    </row>
    <row r="739" spans="1:8">
      <c r="F739" s="8"/>
      <c r="H739" s="2"/>
    </row>
    <row r="740" spans="1:8">
      <c r="F740" s="8"/>
      <c r="H740" s="2"/>
    </row>
    <row r="741" spans="1:8">
      <c r="F741" s="8"/>
      <c r="H741" s="2"/>
    </row>
    <row r="742" spans="1:8">
      <c r="F742" s="8"/>
      <c r="H742" s="2"/>
    </row>
    <row r="743" spans="1:8">
      <c r="F743" s="8"/>
      <c r="H743" s="2"/>
    </row>
    <row r="744" spans="1:8">
      <c r="F744" s="8"/>
      <c r="H744" s="2"/>
    </row>
    <row r="745" spans="1:8">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F754" s="8"/>
      <c r="H754" s="2"/>
    </row>
    <row r="755" spans="1:8">
      <c r="A755" s="2"/>
      <c r="B755" s="2"/>
      <c r="F755" s="8"/>
      <c r="H755" s="2"/>
    </row>
    <row r="756" spans="1:8">
      <c r="A756" s="2"/>
      <c r="B756" s="2"/>
      <c r="F756" s="8"/>
      <c r="H756" s="2"/>
    </row>
    <row r="757" spans="1:8">
      <c r="A757" s="2"/>
      <c r="B757" s="2"/>
      <c r="F757" s="8"/>
      <c r="H757" s="2"/>
    </row>
    <row r="758" spans="1:8">
      <c r="A758" s="2"/>
      <c r="B758" s="2"/>
      <c r="E758" s="8"/>
      <c r="F758" s="8"/>
      <c r="H758" s="2"/>
    </row>
    <row r="759" spans="1:8">
      <c r="A759" s="2"/>
      <c r="B759" s="2"/>
      <c r="E759" s="8"/>
      <c r="F759" s="8"/>
      <c r="H759" s="2"/>
    </row>
    <row r="760" spans="1:8">
      <c r="A760" s="2"/>
      <c r="B760" s="2"/>
      <c r="E760" s="8"/>
      <c r="F760" s="8"/>
      <c r="H760" s="2"/>
    </row>
    <row r="761" spans="1:8">
      <c r="A761" s="2"/>
      <c r="B761" s="2"/>
      <c r="C761" s="8"/>
      <c r="E761" s="8"/>
      <c r="F761" s="8"/>
      <c r="H761" s="2"/>
    </row>
    <row r="762" spans="1:8">
      <c r="A762" s="2"/>
      <c r="B762" s="2"/>
      <c r="C762" s="8"/>
      <c r="E762" s="8"/>
      <c r="F762" s="8"/>
      <c r="H762" s="2"/>
    </row>
    <row r="763" spans="1:8">
      <c r="A763" s="2"/>
      <c r="B763" s="2"/>
      <c r="C763" s="8"/>
      <c r="E763" s="8"/>
      <c r="F763" s="8"/>
      <c r="H763" s="2"/>
    </row>
    <row r="764" spans="1:8">
      <c r="A764" s="2"/>
      <c r="B764" s="2"/>
      <c r="C764" s="8"/>
      <c r="D764" s="8"/>
      <c r="E764" s="8"/>
      <c r="F764" s="8"/>
      <c r="H764" s="2"/>
    </row>
    <row r="765" spans="1:8">
      <c r="A765" s="2"/>
      <c r="B765" s="2"/>
      <c r="C765" s="8"/>
      <c r="E765" s="8"/>
      <c r="F765" s="14"/>
      <c r="H765" s="2"/>
    </row>
    <row r="766" spans="1:8">
      <c r="A766" s="2"/>
      <c r="B766" s="2"/>
      <c r="C766" s="8"/>
      <c r="E766" s="8"/>
      <c r="F766" s="14"/>
      <c r="H766" s="2"/>
    </row>
    <row r="767" spans="1:8">
      <c r="A767" s="2"/>
      <c r="B767" s="2"/>
      <c r="C767" s="8"/>
      <c r="F767" s="14"/>
      <c r="H767" s="2"/>
    </row>
    <row r="768" spans="1:8">
      <c r="B768" s="2"/>
      <c r="C768" s="8"/>
      <c r="F768" s="8"/>
      <c r="H768" s="2"/>
    </row>
    <row r="769" spans="3:8">
      <c r="C769" s="8"/>
      <c r="F769" s="8"/>
      <c r="H769" s="2"/>
    </row>
    <row r="770" spans="3:8">
      <c r="F770" s="8"/>
      <c r="H770" s="2"/>
    </row>
    <row r="771" spans="3:8">
      <c r="F771" s="8"/>
      <c r="H771" s="2"/>
    </row>
    <row r="772" spans="3:8">
      <c r="F772" s="8"/>
      <c r="H772" s="2"/>
    </row>
    <row r="773" spans="3:8">
      <c r="F773" s="8"/>
      <c r="H773" s="2"/>
    </row>
    <row r="774" spans="3:8">
      <c r="F774" s="8"/>
      <c r="H774" s="2"/>
    </row>
    <row r="775" spans="3:8">
      <c r="F775" s="8"/>
      <c r="H775" s="2"/>
    </row>
    <row r="776" spans="3:8">
      <c r="D776" s="8"/>
      <c r="F776" s="8"/>
      <c r="H776" s="2"/>
    </row>
    <row r="777" spans="3:8">
      <c r="D777" s="8"/>
      <c r="F777" s="8"/>
      <c r="H777" s="2"/>
    </row>
    <row r="778" spans="3:8">
      <c r="D778" s="8"/>
      <c r="F778" s="8"/>
      <c r="H778" s="2"/>
    </row>
    <row r="779" spans="3:8">
      <c r="D779" s="8"/>
      <c r="F779" s="8"/>
      <c r="H779"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0.38767520323377935</v>
      </c>
      <c r="M1" s="1454"/>
      <c r="N1" s="105" t="s">
        <v>1214</v>
      </c>
      <c r="O1" s="18"/>
      <c r="P1" s="490"/>
      <c r="Q1" s="490"/>
      <c r="R1" s="490"/>
      <c r="S1" s="491"/>
      <c r="T1" s="1118"/>
      <c r="U1" s="1119" t="s">
        <v>3042</v>
      </c>
      <c r="V1" s="1120"/>
      <c r="W1" s="1120"/>
      <c r="X1" s="1121"/>
      <c r="Y1" s="1122"/>
      <c r="Z1" s="27"/>
      <c r="AD1" s="1339"/>
      <c r="AE1" s="1339"/>
      <c r="AF1" s="1339"/>
    </row>
    <row r="2" spans="1:32" ht="13.5" thickBot="1">
      <c r="A2" s="1453"/>
      <c r="B2" s="1109" t="s">
        <v>1137</v>
      </c>
      <c r="C2" s="1110">
        <f>SUM('Damage Calc'!J2:J7)</f>
        <v>999.76072302481953</v>
      </c>
      <c r="D2" s="1111">
        <f>C2/$C$6</f>
        <v>0.6454990163924762</v>
      </c>
      <c r="E2" s="1440" t="str">
        <f>cycle</f>
        <v>Cycle: 1s/5r   SnD Slack: 1.31</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4"/>
      <c r="AD3" s="1339"/>
      <c r="AE3" s="1339"/>
      <c r="AF3" s="1339"/>
    </row>
    <row r="4" spans="1:32">
      <c r="A4" s="642"/>
      <c r="B4" s="1115" t="s">
        <v>2141</v>
      </c>
      <c r="C4" s="1116">
        <f>'Damage Calc'!J10+'Damage Calc'!J11+'Damage Calc'!J12</f>
        <v>119.41394881236066</v>
      </c>
      <c r="D4" s="1117">
        <f>C4/$C$6</f>
        <v>7.7100034765025194E-2</v>
      </c>
      <c r="E4" s="1450">
        <f>3524+INT(F143)*10</f>
        <v>9674</v>
      </c>
      <c r="F4" s="1451"/>
      <c r="G4" s="1414">
        <f>(1+'Gear &amp; Buffs'!$P$143/(hasterate*100))</f>
        <v>1.098864696979942</v>
      </c>
      <c r="H4" s="1414"/>
      <c r="I4" s="1443">
        <f>ap</f>
        <v>3151.8007204290034</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4"/>
      <c r="AD4" s="1339"/>
      <c r="AE4" s="1339"/>
      <c r="AF4" s="1339"/>
    </row>
    <row r="5" spans="1:32" ht="13.5" thickBot="1">
      <c r="A5" s="642"/>
      <c r="B5" s="1112" t="s">
        <v>2142</v>
      </c>
      <c r="C5" s="1113">
        <f>'Damage Calc'!J13+'Damage Calc'!J14+'Damage Calc'!J15+'Damage Calc'!J9</f>
        <v>107.10215665609692</v>
      </c>
      <c r="D5" s="1114">
        <f>C5/$C$6</f>
        <v>6.9150882989136159E-2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4"/>
      <c r="AD5" s="1339"/>
      <c r="AE5" s="1339"/>
      <c r="AF5" s="1339"/>
    </row>
    <row r="6" spans="1:32" ht="13.5" thickBot="1">
      <c r="A6" s="642"/>
      <c r="B6" s="1131" t="s">
        <v>2144</v>
      </c>
      <c r="C6" s="1132">
        <f>'Damage Calc'!J16</f>
        <v>1548.8183523690223</v>
      </c>
      <c r="D6" s="1133">
        <f>D2+D3+D4+D5</f>
        <v>0.99999999999999989</v>
      </c>
      <c r="E6" s="1434">
        <f>((E143/agicrit+G143/crrate)/100)+bwrath+(CharLevel-BossLevel)*bosscrit*5-IF(BossLevel*5-CharLevel*5&gt;10, 1.8%, 0)</f>
        <v>0.21803272356810921</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0.37577520323377933</v>
      </c>
      <c r="M6" s="1413"/>
      <c r="N6" s="105" t="s">
        <v>2143</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1176</v>
      </c>
      <c r="L7" s="1422">
        <f>Talents!H8</f>
        <v>0.4637752032337793</v>
      </c>
      <c r="M7" s="1423"/>
      <c r="N7" s="105" t="s">
        <v>1175</v>
      </c>
      <c r="O7" s="62"/>
      <c r="P7" s="488"/>
      <c r="Q7" s="488"/>
      <c r="R7" s="488"/>
      <c r="S7" s="488"/>
      <c r="T7" s="1130"/>
      <c r="U7" s="1127"/>
      <c r="V7" s="1127"/>
      <c r="W7" s="1127"/>
      <c r="X7" s="1127" t="s">
        <v>75</v>
      </c>
      <c r="Y7" s="1128" t="b">
        <v>1</v>
      </c>
      <c r="Z7" s="1314"/>
      <c r="AD7" s="1339"/>
      <c r="AE7" s="1339"/>
      <c r="AF7" s="1339"/>
    </row>
    <row r="8" spans="1:32" ht="22.5" customHeight="1" thickBot="1">
      <c r="A8" s="644"/>
      <c r="B8" s="34" t="s">
        <v>3080</v>
      </c>
      <c r="C8" s="1312">
        <f>C6-C7</f>
        <v>0</v>
      </c>
      <c r="D8" s="1313">
        <f>C8/$C$6</f>
        <v>0</v>
      </c>
      <c r="M8" s="35"/>
      <c r="N8" s="634"/>
      <c r="O8" s="635"/>
      <c r="R8" s="205" t="s">
        <v>274</v>
      </c>
      <c r="Y8" s="281" t="b">
        <v>1</v>
      </c>
      <c r="AD8" s="1339"/>
      <c r="AE8" s="1339"/>
      <c r="AF8" s="1339"/>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9"/>
      <c r="AE9" s="1339"/>
      <c r="AF9" s="1339"/>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1227</v>
      </c>
      <c r="B11" s="608" t="s">
        <v>1228</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522</v>
      </c>
      <c r="B17" s="608" t="s">
        <v>1228</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9"/>
      <c r="AE25" s="122"/>
      <c r="AF25" s="1342"/>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773</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9"/>
      <c r="AE31" s="122"/>
      <c r="AF31" s="1342"/>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9"/>
      <c r="AE34" s="122"/>
      <c r="AF34" s="1342"/>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9"/>
      <c r="AE37" s="122"/>
      <c r="AF37" s="1342"/>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9"/>
      <c r="AE38" s="122"/>
      <c r="AF38" s="1342"/>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1"/>
      <c r="AE41" s="122"/>
      <c r="AF41" s="1342"/>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1"/>
      <c r="AE44" s="122"/>
      <c r="AF44" s="1342"/>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1"/>
      <c r="AE46" s="122"/>
      <c r="AF46" s="1342"/>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1"/>
      <c r="AE52" s="122"/>
      <c r="AF52" s="1342"/>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1"/>
      <c r="AE53" s="122"/>
      <c r="AF53" s="1342"/>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1"/>
      <c r="AE59" s="1341"/>
      <c r="AF59" s="1343"/>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1"/>
      <c r="AE60" s="1341"/>
      <c r="AF60" s="1343"/>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2"/>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2"/>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2">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2">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2">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2">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2">
        <f>$D70*dpsStr+$E70*dpsAgi+$G70*dpsCrit+$H70*dpsHit+$I70*dpsAP+$L70*dpsExp+$P70*dpsHaste+$Q70*dpsArmor+VLOOKUP($B70,TrinketStats,23,FALSE)</f>
        <v>383.01956481837374</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9"/>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9"/>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1"/>
      <c r="AE74" s="1341"/>
      <c r="AF74" s="1341"/>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32" t="s">
        <v>1941</v>
      </c>
      <c r="C78" s="1433"/>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1"/>
      <c r="AE79" s="1341"/>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9"/>
      <c r="AE95" s="1339"/>
      <c r="AF95" s="1339"/>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556</v>
      </c>
      <c r="B98" s="164">
        <v>0</v>
      </c>
      <c r="C98" s="57"/>
      <c r="D98" s="58"/>
      <c r="E98" s="49"/>
      <c r="F98" s="49"/>
      <c r="G98" s="49">
        <f>IF(Talents!O36="No",B98*5*crrate,0)</f>
        <v>0</v>
      </c>
      <c r="H98" s="49"/>
      <c r="I98" s="49"/>
      <c r="AD98" s="1339"/>
      <c r="AE98" s="1339"/>
      <c r="AF98" s="1339"/>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2228</v>
      </c>
      <c r="B103" s="164">
        <v>0</v>
      </c>
      <c r="C103" s="57">
        <v>3</v>
      </c>
      <c r="D103" s="58"/>
      <c r="E103" s="49"/>
      <c r="F103" s="49"/>
      <c r="G103" s="49"/>
      <c r="H103" s="49"/>
      <c r="I103" s="49"/>
      <c r="AD103" s="1339"/>
      <c r="AE103" s="1339"/>
      <c r="AF103" s="1339"/>
    </row>
    <row r="104" spans="1:32">
      <c r="A104" s="631" t="s">
        <v>535</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536</v>
      </c>
      <c r="B105" s="164">
        <v>1</v>
      </c>
      <c r="C105" s="57">
        <v>5</v>
      </c>
      <c r="D105" s="61"/>
      <c r="E105" s="59"/>
      <c r="F105" s="59"/>
      <c r="G105" s="49"/>
      <c r="H105" s="49"/>
      <c r="I105" s="49">
        <f>IF(Talents!O36="No",B105*220*(1+$C105*0.04),0)</f>
        <v>264</v>
      </c>
      <c r="AD105" s="1339"/>
      <c r="AE105" s="1339"/>
      <c r="AF105" s="1339"/>
    </row>
    <row r="106" spans="1:32">
      <c r="A106" s="631" t="s">
        <v>2886</v>
      </c>
      <c r="B106" s="164">
        <v>0</v>
      </c>
      <c r="C106" s="57">
        <v>2</v>
      </c>
      <c r="D106" s="58"/>
      <c r="E106" s="49"/>
      <c r="F106" s="49"/>
      <c r="G106" s="49"/>
      <c r="H106" s="49"/>
      <c r="I106" s="49"/>
      <c r="AD106" s="1339"/>
      <c r="AE106" s="1339"/>
      <c r="AF106" s="1339"/>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537</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538</v>
      </c>
      <c r="B109" s="164">
        <v>1</v>
      </c>
      <c r="C109" s="57">
        <v>2</v>
      </c>
      <c r="D109" s="58">
        <f>IF(Talents!O36="No",B109*86*IF($C109=2,1.15,IF($C109=1,1.08,1)),0)</f>
        <v>98.899999999999991</v>
      </c>
      <c r="E109" s="49"/>
      <c r="F109" s="49"/>
      <c r="G109" s="49"/>
      <c r="H109" s="49"/>
      <c r="I109" s="49"/>
      <c r="AD109" s="1339"/>
      <c r="AE109" s="1339"/>
      <c r="AF109" s="1339"/>
    </row>
    <row r="110" spans="1:32">
      <c r="A110" s="885" t="s">
        <v>539</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540</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9"/>
      <c r="AE116" s="1339"/>
      <c r="AF116" s="1339"/>
    </row>
    <row r="117" spans="1:32">
      <c r="A117" s="60" t="s">
        <v>1327</v>
      </c>
      <c r="B117" s="164">
        <v>1</v>
      </c>
      <c r="C117" s="57"/>
      <c r="D117" s="49"/>
      <c r="E117" s="49"/>
      <c r="F117" s="49"/>
      <c r="G117" s="49"/>
      <c r="H117" s="49"/>
      <c r="I117" s="49">
        <f>IF(Talents!O36="No",B117*120,0)</f>
        <v>120</v>
      </c>
      <c r="P117" s="49"/>
      <c r="Q117" s="49"/>
      <c r="AD117" s="1339"/>
      <c r="AE117" s="1339"/>
      <c r="AF117" s="1339"/>
    </row>
    <row r="118" spans="1:32">
      <c r="A118" s="60" t="s">
        <v>1332</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1328</v>
      </c>
      <c r="B122" s="164">
        <v>0</v>
      </c>
      <c r="C122" s="57"/>
      <c r="D122" s="49"/>
      <c r="E122" s="49"/>
      <c r="F122" s="49">
        <f>IF(Talents!O36="No",B122*-10,0)</f>
        <v>0</v>
      </c>
      <c r="G122" s="49"/>
      <c r="H122" s="49"/>
      <c r="I122" s="49">
        <f>IF(Talents!O36="No",B122*90,0)</f>
        <v>0</v>
      </c>
      <c r="P122" s="49"/>
      <c r="Q122" s="49"/>
      <c r="AD122" s="1339"/>
      <c r="AE122" s="1339"/>
      <c r="AF122" s="1339"/>
    </row>
    <row r="123" spans="1:32">
      <c r="A123" s="60" t="s">
        <v>1329</v>
      </c>
      <c r="B123" s="164">
        <v>0</v>
      </c>
      <c r="C123" s="57"/>
      <c r="D123" s="49"/>
      <c r="E123" s="49"/>
      <c r="F123" s="49"/>
      <c r="G123" s="49"/>
      <c r="H123" s="49"/>
      <c r="I123" s="49">
        <f>IF(Talents!O36="No",B123*60,0)</f>
        <v>0</v>
      </c>
      <c r="P123" s="49"/>
      <c r="Q123" s="49"/>
      <c r="AD123" s="1339"/>
      <c r="AE123" s="1339"/>
      <c r="AF123" s="1339"/>
    </row>
    <row r="124" spans="1:32">
      <c r="A124" s="60" t="s">
        <v>1326</v>
      </c>
      <c r="B124" s="164">
        <v>0</v>
      </c>
      <c r="C124" s="57"/>
      <c r="D124" s="49"/>
      <c r="E124" s="49">
        <f>IF(Talents!O36="No",B124*25,0)</f>
        <v>0</v>
      </c>
      <c r="F124" s="49"/>
      <c r="G124" s="49"/>
      <c r="H124" s="49"/>
      <c r="I124" s="49"/>
      <c r="P124" s="49"/>
      <c r="Q124" s="49"/>
      <c r="AD124" s="1339"/>
      <c r="AE124" s="1339"/>
      <c r="AF124" s="1339"/>
    </row>
    <row r="125" spans="1:32">
      <c r="A125" s="872" t="s">
        <v>2883</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1901</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1902</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1324</v>
      </c>
      <c r="B132" s="164">
        <v>1</v>
      </c>
      <c r="C132" s="57"/>
      <c r="E132" s="49">
        <f>IF(Talents!O36="No",B132*20,0)</f>
        <v>20</v>
      </c>
      <c r="F132" s="49"/>
      <c r="G132" s="49"/>
      <c r="H132" s="49"/>
      <c r="I132" s="49"/>
      <c r="T132" s="31"/>
      <c r="AD132" s="1339"/>
      <c r="AE132" s="1339"/>
      <c r="AF132" s="1339"/>
    </row>
    <row r="133" spans="1:32">
      <c r="A133" s="60" t="s">
        <v>1325</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1333</v>
      </c>
      <c r="B135" s="164">
        <v>1</v>
      </c>
      <c r="C135" s="57"/>
      <c r="D135" s="49"/>
      <c r="E135" s="49"/>
      <c r="F135" s="49"/>
      <c r="G135" s="49"/>
      <c r="H135" s="49"/>
      <c r="I135" s="49"/>
      <c r="P135" s="23">
        <f>IF(Talents!O36="No",IF(time=0, B135*400*15/120, 0),0)</f>
        <v>0</v>
      </c>
      <c r="Q135" s="49"/>
      <c r="AD135" s="1339"/>
      <c r="AE135" s="1339"/>
      <c r="AF135" s="1339"/>
    </row>
    <row r="136" spans="1:32">
      <c r="A136" s="60" t="s">
        <v>1331</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1330</v>
      </c>
      <c r="B137" s="164">
        <v>0</v>
      </c>
      <c r="C137" s="57"/>
      <c r="D137" s="49"/>
      <c r="E137" s="49"/>
      <c r="F137" s="49"/>
      <c r="G137" s="49"/>
      <c r="H137" s="49"/>
      <c r="I137" s="49">
        <f>IF(AND(Talents!O36="No",B136=0),IF(time=0, B137*60*30/120, 0),0)</f>
        <v>0</v>
      </c>
      <c r="P137" s="49"/>
      <c r="Q137" s="49"/>
      <c r="AD137" s="1339"/>
      <c r="AE137" s="1339"/>
      <c r="AF137" s="1339"/>
    </row>
    <row r="138" spans="1:32">
      <c r="A138" s="60" t="s">
        <v>1334</v>
      </c>
      <c r="B138" s="164">
        <v>1</v>
      </c>
      <c r="C138" s="57"/>
      <c r="D138" s="49"/>
      <c r="E138" s="49"/>
      <c r="F138" s="49"/>
      <c r="G138" s="49"/>
      <c r="H138" s="49"/>
      <c r="I138" s="49"/>
      <c r="P138" s="15"/>
      <c r="Q138" s="49"/>
      <c r="AD138" s="1339"/>
      <c r="AE138" s="1339"/>
      <c r="AF138" s="1339"/>
    </row>
    <row r="139" spans="1:32">
      <c r="A139" s="60" t="s">
        <v>1335</v>
      </c>
      <c r="B139" s="164">
        <v>0</v>
      </c>
      <c r="C139" s="57"/>
      <c r="D139" s="49"/>
      <c r="E139" s="49"/>
      <c r="F139" s="49"/>
      <c r="G139" s="49"/>
      <c r="H139" s="49"/>
      <c r="I139" s="49"/>
      <c r="P139" s="15"/>
      <c r="Q139" s="49"/>
      <c r="AD139" s="1339"/>
      <c r="AE139" s="1339"/>
      <c r="AF139" s="1339"/>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27" t="s">
        <v>3043</v>
      </c>
      <c r="C143" s="1428"/>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1678</v>
      </c>
      <c r="Q145" s="15"/>
      <c r="R145" s="15"/>
      <c r="S145" s="15"/>
      <c r="AD145" s="1339"/>
      <c r="AE145" s="1339"/>
      <c r="AF145" s="1339"/>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9"/>
      <c r="AE146" s="1339"/>
      <c r="AF146" s="1339"/>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9"/>
      <c r="AE147" s="1339"/>
      <c r="AF147" s="1339"/>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9"/>
      <c r="AE148" s="1339"/>
      <c r="AF148" s="1339"/>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9"/>
      <c r="AE149" s="1339"/>
      <c r="AF149" s="1339"/>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9"/>
      <c r="AE150" s="1339"/>
      <c r="AF150" s="1339"/>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9"/>
      <c r="AE151" s="1339"/>
      <c r="AF151" s="1339"/>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9"/>
      <c r="AE152" s="1339"/>
      <c r="AF152" s="1339"/>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9"/>
      <c r="AE153" s="1339"/>
      <c r="AF153" s="1339"/>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9"/>
      <c r="AE154" s="1339"/>
      <c r="AF154" s="1339"/>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9"/>
      <c r="AE155" s="1339"/>
      <c r="AF155" s="1339"/>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9"/>
      <c r="AE156" s="1339"/>
      <c r="AF156" s="1339"/>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9"/>
      <c r="AE157" s="1339"/>
      <c r="AF157" s="1339"/>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9"/>
      <c r="AE158" s="1339"/>
      <c r="AF158" s="1339"/>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9"/>
      <c r="AE159" s="1339"/>
      <c r="AF159" s="1339"/>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9"/>
      <c r="AE160" s="1339"/>
      <c r="AF160" s="1339"/>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9"/>
      <c r="AE161" s="1339"/>
      <c r="AF161" s="1339"/>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9"/>
      <c r="AE162" s="1339"/>
      <c r="AF162" s="1339"/>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9"/>
      <c r="AE163" s="1339"/>
      <c r="AF163" s="1339"/>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9"/>
      <c r="AE164" s="1339"/>
      <c r="AF164" s="1339"/>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9"/>
      <c r="AE165" s="1339"/>
      <c r="AF165" s="1339"/>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9"/>
      <c r="AE166" s="1339"/>
      <c r="AF166" s="1339"/>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9"/>
      <c r="AE167" s="1339"/>
      <c r="AF167" s="1339"/>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9"/>
      <c r="AE168" s="1339"/>
      <c r="AF168" s="1339"/>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1.31</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3151.8007204290034</v>
      </c>
      <c r="G2" s="906" t="s">
        <v>598</v>
      </c>
      <c r="H2" s="1015">
        <f>hp</f>
        <v>9674</v>
      </c>
      <c r="I2" s="1555"/>
      <c r="J2" s="1556"/>
      <c r="K2" s="1557"/>
      <c r="L2" s="907"/>
      <c r="M2" s="1512" t="s">
        <v>2319</v>
      </c>
      <c r="N2" s="1513"/>
      <c r="O2" s="1023" t="str">
        <f>ROUND(SUM('Damage Calc'!$J$2:$J$7),2)&amp;"  "</f>
        <v xml:space="preserve">999.76  </v>
      </c>
      <c r="P2" s="1506" t="str">
        <f>ROUND(SUM('Damage Calc'!$J$2:$J$7)/'Damage Calc'!$J$16*100,0)&amp;"%  "</f>
        <v xml:space="preserve">65%  </v>
      </c>
      <c r="Q2" s="1507"/>
    </row>
    <row r="3" spans="1:26" ht="12.75" customHeight="1">
      <c r="A3" s="1536" t="s">
        <v>1537</v>
      </c>
      <c r="B3" s="1548">
        <f>'Damage Calc'!$J$16</f>
        <v>1548.8183523690223</v>
      </c>
      <c r="C3" s="1548"/>
      <c r="D3" s="1549"/>
      <c r="E3" s="1011" t="s">
        <v>594</v>
      </c>
      <c r="F3" s="1012">
        <f>'Damage Calc'!Q2-Talents!F4</f>
        <v>0.26956097560975611</v>
      </c>
      <c r="G3" s="1011" t="s">
        <v>599</v>
      </c>
      <c r="H3" s="1012">
        <f>dodge</f>
        <v>0.37577520323377933</v>
      </c>
      <c r="I3" s="1558" t="s">
        <v>2315</v>
      </c>
      <c r="J3" s="1469"/>
      <c r="K3" s="1470"/>
      <c r="L3" s="1016">
        <f>CEILING(($F$4*100)*(10*conv),1)</f>
        <v>1</v>
      </c>
      <c r="M3" s="1525" t="str">
        <f>"  "&amp;instatklng&amp;" DPS"</f>
        <v xml:space="preserve">  Sinister Strike DPS</v>
      </c>
      <c r="N3" s="1526"/>
      <c r="O3" s="1080" t="str">
        <f>ROUND('Damage Calc'!$J$8,2)&amp;"  "</f>
        <v xml:space="preserve">322.54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119.41  </v>
      </c>
      <c r="P4" s="1510" t="str">
        <f>ROUND(('Damage Calc'!$J$10+'Damage Calc'!$J$11+'Damage Calc'!$J$12)/'Damage Calc'!$J$16*100,0)&amp;"%  "</f>
        <v xml:space="preserve">8%  </v>
      </c>
      <c r="Q4" s="1511"/>
    </row>
    <row r="5" spans="1:26" ht="12.75" customHeight="1" thickBot="1">
      <c r="A5" s="1008" t="s">
        <v>1136</v>
      </c>
      <c r="B5" s="1538">
        <f>'Gear &amp; Buffs'!$C$7</f>
        <v>1548.8183523690223</v>
      </c>
      <c r="C5" s="1538"/>
      <c r="D5" s="1539"/>
      <c r="E5" s="1011" t="s">
        <v>596</v>
      </c>
      <c r="F5" s="1012">
        <f>bMHcrit</f>
        <v>0.21803272356810921</v>
      </c>
      <c r="G5" s="1081" t="s">
        <v>1320</v>
      </c>
      <c r="H5" s="1012">
        <f>('Gear &amp; Buffs'!J143/(25*conv)+Talents!I17)/100</f>
        <v>0</v>
      </c>
      <c r="I5" s="1468"/>
      <c r="J5" s="1469"/>
      <c r="K5" s="1470"/>
      <c r="L5" s="1020"/>
      <c r="M5" s="1529" t="s">
        <v>2321</v>
      </c>
      <c r="N5" s="1530"/>
      <c r="O5" s="1082" t="str">
        <f>ROUND('Damage Calc'!$J$13+'Damage Calc'!$J$14+'Damage Calc'!$J$15+'Damage Calc'!$J$9,2)&amp;"  "</f>
        <v xml:space="preserve">107.1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1548.82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1548.82  </v>
      </c>
      <c r="P7" s="1473"/>
      <c r="Q7" s="1474"/>
    </row>
    <row r="8" spans="1:26" ht="12.75" customHeight="1" thickBot="1">
      <c r="A8" s="1518"/>
      <c r="B8" s="1519"/>
      <c r="C8" s="1519"/>
      <c r="D8" s="1520"/>
      <c r="E8" s="1013" t="s">
        <v>597</v>
      </c>
      <c r="F8" s="1078">
        <f>'Damage Calc'!$Q$42</f>
        <v>4010</v>
      </c>
      <c r="G8" s="1013" t="s">
        <v>2166</v>
      </c>
      <c r="H8" s="1014">
        <f>H3+H6+H7</f>
        <v>0.4637752032337793</v>
      </c>
      <c r="I8" s="1488" t="s">
        <v>1177</v>
      </c>
      <c r="J8" s="1489"/>
      <c r="K8" s="1490"/>
      <c r="L8" s="1079">
        <f>B3*0.71</f>
        <v>1099.6610301820058</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6" t="s">
        <v>2861</v>
      </c>
      <c r="L14" s="1055"/>
      <c r="M14" s="1055"/>
      <c r="N14" s="1377"/>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6" t="s">
        <v>833</v>
      </c>
      <c r="L15" s="1055"/>
      <c r="M15" s="1055"/>
      <c r="N15" s="1377"/>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8" t="s">
        <v>1296</v>
      </c>
      <c r="L16" s="1055"/>
      <c r="M16" s="1055"/>
      <c r="N16" s="1377"/>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6" t="s">
        <v>1211</v>
      </c>
      <c r="L17" s="1055"/>
      <c r="M17" s="1055"/>
      <c r="N17" s="1377"/>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7"/>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7"/>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7"/>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2"/>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2"/>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2"/>
      <c r="O31" s="1071" t="s">
        <v>750</v>
      </c>
    </row>
    <row r="32" spans="1:22" ht="12.75" customHeight="1">
      <c r="A32" s="935"/>
      <c r="B32" s="934"/>
      <c r="C32" s="934"/>
      <c r="D32" s="937" t="s">
        <v>2222</v>
      </c>
      <c r="E32" s="938"/>
      <c r="F32" s="926">
        <v>3</v>
      </c>
      <c r="G32" s="935"/>
      <c r="H32" s="934"/>
      <c r="I32" s="939"/>
      <c r="K32" s="1306" t="s">
        <v>3192</v>
      </c>
      <c r="L32" s="1045"/>
      <c r="M32" s="1045"/>
      <c r="N32" s="1379"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1548.8183523690223</v>
      </c>
      <c r="H1" s="1562"/>
      <c r="I1" s="1563"/>
    </row>
    <row r="2" spans="2:10" ht="13.5" customHeight="1" thickBot="1">
      <c r="B2" s="1561"/>
      <c r="F2" s="1560"/>
      <c r="G2" s="1564"/>
      <c r="H2" s="1564"/>
      <c r="I2" s="1565"/>
    </row>
    <row r="3" spans="2:10">
      <c r="B3" s="888">
        <v>1</v>
      </c>
      <c r="F3" s="1008" t="s">
        <v>1136</v>
      </c>
      <c r="G3" s="1538">
        <f>'Gear &amp; Buffs'!$C$7</f>
        <v>1548.8183523690223</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2.61904200675243</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566.12396308928703</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0.78196727643189079</v>
      </c>
      <c r="U3" s="93">
        <f>T3/T5</f>
        <v>0.78196727643189079</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574</v>
      </c>
      <c r="O4" s="33">
        <f>P4*(P1/(1-P1))*(1-Qrec)+P4</f>
        <v>35</v>
      </c>
      <c r="P4" s="33">
        <f>35-as4p*10</f>
        <v>35</v>
      </c>
      <c r="Q4" s="33"/>
      <c r="R4" s="33" t="s">
        <v>575</v>
      </c>
      <c r="S4" s="33">
        <f>185+40*dm2p</f>
        <v>185</v>
      </c>
      <c r="T4" s="92">
        <f>fincrit</f>
        <v>0.21803272356810921</v>
      </c>
      <c r="U4" s="93">
        <f>T4/T5</f>
        <v>0.21803272356810921</v>
      </c>
      <c r="V4" s="1177" t="s">
        <v>1543</v>
      </c>
      <c r="W4" s="1178"/>
      <c r="X4" s="1182">
        <f>VLOOKUP($X$2,CHOOSE({1,2},AG56:AG284,D56:D284),2,FALSE)/VLOOKUP($X$2,CHOOSE({1,2},AG56:AG284,Q56:Q284),2,FALSE)</f>
        <v>6.2135506262640652E-2</v>
      </c>
      <c r="Y4" s="1182">
        <f>IF($W$15&gt;1, X4/$W$15, X4)</f>
        <v>6.2135506262640652E-2</v>
      </c>
      <c r="Z4" s="1179"/>
      <c r="AA4" s="1178" t="s">
        <v>1544</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1.2180327235681092</v>
      </c>
      <c r="Q5" s="33"/>
      <c r="R5" s="33" t="s">
        <v>577</v>
      </c>
      <c r="S5" s="90">
        <f>(ohavg+ap/APtoDPS*OHnorm)*(instactualhit+(1+((leth*0.06+2)-1)*(cfact-1))*instactualcrit)*(1+sa*0.1)*(0.5+0.05*dws)+avipdam</f>
        <v>836.54594007521439</v>
      </c>
      <c r="T5" s="92">
        <f>T4+T3</f>
        <v>1</v>
      </c>
      <c r="U5" s="91"/>
      <c r="V5" s="1177" t="s">
        <v>1545</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796.46746752105105</v>
      </c>
      <c r="P6" s="33"/>
      <c r="Q6" s="33"/>
      <c r="R6" s="33" t="s">
        <v>581</v>
      </c>
      <c r="S6" s="90">
        <f>(1.5+talSCallInstBon)*(MHavg+ap/APtoDPS*MHnorm+170)*(instactualhit+(1+((leth*0.06+2)-1)*(cfact-1))*instactualcrit)*(1+sa*0.1+0.04*opp+0.02*agg+Slayer4value-1)</f>
        <v>2057.4573835135416</v>
      </c>
      <c r="T6" s="92">
        <f>insthit</f>
        <v>0.76632793090325291</v>
      </c>
      <c r="U6" s="93">
        <f>T6/T8</f>
        <v>0.78196727643189079</v>
      </c>
      <c r="V6" s="1177" t="s">
        <v>1546</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1264.4451346815633</v>
      </c>
      <c r="P7" s="90">
        <f>O7/O2</f>
        <v>31.482627845221852</v>
      </c>
      <c r="Q7" s="33" t="s">
        <v>583</v>
      </c>
      <c r="R7" s="33" t="s">
        <v>584</v>
      </c>
      <c r="S7" s="90">
        <f>(MHavg+ap/APtoDPS*MHnorm+98)*(instactualhit+(1+((leth*0.06+2)-1)*(cfact-1))*instactualcrit)*(1+sa*0.1+0.02*agg+Slayer4value-1)</f>
        <v>1264.4451346815633</v>
      </c>
      <c r="T7" s="92">
        <f>instcrit</f>
        <v>0.21367206909674702</v>
      </c>
      <c r="U7" s="93">
        <f>T7/T8</f>
        <v>0.21803272356810921</v>
      </c>
      <c r="V7" s="1177" t="s">
        <v>1548</v>
      </c>
      <c r="W7" s="1178"/>
      <c r="X7" s="1179">
        <f>VLOOKUP($X$2,CHOOSE({1,2},AG56:AG284,AA56:AA284),2,FALSE)</f>
        <v>1756.4321729029607</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12.435708673419096</v>
      </c>
      <c r="I8" s="86"/>
      <c r="J8" s="86"/>
      <c r="N8" s="32"/>
      <c r="O8" s="98"/>
      <c r="P8" s="33"/>
      <c r="Q8" s="33"/>
      <c r="R8" s="33" t="s">
        <v>585</v>
      </c>
      <c r="S8" s="90">
        <f>Slayer4value*(MHavg+ap/APtoDPS*MHnorm)*(1.1+talSCallInstBon)*(instactualhit+(1+((leth*0.06+2)-1)*(cfact-1))*instactualcrit)+420*(1+raidcrit)*debuffon</f>
        <v>1585.6876942482338</v>
      </c>
      <c r="T8" s="92">
        <f>T6+T7</f>
        <v>0.98</v>
      </c>
      <c r="U8" s="91"/>
      <c r="V8" s="1184" t="s">
        <v>1549</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586</v>
      </c>
      <c r="S9" s="90">
        <f>((MHavg+ap/APtoDPS*MHspd)*1.25)*(instactualhit+(1+((leth*0.06+2)-1)*(cfact-1))*instactualcrit)</f>
        <v>1277.5618382144733</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650.4045836705352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918.14286015580331</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1136</v>
      </c>
      <c r="M51" s="1574" t="s">
        <v>3103</v>
      </c>
      <c r="N51" s="1574"/>
    </row>
    <row r="52" spans="2:43" ht="30">
      <c r="B52" s="1367" t="s">
        <v>338</v>
      </c>
      <c r="C52" s="1367"/>
      <c r="D52" s="1367"/>
      <c r="E52" s="1367"/>
      <c r="F52" s="1367"/>
      <c r="G52" s="1367"/>
      <c r="H52" s="1367"/>
      <c r="I52" s="1368" t="s">
        <v>1537</v>
      </c>
      <c r="J52" s="1369">
        <f>'Damage Calc'!$J$16</f>
        <v>1548.8183523690223</v>
      </c>
      <c r="K52" s="1368"/>
      <c r="L52" s="1370">
        <f>'Gear &amp; Buffs'!$C$7</f>
        <v>1548.8183523690223</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5" t="s">
        <v>332</v>
      </c>
      <c r="H54" s="424" t="s">
        <v>1894</v>
      </c>
      <c r="I54" s="425" t="s">
        <v>1894</v>
      </c>
      <c r="J54" s="422" t="s">
        <v>2298</v>
      </c>
      <c r="K54" s="422" t="s">
        <v>1012</v>
      </c>
      <c r="L54" s="424" t="s">
        <v>1894</v>
      </c>
      <c r="M54" s="426" t="s">
        <v>1894</v>
      </c>
      <c r="N54" s="422" t="s">
        <v>126</v>
      </c>
      <c r="O54" s="422" t="s">
        <v>1188</v>
      </c>
      <c r="P54" s="1375" t="s">
        <v>332</v>
      </c>
      <c r="Q54" s="427" t="s">
        <v>1024</v>
      </c>
      <c r="R54" s="428" t="s">
        <v>126</v>
      </c>
      <c r="S54" s="428" t="s">
        <v>1188</v>
      </c>
      <c r="T54" s="1375" t="s">
        <v>332</v>
      </c>
      <c r="U54" s="428" t="s">
        <v>126</v>
      </c>
      <c r="V54" s="428" t="s">
        <v>1188</v>
      </c>
      <c r="W54" s="1375"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5"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1" t="s">
        <v>3147</v>
      </c>
    </row>
    <row r="2" spans="1:7">
      <c r="A2" s="6" t="s">
        <v>1937</v>
      </c>
      <c r="B2" s="371">
        <v>0.29170504818160159</v>
      </c>
      <c r="C2" s="371">
        <v>0.30902309031775205</v>
      </c>
      <c r="D2" s="371">
        <f>10/(20+1/('Damage Calc'!I80*'Damage Calc'!L80))</f>
        <v>0.30902309031775205</v>
      </c>
      <c r="E2" s="120">
        <f>IF(OR(trinket1="Dragonspine Trophy",trinket2="Dragonspine Trophy"),325*(D2-itDSTup)*dpsHaste,0)</f>
        <v>0</v>
      </c>
      <c r="F2" s="6" t="s">
        <v>2306</v>
      </c>
      <c r="G2" s="504" t="s">
        <v>3148</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2307</v>
      </c>
      <c r="G3" s="504" t="s">
        <v>3146</v>
      </c>
    </row>
    <row r="4" spans="1:7">
      <c r="A4" s="6" t="s">
        <v>990</v>
      </c>
      <c r="B4" s="371">
        <v>0.40234326580194024</v>
      </c>
      <c r="C4" s="371">
        <v>0.40511784417923696</v>
      </c>
      <c r="D4" s="371">
        <f>20/(45+1/('Damage Calc'!K47*10%))</f>
        <v>0.40511784417923696</v>
      </c>
      <c r="E4" s="120">
        <f>IF(OR(trinket1="Shard of Contempt",trinket2="Shard of Contempt"),230*(D4-itSoCup)*dpsAP,0)</f>
        <v>0</v>
      </c>
      <c r="F4" s="6" t="s">
        <v>2308</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2310</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2311</v>
      </c>
      <c r="G6" s="504" t="s">
        <v>3151</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2307</v>
      </c>
      <c r="G7" s="504" t="s">
        <v>3149</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2307</v>
      </c>
      <c r="G8" s="504" t="s">
        <v>3150</v>
      </c>
    </row>
    <row r="9" spans="1:7">
      <c r="A9" s="6" t="s">
        <v>1927</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2307</v>
      </c>
      <c r="G9" s="504"/>
    </row>
    <row r="10" spans="1:7">
      <c r="A10" s="6" t="s">
        <v>1928</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2307</v>
      </c>
      <c r="G10" s="504" t="s">
        <v>3145</v>
      </c>
    </row>
    <row r="11" spans="1:7" ht="12" thickBot="1">
      <c r="A11" s="6" t="s">
        <v>1929</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2307</v>
      </c>
      <c r="G11" s="505"/>
    </row>
    <row r="12" spans="1:7">
      <c r="A12" s="6" t="s">
        <v>1719</v>
      </c>
      <c r="B12" s="371">
        <v>0.15286968379242344</v>
      </c>
      <c r="C12" s="371">
        <v>0.14602269986939131</v>
      </c>
      <c r="D12" s="371">
        <f>10/(50+1/('Damage Calc'!K58*10%))</f>
        <v>0.14602269986939131</v>
      </c>
      <c r="E12" s="120">
        <f>IF(OR(trinket1="Hourglass of the Unraveller",trinket2="Hourglass of the Unraveller"),300*(D12-itHGup)*dpsAP,0)</f>
        <v>0</v>
      </c>
      <c r="F12" s="6" t="s">
        <v>2875</v>
      </c>
    </row>
    <row r="13" spans="1:7">
      <c r="A13" s="6" t="s">
        <v>523</v>
      </c>
      <c r="B13" s="371">
        <v>0.20773092034110976</v>
      </c>
      <c r="C13" s="371">
        <v>0.20871495942358367</v>
      </c>
      <c r="D13" s="371">
        <f>10/(45+1/('Damage Calc'!K47*15%))</f>
        <v>0.20871495942358367</v>
      </c>
      <c r="E13" s="120">
        <f>IF(Neck="Shattered Sun Pendant of Might (Aldor)",200*(D13-itSSPMAup)*dpsAP,0)</f>
        <v>0</v>
      </c>
      <c r="F13" s="6" t="s">
        <v>2871</v>
      </c>
    </row>
    <row r="14" spans="1:7">
      <c r="A14" s="6" t="s">
        <v>2312</v>
      </c>
      <c r="B14" s="217">
        <v>48.139198457212096</v>
      </c>
      <c r="C14" s="217">
        <v>47.912234118806786</v>
      </c>
      <c r="D14" s="217">
        <f>(45+1/('Damage Calc'!K47*15%))</f>
        <v>47.912234118806786</v>
      </c>
      <c r="E14" s="120">
        <v>0</v>
      </c>
      <c r="F14" s="6" t="s">
        <v>2871</v>
      </c>
    </row>
    <row r="15" spans="1:7">
      <c r="A15" s="6" t="s">
        <v>525</v>
      </c>
      <c r="B15" s="371">
        <v>0.20773092034110976</v>
      </c>
      <c r="C15" s="371">
        <v>0.20871495942358367</v>
      </c>
      <c r="D15" s="371">
        <f>10/(45+1/('Damage Calc'!K47*15%))</f>
        <v>0.20871495942358367</v>
      </c>
      <c r="E15" s="120">
        <v>0</v>
      </c>
      <c r="F15" s="6" t="s">
        <v>2871</v>
      </c>
    </row>
    <row r="16" spans="1:7">
      <c r="A16" s="6" t="s">
        <v>524</v>
      </c>
      <c r="B16" s="371">
        <v>0.20773092034110976</v>
      </c>
      <c r="C16" s="371">
        <v>0.20871495942358367</v>
      </c>
      <c r="D16" s="371">
        <f>10/(45+1/('Damage Calc'!K47*15%))</f>
        <v>0.20871495942358367</v>
      </c>
      <c r="E16" s="120">
        <f>IF(Neck="Shattered Sun Pendant of Resolve (Scryer)",100*(D16-itSSPRSup)*dpsExp,0)</f>
        <v>0</v>
      </c>
      <c r="F16" s="6" t="s">
        <v>2871</v>
      </c>
    </row>
    <row r="17" spans="1:6">
      <c r="A17" s="6" t="s">
        <v>1133</v>
      </c>
      <c r="B17" s="371">
        <v>0.52329256506102406</v>
      </c>
      <c r="C17" s="371">
        <v>0.56902948800672781</v>
      </c>
      <c r="D17" s="371">
        <f>1-(1-'Damage Calc'!L48)^(15*'Damage Calc'!I48)-IF(time=0,0,(1-'Damage Calc'!L48)^(15*'Damage Calc'!I48)*0.5*15/time)</f>
        <v>0.56902948800672781</v>
      </c>
      <c r="E17" s="120">
        <f>IF('Gear &amp; Buffs'!B11="Crusader",60*(D17-enCrMHup)*dpsStr,0)</f>
        <v>0</v>
      </c>
      <c r="F17" s="6" t="s">
        <v>2307</v>
      </c>
    </row>
    <row r="18" spans="1:6">
      <c r="A18" s="6" t="s">
        <v>1134</v>
      </c>
      <c r="B18" s="371">
        <v>0.29969713673447618</v>
      </c>
      <c r="C18" s="371">
        <v>0.31396701321178316</v>
      </c>
      <c r="D18" s="371">
        <f>1-(1-'Damage Calc'!L49)^(15*'Damage Calc'!I49)-IF(time=0,0,(1-'Damage Calc'!L49)^(15*'Damage Calc'!I49)*0.5*15/time)</f>
        <v>0.31396701321178316</v>
      </c>
      <c r="E18" s="120">
        <f>IF('Gear &amp; Buffs'!B17="Crusader",60*(D18-enCrOHup)*dpsStr,0)</f>
        <v>0</v>
      </c>
      <c r="F18" s="6" t="s">
        <v>2307</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2059</v>
      </c>
      <c r="B22" s="371">
        <v>0.25646610678141257</v>
      </c>
      <c r="C22" s="371">
        <v>0.28581479372015589</v>
      </c>
      <c r="D22" s="371">
        <f>1-(1-'Damage Calc'!L48)^(6*'Damage Calc'!I48)-IF(time=0,0,(1-'Damage Calc'!L48)^(6*'Damage Calc'!I48)*0.5*6/time)</f>
        <v>0.28581479372015589</v>
      </c>
      <c r="E22" s="120">
        <v>0</v>
      </c>
      <c r="F22" s="6" t="s">
        <v>2307</v>
      </c>
    </row>
    <row r="23" spans="1:6">
      <c r="A23" s="6" t="s">
        <v>2060</v>
      </c>
      <c r="B23" s="371">
        <v>0.13280980102516837</v>
      </c>
      <c r="C23" s="371">
        <v>0.14130375871058107</v>
      </c>
      <c r="D23" s="371">
        <f>1-(1-'Damage Calc'!L49)^(6*'Damage Calc'!I49)-IF(time=0,0,(1-'Damage Calc'!L48)^(6*'Damage Calc'!I48)*0.5*6/time)</f>
        <v>0.14130375871058107</v>
      </c>
      <c r="E23" s="120">
        <v>0</v>
      </c>
      <c r="F23" s="6" t="s">
        <v>2307</v>
      </c>
    </row>
    <row r="24" spans="1:6">
      <c r="A24" s="6" t="s">
        <v>2061</v>
      </c>
      <c r="B24" s="371">
        <v>0.35478080629916287</v>
      </c>
      <c r="C24" s="371">
        <v>0.39027144934557584</v>
      </c>
      <c r="D24" s="371">
        <f>1-(1-'Damage Calc'!L47)^(6*'Damage Calc'!I47)-IF(time=0,0,(1-'Damage Calc'!L48)^(6*'Damage Calc'!I48)*0.5*6/time)</f>
        <v>0.39027144934557584</v>
      </c>
      <c r="E24" s="120">
        <v>0</v>
      </c>
      <c r="F24" s="6" t="s">
        <v>2307</v>
      </c>
    </row>
    <row r="25" spans="1:6">
      <c r="A25" s="6" t="s">
        <v>2063</v>
      </c>
      <c r="B25" s="371">
        <v>4.8388681306019823E-2</v>
      </c>
      <c r="C25" s="371">
        <v>5.6524395587759318E-2</v>
      </c>
      <c r="D25" s="371">
        <f>'Damage Calc'!L48*'Damage Calc'!I48</f>
        <v>5.6524395587759318E-2</v>
      </c>
      <c r="E25" s="120">
        <v>0</v>
      </c>
      <c r="F25" s="6" t="s">
        <v>2307</v>
      </c>
    </row>
    <row r="26" spans="1:6">
      <c r="A26" s="6" t="s">
        <v>2064</v>
      </c>
      <c r="B26" s="371">
        <v>2.349719128761122E-2</v>
      </c>
      <c r="C26" s="371">
        <v>2.6461054408222058E-2</v>
      </c>
      <c r="D26" s="371">
        <f>'Damage Calc'!L49*'Damage Calc'!I49</f>
        <v>2.6461054408222058E-2</v>
      </c>
      <c r="E26" s="120">
        <v>0</v>
      </c>
      <c r="F26" s="6" t="s">
        <v>2307</v>
      </c>
    </row>
    <row r="27" spans="1:6">
      <c r="A27" s="6" t="s">
        <v>1673</v>
      </c>
      <c r="B27" s="371">
        <v>0.16890115759854415</v>
      </c>
      <c r="C27" s="371">
        <v>0.17454689480808019</v>
      </c>
      <c r="D27" s="371">
        <f>10/(45+1/('Damage Calc'!I89*'Damage Calc'!L89))</f>
        <v>0.17454689480808019</v>
      </c>
      <c r="E27" s="120">
        <f>IF(SetTB2p, 450*(D27-stTwinUP)*dpsHaste, 0)</f>
        <v>0</v>
      </c>
      <c r="F27" s="6" t="s">
        <v>1674</v>
      </c>
    </row>
    <row r="28" spans="1:6">
      <c r="A28" s="6" t="s">
        <v>2004</v>
      </c>
      <c r="B28" s="371">
        <v>0.40234326580194024</v>
      </c>
      <c r="C28" s="371">
        <v>0.40511784417923696</v>
      </c>
      <c r="D28" s="371">
        <f>20/(45+1/('Damage Calc'!K47*10%))</f>
        <v>0.40511784417923696</v>
      </c>
      <c r="E28" s="120">
        <f>IF(OR(trinket1="Blackened Naaru Sliver",trinket2="Blackened Naaru Sliver"),(D29*D28-C29*C28)*dpsAP,0)</f>
        <v>0</v>
      </c>
      <c r="F28" s="6" t="s">
        <v>2308</v>
      </c>
    </row>
    <row r="29" spans="1:6">
      <c r="A29" s="6" t="s">
        <v>2005</v>
      </c>
      <c r="B29" s="217">
        <v>393.38290291040045</v>
      </c>
      <c r="C29" s="217">
        <v>399.40051069466335</v>
      </c>
      <c r="D29" s="217">
        <f>Trinket!AG43</f>
        <v>399.40051069466335</v>
      </c>
      <c r="E29" s="120"/>
    </row>
    <row r="30" spans="1:6">
      <c r="A30" s="6" t="s">
        <v>1088</v>
      </c>
      <c r="B30" s="371">
        <v>2.1214511306480888E-2</v>
      </c>
      <c r="C30" s="371">
        <v>2.3641261578057793E-2</v>
      </c>
      <c r="D30" s="371">
        <f>1-(1-'Damage Calc'!L47)^(MIN((Cycles!J15*Cycles!O2+25-5*relent-25*dm4p1)/Cycles!C7,20)/'Damage Calc'!J47)</f>
        <v>2.3641261578057793E-2</v>
      </c>
      <c r="E30" s="120"/>
    </row>
    <row r="31" spans="1:6">
      <c r="A31" s="6" t="s">
        <v>1079</v>
      </c>
      <c r="B31" s="371">
        <v>4.1778695251399434E-2</v>
      </c>
      <c r="C31" s="371">
        <v>4.6523637028424325E-2</v>
      </c>
      <c r="D31" s="371">
        <f>1-(1-'Damage Calc'!L47)^(MIN((Cycles!K15*Cycles!O2+25-10*relent-25*dm4p1)/Cycles!C7,20)/'Damage Calc'!J47)</f>
        <v>4.6523637028424325E-2</v>
      </c>
      <c r="E31" s="120"/>
    </row>
    <row r="32" spans="1:6">
      <c r="A32" s="6" t="s">
        <v>1080</v>
      </c>
      <c r="B32" s="371">
        <v>6.1910827775240151E-2</v>
      </c>
      <c r="C32" s="371">
        <v>6.8869731001863665E-2</v>
      </c>
      <c r="D32" s="371">
        <f>1-(1-'Damage Calc'!L47)^(MIN((Cycles!L15*Cycles!O2+25-15*relent-25*dm4p1)/Cycles!C7,20)/'Damage Calc'!J47)</f>
        <v>6.8869731001863665E-2</v>
      </c>
      <c r="E32" s="120"/>
    </row>
    <row r="33" spans="1:6">
      <c r="A33" s="6" t="s">
        <v>1081</v>
      </c>
      <c r="B33" s="371">
        <v>8.1619986234583441E-2</v>
      </c>
      <c r="C33" s="371">
        <v>9.0692112028383787E-2</v>
      </c>
      <c r="D33" s="371">
        <f>1-(1-'Damage Calc'!L47)^(MIN((Cycles!M15*Cycles!O2+25-20*relent-25*dm4p1)/Cycles!C7,20)/'Damage Calc'!J47)</f>
        <v>9.0692112028383787E-2</v>
      </c>
      <c r="E33" s="120"/>
    </row>
    <row r="34" spans="1:6">
      <c r="A34" s="6" t="s">
        <v>1082</v>
      </c>
      <c r="B34" s="371">
        <v>0.10091505727166783</v>
      </c>
      <c r="C34" s="371">
        <v>0.11200305407636113</v>
      </c>
      <c r="D34" s="371">
        <f>1-(1-'Damage Calc'!L47)^(MIN((Cycles!N15*Cycles!O2+25-25*relent-25*dm4p1)/Cycles!C7,20)/'Damage Calc'!J47)</f>
        <v>0.11200305407636113</v>
      </c>
      <c r="E34" s="120"/>
    </row>
    <row r="35" spans="1:6">
      <c r="A35" s="6" t="s">
        <v>1083</v>
      </c>
      <c r="B35" s="371">
        <v>2.1214511306480888E-2</v>
      </c>
      <c r="C35" s="371">
        <v>2.3641261578057793E-2</v>
      </c>
      <c r="D35" s="371">
        <f>1-(1-'Damage Calc'!L47)^(MIN((Cycles!J15*Cycles!O2+Cycles!O3-5*relent-25*dm4p1)/Cycles!C7,20)/'Damage Calc'!J47)</f>
        <v>2.3641261578057793E-2</v>
      </c>
      <c r="E35" s="120"/>
    </row>
    <row r="36" spans="1:6">
      <c r="A36" s="6" t="s">
        <v>1084</v>
      </c>
      <c r="B36" s="371">
        <v>4.1778695251399434E-2</v>
      </c>
      <c r="C36" s="371">
        <v>4.6523637028424325E-2</v>
      </c>
      <c r="D36" s="371">
        <f>1-(1-'Damage Calc'!L47)^(MIN((Cycles!K15*Cycles!O2+Cycles!O3-10*relent-25*dm4p1)/Cycles!C7,20)/'Damage Calc'!J47)</f>
        <v>4.6523637028424325E-2</v>
      </c>
      <c r="E36" s="120"/>
    </row>
    <row r="37" spans="1:6">
      <c r="A37" s="6" t="s">
        <v>1085</v>
      </c>
      <c r="B37" s="371">
        <v>6.1910827775240151E-2</v>
      </c>
      <c r="C37" s="371">
        <v>6.8869731001863665E-2</v>
      </c>
      <c r="D37" s="371">
        <f>1-(1-'Damage Calc'!L47)^(MIN((Cycles!L15*Cycles!O2+Cycles!O3-15*relent-25*dm4p1)/Cycles!C7,20)/'Damage Calc'!J47)</f>
        <v>6.8869731001863665E-2</v>
      </c>
      <c r="E37" s="120"/>
    </row>
    <row r="38" spans="1:6">
      <c r="A38" s="6" t="s">
        <v>1086</v>
      </c>
      <c r="B38" s="371">
        <v>8.1619986234583441E-2</v>
      </c>
      <c r="C38" s="371">
        <v>9.0692112028383787E-2</v>
      </c>
      <c r="D38" s="371">
        <f>1-(1-'Damage Calc'!L47)^(MIN((Cycles!M15*Cycles!O2+Cycles!O3-20*relent-25*dm4p1)/Cycles!C7,20)/'Damage Calc'!J47)</f>
        <v>9.0692112028383787E-2</v>
      </c>
      <c r="E38" s="120"/>
    </row>
    <row r="39" spans="1:6">
      <c r="A39" s="6" t="s">
        <v>1087</v>
      </c>
      <c r="B39" s="371">
        <v>0.10091505727166783</v>
      </c>
      <c r="C39" s="371">
        <v>0.11200305407636113</v>
      </c>
      <c r="D39" s="371">
        <f>1-(1-'Damage Calc'!L47)^(MIN((Cycles!N15*Cycles!O2+Cycles!O3-25*relent-25*dm4p1)/Cycles!C7,20)/'Damage Calc'!J47)</f>
        <v>0.11200305407636113</v>
      </c>
      <c r="E39" s="120"/>
    </row>
    <row r="40" spans="1:6">
      <c r="A40" s="6" t="s">
        <v>1093</v>
      </c>
      <c r="B40" s="371">
        <v>2.7100225771663156E-2</v>
      </c>
      <c r="C40" s="371">
        <v>3.0204040508042151E-2</v>
      </c>
      <c r="D40" s="371">
        <f>1-(1-'Damage Calc'!L47)^(MIN((Cycles!J15*Cycles!O2+Cycles!O4-5*relent-25*dm4p1)/Cycles!C7,20)/'Damage Calc'!J47)</f>
        <v>3.0204040508042151E-2</v>
      </c>
      <c r="E40" s="120"/>
    </row>
    <row r="41" spans="1:6">
      <c r="A41" s="6" t="s">
        <v>1089</v>
      </c>
      <c r="B41" s="371">
        <v>4.7540751452020746E-2</v>
      </c>
      <c r="C41" s="371">
        <v>5.2932607767255058E-2</v>
      </c>
      <c r="D41" s="371">
        <f>1-(1-'Damage Calc'!L47)^(MIN((Cycles!K15*Cycles!O2+Cycles!O4-10*relent-25*dm4p1)/Cycles!C7,20)/'Damage Calc'!J47)</f>
        <v>5.2932607767255058E-2</v>
      </c>
      <c r="E41" s="120"/>
    </row>
    <row r="42" spans="1:6">
      <c r="A42" s="6" t="s">
        <v>1090</v>
      </c>
      <c r="B42" s="371">
        <v>6.7551823758909557E-2</v>
      </c>
      <c r="C42" s="371">
        <v>7.5128498266371802E-2</v>
      </c>
      <c r="D42" s="371">
        <f>1-(1-'Damage Calc'!L47)^(MIN((Cycles!L15*Cycles!O2+Cycles!O4-15*relent-25*dm4p1)/Cycles!C7,20)/'Damage Calc'!J47)</f>
        <v>7.5128498266371802E-2</v>
      </c>
      <c r="E42" s="120"/>
    </row>
    <row r="43" spans="1:6">
      <c r="A43" s="6" t="s">
        <v>1091</v>
      </c>
      <c r="B43" s="371">
        <v>8.7142465464193131E-2</v>
      </c>
      <c r="C43" s="371">
        <v>9.6804196053661196E-2</v>
      </c>
      <c r="D43" s="371">
        <f>1-(1-'Damage Calc'!L47)^(MIN((Cycles!M15*Cycles!O2+Cycles!O4-20*relent-25*dm4p1)/Cycles!C7,20)/'Damage Calc'!J47)</f>
        <v>9.6804196053661196E-2</v>
      </c>
      <c r="E43" s="120"/>
    </row>
    <row r="44" spans="1:6">
      <c r="A44" s="6" t="s">
        <v>1092</v>
      </c>
      <c r="B44" s="371">
        <v>0.10632150977221233</v>
      </c>
      <c r="C44" s="371">
        <v>0.1179718925957125</v>
      </c>
      <c r="D44" s="371">
        <f>1-(1-'Damage Calc'!L47)^(MIN((Cycles!N15*Cycles!O2+Cycles!O4-25*relent-25*dm4p1)/Cycles!C7,20)/'Damage Calc'!J47)</f>
        <v>0.1179718925957125</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13.044091289482918</v>
      </c>
      <c r="D46" s="217">
        <f>10*'Damage Calc'!K48</f>
        <v>13.044091289482918</v>
      </c>
      <c r="E46" s="120"/>
      <c r="F46" s="6" t="s">
        <v>3007</v>
      </c>
    </row>
    <row r="47" spans="1:6">
      <c r="A47" s="6" t="s">
        <v>3008</v>
      </c>
      <c r="B47" s="217">
        <v>10.070224837547666</v>
      </c>
      <c r="C47" s="217">
        <v>11.340451889238023</v>
      </c>
      <c r="D47" s="217">
        <f>10*'Damage Calc'!K49</f>
        <v>11.340451889238023</v>
      </c>
      <c r="E47" s="120"/>
      <c r="F47" s="6" t="s">
        <v>3007</v>
      </c>
    </row>
    <row r="48" spans="1:6">
      <c r="A48" s="6" t="s">
        <v>3011</v>
      </c>
      <c r="B48" s="371">
        <v>0.15209062457841166</v>
      </c>
      <c r="C48" s="371">
        <v>0.1593400530367651</v>
      </c>
      <c r="D48" s="371">
        <f>10/(45+1/('Damage Calc'!I107*'Damage Calc'!L107))</f>
        <v>0.1593400530367651</v>
      </c>
      <c r="E48" s="120">
        <f>IF(mh="The Bladefist", 180*(D48-itTBFup)*dpsHaste, 0)</f>
        <v>0</v>
      </c>
      <c r="F48" s="6" t="s">
        <v>1674</v>
      </c>
    </row>
    <row r="49" spans="1:6">
      <c r="A49" s="6" t="s">
        <v>2237</v>
      </c>
      <c r="B49" s="371">
        <v>0.38975913970519804</v>
      </c>
      <c r="C49" s="371">
        <v>0.42940532870484138</v>
      </c>
      <c r="D49" s="371">
        <f>1-(1-'Damage Calc'!$L$48)^(10*'Damage Calc'!$I$48)-IF(time=0,0,(1-'Damage Calc'!$L$48)^(10*'Damage Calc'!$I$48)*0.5*10/time)</f>
        <v>0.42940532870484138</v>
      </c>
      <c r="E49" s="120">
        <f>IF(mh="Heartrazor",270*(D49-itHRmhUP)*dpsAP,0)</f>
        <v>0</v>
      </c>
      <c r="F49" s="6" t="s">
        <v>2307</v>
      </c>
    </row>
    <row r="50" spans="1:6">
      <c r="A50" s="6" t="s">
        <v>2238</v>
      </c>
      <c r="B50" s="371">
        <v>0.2113991006769228</v>
      </c>
      <c r="C50" s="371">
        <v>0.22209599625490814</v>
      </c>
      <c r="D50" s="371">
        <f>1-(1-'Damage Calc'!$L$49)^(10*'Damage Calc'!$I$49)-IF(time=0,0,(1-'Damage Calc'!$L$49)^(10*'Damage Calc'!$I$49)*0.5*10/time)</f>
        <v>0.22209599625490814</v>
      </c>
      <c r="E50" s="120">
        <f>IF(mh="Heartrazor",270*(D50-itHRohUP)*dpsAP,0)</f>
        <v>0</v>
      </c>
      <c r="F50" s="6" t="s">
        <v>2307</v>
      </c>
    </row>
    <row r="51" spans="1:6">
      <c r="A51" s="6" t="s">
        <v>3014</v>
      </c>
      <c r="B51" s="371">
        <v>0.38975913970519804</v>
      </c>
      <c r="C51" s="371">
        <v>0.42940532870484138</v>
      </c>
      <c r="D51" s="371">
        <f>1-(1-'Damage Calc'!$L$48)^(10*'Damage Calc'!$I$48)-IF(time=0,0,(1-'Damage Calc'!$L$48)^(10*'Damage Calc'!$I$48)*0.5*10/time)</f>
        <v>0.42940532870484138</v>
      </c>
      <c r="E51" s="120"/>
      <c r="F51" s="6" t="s">
        <v>2307</v>
      </c>
    </row>
    <row r="52" spans="1:6">
      <c r="A52" s="6" t="s">
        <v>3013</v>
      </c>
      <c r="B52" s="371">
        <v>0.2113991006769228</v>
      </c>
      <c r="C52" s="371">
        <v>0.22209599625490814</v>
      </c>
      <c r="D52" s="371">
        <f>1-(1-'Damage Calc'!$L$49)^(10*'Damage Calc'!$I$49)-IF(time=0,0,(1-'Damage Calc'!$L$49)^(10*'Damage Calc'!$I$49)*0.5*10/time)</f>
        <v>0.22209599625490814</v>
      </c>
      <c r="E52" s="120"/>
      <c r="F52" s="6" t="s">
        <v>2307</v>
      </c>
    </row>
    <row r="53" spans="1:6">
      <c r="A53" s="6" t="s">
        <v>2409</v>
      </c>
      <c r="B53" s="217">
        <v>0.44805233509221709</v>
      </c>
      <c r="C53" s="217">
        <v>0.33125428041355692</v>
      </c>
      <c r="D53" s="217">
        <f>5*instsec*instcrit</f>
        <v>0.33125428041355692</v>
      </c>
      <c r="E53" s="120"/>
    </row>
    <row r="54" spans="1:6">
      <c r="A54" s="6" t="s">
        <v>2874</v>
      </c>
      <c r="B54" s="371">
        <v>0.31102727206362035</v>
      </c>
      <c r="C54" s="371">
        <v>0.333563410569305</v>
      </c>
      <c r="D54" s="371">
        <f>'Damage Calc'!L47*(15-IF(CharLevel&gt;60,(CharLevel-60)*0.5,0))</f>
        <v>0.333563410569305</v>
      </c>
      <c r="E54" s="120"/>
      <c r="F54" s="6" t="s">
        <v>2976</v>
      </c>
    </row>
    <row r="55" spans="1:6">
      <c r="A55" s="6" t="s">
        <v>2857</v>
      </c>
      <c r="B55" s="217">
        <v>63.710530801425953</v>
      </c>
      <c r="C55" s="217">
        <v>68.675797288559011</v>
      </c>
      <c r="D55" s="217">
        <f>30*'Damage Calc'!K47</f>
        <v>68.675797288559011</v>
      </c>
      <c r="E55" s="120"/>
      <c r="F55" s="6" t="s">
        <v>2976</v>
      </c>
    </row>
    <row r="56" spans="1:6">
      <c r="A56" s="6" t="s">
        <v>2870</v>
      </c>
      <c r="B56" s="371">
        <v>0.11108414712726833</v>
      </c>
      <c r="C56" s="371">
        <v>0.11508819422971754</v>
      </c>
      <c r="D56" s="371">
        <f>6/(40+1/('Damage Calc'!I98*'Damage Calc'!L98))</f>
        <v>0.11508819422971754</v>
      </c>
      <c r="E56" s="120"/>
      <c r="F56" s="6" t="s">
        <v>2872</v>
      </c>
    </row>
    <row r="57" spans="1:6">
      <c r="A57" s="6" t="s">
        <v>2877</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2878</v>
      </c>
    </row>
    <row r="58" spans="1:6">
      <c r="A58" s="6" t="s">
        <v>3039</v>
      </c>
      <c r="B58" s="371">
        <v>0.47458276748102635</v>
      </c>
      <c r="C58" s="371">
        <v>0.4877927258898237</v>
      </c>
      <c r="D58" s="371">
        <f>1-(1-0.02)^(15*'Damage Calc'!K47)-IF(time=0,0,(1-0.02)^(15*'Damage Calc'!K47)*0.5*15/time)</f>
        <v>0.4877927258898237</v>
      </c>
      <c r="E58" s="120">
        <f>IF(ww4p, 160*(D58-C58)*dpsAP, 0)</f>
        <v>0</v>
      </c>
      <c r="F58" s="6" t="s">
        <v>3037</v>
      </c>
    </row>
    <row r="59" spans="1:6">
      <c r="A59" s="6" t="s">
        <v>3124</v>
      </c>
      <c r="B59" s="217">
        <v>120</v>
      </c>
      <c r="C59" s="217">
        <v>118.4416357640376</v>
      </c>
      <c r="D59" s="217">
        <f>Trinket!BA48</f>
        <v>118.4416357640376</v>
      </c>
      <c r="E59" s="120"/>
    </row>
    <row r="60" spans="1:6">
      <c r="A60" s="6" t="s">
        <v>3126</v>
      </c>
      <c r="B60" s="371">
        <v>1.2500000000000001E-2</v>
      </c>
      <c r="C60" s="371">
        <v>1.2155373839052276E-2</v>
      </c>
      <c r="D60" s="371">
        <f>2%*IF(CharLevel&gt;60,(CharLevel-60)*2/30,0)*(1-2%)^(2*'Damage Calc'!K47)</f>
        <v>1.2155373839052276E-2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1578</v>
      </c>
      <c r="Q2" s="68">
        <f>BaseMissPerc</f>
        <v>0.27</v>
      </c>
      <c r="R2" s="203"/>
      <c r="T2" s="27" t="s">
        <v>3095</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3004</v>
      </c>
      <c r="M4" s="68">
        <f>IF(time=0, 1-(Q43/(467.5*CharLevel+Q43-22167.5)), 'Cooldowns Calc'!AA1)</f>
        <v>0.74178816089934863</v>
      </c>
      <c r="O4" s="489" t="s">
        <v>397</v>
      </c>
      <c r="P4" s="68"/>
      <c r="Q4" s="68">
        <f>BaseParPerc</f>
        <v>0.14000000000000001</v>
      </c>
      <c r="T4" s="27" t="s">
        <v>3089</v>
      </c>
      <c r="U4" s="107">
        <f>14*conv</f>
        <v>22.076923076923077</v>
      </c>
    </row>
    <row r="5" spans="1:21">
      <c r="A5" s="523" t="s">
        <v>1438</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1180</v>
      </c>
      <c r="Q5" s="68">
        <f>BaseGlanPerc</f>
        <v>0.24</v>
      </c>
      <c r="T5" s="27" t="s">
        <v>3090</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1182</v>
      </c>
      <c r="O6" s="66" t="s">
        <v>1181</v>
      </c>
      <c r="Q6" s="69">
        <f>OHDamFact</f>
        <v>0.75</v>
      </c>
      <c r="T6" s="27" t="s">
        <v>3091</v>
      </c>
      <c r="U6" s="105">
        <f>12*conv</f>
        <v>18.923076923076923</v>
      </c>
    </row>
    <row r="7" spans="1:21" ht="13.5" thickBot="1">
      <c r="A7" s="541" t="s">
        <v>1199</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1187</v>
      </c>
      <c r="M8" s="72">
        <f>'Gear &amp; Buffs'!E6</f>
        <v>0.21803272356810921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3151.8007204290034</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1190</v>
      </c>
      <c r="Q10" s="66">
        <f>BaseGlanFact</f>
        <v>0.75</v>
      </c>
      <c r="T10" s="160" t="s">
        <v>3094</v>
      </c>
      <c r="U10" s="1336">
        <f>IF(CharLevel*5-BossLevel*5&lt;0, 0.2%, 0.04%)</f>
        <v>2E-3</v>
      </c>
    </row>
    <row r="11" spans="1:21">
      <c r="A11" s="547" t="s">
        <v>1188</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7">
        <f>1-MAX(4%+(BossLevel-CharLevel)*1%+MAX((BossLevel-CharLevel-2)*10%,0%),1%)</f>
        <v>0.83</v>
      </c>
    </row>
    <row r="13" spans="1:21">
      <c r="A13" s="506" t="s">
        <v>1194</v>
      </c>
      <c r="B13" s="563"/>
      <c r="C13" s="564"/>
      <c r="D13" s="565"/>
      <c r="E13" s="565"/>
      <c r="F13" s="342"/>
      <c r="G13" s="334"/>
      <c r="H13" s="349"/>
      <c r="I13" s="566">
        <f>('Weap Enchants'!X3+Q33)</f>
        <v>27.42962575839146</v>
      </c>
      <c r="J13" s="567">
        <f>I13</f>
        <v>27.42962575839146</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79.672530897705457</v>
      </c>
      <c r="J14" s="508">
        <f>I14</f>
        <v>79.672530897705457</v>
      </c>
      <c r="L14" s="66" t="s">
        <v>1201</v>
      </c>
      <c r="M14" s="66">
        <f>ohspd</f>
        <v>1.4</v>
      </c>
      <c r="O14" s="76" t="s">
        <v>1202</v>
      </c>
      <c r="Q14" s="77">
        <f>bMHhsec+G3</f>
        <v>0.61063971711281662</v>
      </c>
      <c r="T14" s="66" t="s">
        <v>3098</v>
      </c>
      <c r="U14" s="1338">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5">
        <f>SUM(I2:I15)</f>
        <v>1991.4437524963637</v>
      </c>
      <c r="J16" s="1316">
        <f>SUM(J2:J15)</f>
        <v>1548.8183523690223</v>
      </c>
      <c r="O16" s="76" t="s">
        <v>1204</v>
      </c>
      <c r="Q16" s="77">
        <f>bOHhsec+G6+G7</f>
        <v>1.1340451889238023</v>
      </c>
      <c r="T16" s="15" t="s">
        <v>3110</v>
      </c>
      <c r="U16" s="651">
        <f>IF(numPhysDps=0,0,10/35*10/(2*numPhysDps))</f>
        <v>0.14285714285714285</v>
      </c>
    </row>
    <row r="17" spans="1:21">
      <c r="O17" s="76" t="s">
        <v>2250</v>
      </c>
      <c r="Q17" s="80">
        <f>instsec</f>
        <v>0.31005856948347399</v>
      </c>
      <c r="R17" s="651">
        <f>1/Q17</f>
        <v>3.2251971028115696</v>
      </c>
    </row>
    <row r="18" spans="1:21">
      <c r="A18" s="79" t="s">
        <v>1205</v>
      </c>
      <c r="B18" s="79"/>
      <c r="C18" s="79" t="s">
        <v>419</v>
      </c>
      <c r="D18" s="79"/>
      <c r="E18" s="79" t="str">
        <f>"Hit Table - "&amp;instatklng</f>
        <v>Hit Table - Sinister Strike</v>
      </c>
      <c r="F18" s="79"/>
      <c r="G18" s="67"/>
      <c r="J18" s="339" t="s">
        <v>108</v>
      </c>
      <c r="O18" s="66" t="s">
        <v>2251</v>
      </c>
      <c r="Q18" s="78">
        <f>evisec+rupsec+envsec</f>
        <v>6.449713414720043E-2</v>
      </c>
      <c r="R18" s="651">
        <f>Q17+Q18</f>
        <v>0.37455570363067442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0.16995263328467364</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2.289193242951967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3.2251971028115696</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0.21803272356810921</v>
      </c>
      <c r="C23" s="66" t="s">
        <v>1187</v>
      </c>
      <c r="D23" s="68">
        <f>MIN((1-D19-D20-D21-D22),(M8)-IF(mhtype="dagger",Talents!$F$24/100,0)-IF(mhtype="fist",Talents!$F$29/100,0)+IF(ohtype="dagger",Talents!$F$24/100,0)+IF(ohtype="fist",Talents!$F$29/100,0))</f>
        <v>0.21803272356810921</v>
      </c>
      <c r="E23" s="66" t="s">
        <v>1187</v>
      </c>
      <c r="F23" s="72">
        <f>MIN(1,(M8+IF(instatk="bs",impBS,0)+IF(instatk="mut",impBS/2,0)))*(1-F19-F20-F21)+Q30</f>
        <v>0.21367206909674702</v>
      </c>
      <c r="H23" s="68"/>
      <c r="J23" s="66" t="s">
        <v>1187</v>
      </c>
      <c r="K23" s="68">
        <f>MIN(1,(M8))*(1-K19-K20-K21)+Q29</f>
        <v>0.21803272356810921</v>
      </c>
      <c r="L23" s="73"/>
      <c r="O23" s="66" t="s">
        <v>1750</v>
      </c>
      <c r="P23" s="70"/>
      <c r="Q23" s="70">
        <f>2*IF(AND('Gear &amp; Buffs'!B28="Relentless Earthstorm Diamond (12agi/3%crit dam)",MID('Gear &amp; Buffs'!R26,7,1)="1",Socket!S110),1.03,1)*IF(mhtype="mace",Talents!F26/100+1,1)</f>
        <v>2</v>
      </c>
      <c r="R23" s="71"/>
    </row>
    <row r="24" spans="1:21">
      <c r="A24" s="66" t="s">
        <v>1185</v>
      </c>
      <c r="B24" s="68">
        <f>(1-B19-B20-B21-B22-B23)</f>
        <v>0.52152825204164688</v>
      </c>
      <c r="C24" s="66" t="s">
        <v>1185</v>
      </c>
      <c r="D24" s="68">
        <f>(1-D19-D20-D21-D22-D23)</f>
        <v>0.52152825204164688</v>
      </c>
      <c r="E24" s="66" t="s">
        <v>1185</v>
      </c>
      <c r="F24" s="72">
        <f>(1-F19-F20-F21-F23)</f>
        <v>0.76632793090325291</v>
      </c>
      <c r="H24" s="68"/>
      <c r="J24" s="66" t="s">
        <v>1185</v>
      </c>
      <c r="K24" s="72">
        <f>(1-K19-K20-K21-K23)</f>
        <v>0.78196727643189079</v>
      </c>
      <c r="O24" s="66" t="s">
        <v>588</v>
      </c>
      <c r="Q24" s="66">
        <f>2*IF(AND('Gear &amp; Buffs'!B28="Relentless Earthstorm Diamond (12agi/3%crit dam)",MID('Gear &amp; Buffs'!R26,7,1)="1",Socket!S110),1.03,1)*IF(ohtype="mace",Talents!F26/100+1,1)</f>
        <v>2</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0.49471759341564381</v>
      </c>
    </row>
    <row r="32" spans="1:21">
      <c r="J32"/>
      <c r="K32" s="897"/>
      <c r="Q32" s="68"/>
      <c r="R32" s="85"/>
    </row>
    <row r="33" spans="1:18">
      <c r="A33" s="355" t="s">
        <v>432</v>
      </c>
      <c r="B33" s="355"/>
      <c r="J33"/>
      <c r="K33" s="897"/>
      <c r="O33" s="66" t="s">
        <v>2252</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1.2477218198594817</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0.62079064399746664</v>
      </c>
    </row>
    <row r="42" spans="1:18">
      <c r="A42" s="376" t="s">
        <v>2032</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1439</v>
      </c>
      <c r="Q42" s="26">
        <f>serrb*8*70/3+435*Weapons!$H$330+'Gear &amp; Buffs'!Q143</f>
        <v>4010</v>
      </c>
    </row>
    <row r="43" spans="1:18">
      <c r="A43" s="376" t="s">
        <v>2031</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526</v>
      </c>
      <c r="Q43" s="26">
        <f>MAX(basearmor-Q42,0)</f>
        <v>3675</v>
      </c>
    </row>
    <row r="44" spans="1:18">
      <c r="A44" s="376" t="s">
        <v>2033</v>
      </c>
      <c r="B44" s="893">
        <f>IF(itBsMH,itBsEa,0)</f>
        <v>4.3333333333333335E-2</v>
      </c>
      <c r="C44" s="380">
        <f>B44*bMHthit*(bMHasec+F3+instsec+Q18+D43+D46)</f>
        <v>4.476693815376754E-2</v>
      </c>
      <c r="D44" s="381">
        <f>$B$61</f>
        <v>5.4242866381803513E-2</v>
      </c>
      <c r="G44" s="362" t="s">
        <v>2231</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6.449713414720043E-2</v>
      </c>
      <c r="J46" s="161">
        <f>IF(I46=0,0,1/I46)</f>
        <v>15.504564865125966</v>
      </c>
      <c r="K46" s="161">
        <f>$Q$18</f>
        <v>6.449713414720043E-2</v>
      </c>
      <c r="L46" s="162">
        <f>MHspd/60*H46</f>
        <v>4.3333333333333335E-2</v>
      </c>
      <c r="M46" s="364">
        <f>IF(I46=0,0,1/L46/I46)</f>
        <v>357.79765073367616</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0.13323660753904085</v>
      </c>
      <c r="D47" s="381">
        <f>$C$61</f>
        <v>0.15546286056533143</v>
      </c>
      <c r="G47" s="365" t="s">
        <v>2300</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1334</v>
      </c>
      <c r="Q47" s="651">
        <f>IF(Talents!O36="No",IF('Gear &amp; Buffs'!$B138=1,(60-IF(CharLevel&gt;60,(CharLevel-60)*2,0))*IF(time=0,1/300,totalTeaIter/time), 0),0)</f>
        <v>0.13333333333333333</v>
      </c>
      <c r="R47" s="66" t="s">
        <v>813</v>
      </c>
    </row>
    <row r="48" spans="1:18">
      <c r="A48" s="382" t="s">
        <v>1894</v>
      </c>
      <c r="B48" s="377"/>
      <c r="C48" s="377"/>
      <c r="D48" s="383">
        <f>SUM($D$42:$D$47)</f>
        <v>0.32587426015628773</v>
      </c>
      <c r="G48" s="365" t="s">
        <v>2301</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4.8876993379073939E-2</v>
      </c>
      <c r="B51" s="386">
        <f>$C$44</f>
        <v>4.476693815376754E-2</v>
      </c>
      <c r="C51" s="386">
        <f>$C$47</f>
        <v>0.13323660753904085</v>
      </c>
      <c r="D51" s="894">
        <f>$C$45</f>
        <v>0</v>
      </c>
      <c r="G51" s="365" t="s">
        <v>1132</v>
      </c>
      <c r="H51" s="160"/>
      <c r="I51" s="160"/>
      <c r="J51" s="160"/>
      <c r="K51" s="160"/>
      <c r="L51" s="160" t="s">
        <v>2303</v>
      </c>
      <c r="M51" s="363"/>
      <c r="O51" s="66" t="s">
        <v>2407</v>
      </c>
      <c r="Q51" s="651">
        <f>IF(bs4p, Optimize!C53, 0)</f>
        <v>0</v>
      </c>
      <c r="R51" s="66" t="s">
        <v>813</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2231</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2232</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2299</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2301</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2231</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2300</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2301</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2302</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2231</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2300</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2231</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2300</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2231</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2300</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2231</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2301</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workbookViewId="0"/>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1654</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2396</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1346</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2831</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1759</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784</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2972</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2398</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2399</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745</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2917</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1333</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1331</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1955</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751</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1334</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2999</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2952</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2920</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1473</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2995</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1">
        <v>2.4</v>
      </c>
      <c r="C14" s="6" t="s">
        <v>835</v>
      </c>
      <c r="D14" s="324"/>
    </row>
    <row r="15" spans="1:4">
      <c r="A15" s="6" t="s">
        <v>637</v>
      </c>
      <c r="B15" s="1361">
        <v>1.7</v>
      </c>
      <c r="C15" s="6" t="s">
        <v>836</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3038</v>
      </c>
      <c r="B18" s="236"/>
    </row>
    <row r="19" spans="1:4" s="221" customFormat="1">
      <c r="A19" s="221" t="s">
        <v>618</v>
      </c>
      <c r="B19" s="1362">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3"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4">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3">
        <f>talDWSpec</f>
        <v>5</v>
      </c>
    </row>
    <row r="75" spans="1:3">
      <c r="A75" s="6" t="s">
        <v>2051</v>
      </c>
      <c r="B75" s="337">
        <v>0.1</v>
      </c>
    </row>
    <row r="76" spans="1:3" s="221" customFormat="1">
      <c r="A76" s="221" t="s">
        <v>1163</v>
      </c>
      <c r="B76" s="1363">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3">
        <f>tlMurder</f>
        <v>2</v>
      </c>
    </row>
    <row r="82" spans="1:3">
      <c r="A82" s="6" t="s">
        <v>2035</v>
      </c>
      <c r="B82" s="337">
        <v>0.01</v>
      </c>
      <c r="C82" s="6" t="s">
        <v>1159</v>
      </c>
    </row>
    <row r="83" spans="1:3" s="328" customFormat="1">
      <c r="A83" s="328" t="s">
        <v>2036</v>
      </c>
      <c r="B83" s="1365">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4">
        <f>tlSA*$B$85</f>
        <v>0.1</v>
      </c>
    </row>
    <row r="87" spans="1:3">
      <c r="A87" s="6" t="s">
        <v>1158</v>
      </c>
      <c r="B87" s="120">
        <f>tlOPP</f>
        <v>0</v>
      </c>
    </row>
    <row r="88" spans="1:3">
      <c r="A88" s="6" t="s">
        <v>2035</v>
      </c>
      <c r="B88" s="337">
        <v>0.04</v>
      </c>
      <c r="C88" s="6" t="s">
        <v>1162</v>
      </c>
    </row>
    <row r="89" spans="1:3" s="328" customFormat="1">
      <c r="A89" s="328" t="s">
        <v>1169</v>
      </c>
      <c r="B89" s="1364">
        <f>tlOPP*$B$88</f>
        <v>0</v>
      </c>
    </row>
    <row r="90" spans="1:3">
      <c r="A90" s="6" t="s">
        <v>1164</v>
      </c>
      <c r="B90" s="120">
        <f>tlAGG</f>
        <v>3</v>
      </c>
    </row>
    <row r="91" spans="1:3">
      <c r="A91" s="6" t="s">
        <v>2035</v>
      </c>
      <c r="B91" s="337">
        <v>0.02</v>
      </c>
      <c r="C91" s="6" t="s">
        <v>1165</v>
      </c>
    </row>
    <row r="92" spans="1:3" s="328" customFormat="1">
      <c r="A92" s="328" t="s">
        <v>1168</v>
      </c>
      <c r="B92" s="1364">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6"/>
    </row>
    <row r="111" spans="1:4" s="478" customFormat="1">
      <c r="A111" s="478" t="s">
        <v>74</v>
      </c>
      <c r="B111" s="1366"/>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4" t="s">
        <v>3253</v>
      </c>
      <c r="B1" s="1395" t="s">
        <v>2145</v>
      </c>
      <c r="C1" s="1395" t="s">
        <v>2334</v>
      </c>
      <c r="D1" s="1395" t="s">
        <v>1062</v>
      </c>
      <c r="E1" s="1395" t="s">
        <v>3269</v>
      </c>
      <c r="F1" s="1395" t="s">
        <v>1077</v>
      </c>
      <c r="G1" s="1395" t="s">
        <v>825</v>
      </c>
      <c r="H1" s="1395" t="s">
        <v>1003</v>
      </c>
      <c r="I1" s="1395" t="s">
        <v>998</v>
      </c>
      <c r="J1" s="1395" t="s">
        <v>3270</v>
      </c>
      <c r="K1" s="1396" t="s">
        <v>961</v>
      </c>
    </row>
    <row r="2" spans="1:11">
      <c r="A2" s="1399" t="s">
        <v>3254</v>
      </c>
      <c r="B2" s="1397">
        <v>1</v>
      </c>
      <c r="C2" s="1397">
        <v>2</v>
      </c>
      <c r="D2" s="1397">
        <v>3</v>
      </c>
      <c r="E2" s="1397">
        <v>4</v>
      </c>
      <c r="F2" s="1397">
        <v>5</v>
      </c>
      <c r="G2" s="1397">
        <v>6</v>
      </c>
      <c r="H2" s="1397">
        <v>7</v>
      </c>
      <c r="I2" s="1397">
        <v>8</v>
      </c>
      <c r="J2" s="1397">
        <v>9</v>
      </c>
      <c r="K2" s="1398">
        <v>10</v>
      </c>
    </row>
    <row r="3" spans="1:11">
      <c r="A3" s="1400" t="s">
        <v>3044</v>
      </c>
      <c r="B3" s="1329"/>
      <c r="C3" s="1329"/>
      <c r="D3" s="1329"/>
      <c r="E3" s="1329"/>
      <c r="F3" s="1329"/>
      <c r="G3" s="1329"/>
      <c r="H3" s="1329"/>
      <c r="I3" s="1329"/>
      <c r="J3" s="1329" t="str">
        <f>IF(AND(includep3, includeblacktemple), "Warglaive of Azzinoth", "")</f>
        <v/>
      </c>
      <c r="K3" s="1402" t="str">
        <f>IF(AND(includep5, include5man), "Latro's Dancing Blade", "")</f>
        <v/>
      </c>
    </row>
    <row r="4" spans="1:11">
      <c r="A4" s="1400" t="s">
        <v>3045</v>
      </c>
      <c r="B4" s="1329"/>
      <c r="C4" s="1329"/>
      <c r="D4" s="1329"/>
      <c r="E4" s="1329"/>
      <c r="F4" s="1329"/>
      <c r="G4" s="1329"/>
      <c r="H4" s="1329"/>
      <c r="I4" s="1329"/>
      <c r="J4" s="1329" t="str">
        <f>IF(AND(includep3, includeblacktemple), "Warglaive of Azzinoth", "")</f>
        <v/>
      </c>
      <c r="K4" s="1402" t="str">
        <f>IF(AND(includep1, include5man), "Latro's Shifting Sword", "")</f>
        <v>Latro's Shifting Sword</v>
      </c>
    </row>
    <row r="5" spans="1:11">
      <c r="A5" s="1400" t="s">
        <v>3255</v>
      </c>
      <c r="B5" s="1329" t="str">
        <f>IF(AND(includep1, include5man), "Helm of Assassination", "")</f>
        <v>Helm of Assassination</v>
      </c>
      <c r="C5" s="1329" t="str">
        <f>IF(AND(includep1, includeprebc), "Bonescythe Helmet", "")</f>
        <v>Bonescythe Helmet</v>
      </c>
      <c r="D5" s="1329" t="str">
        <f>IF(AND(includep2, includessc), "Deathmantle Helm", "")</f>
        <v/>
      </c>
      <c r="E5" s="1329" t="str">
        <f>IF(includepvp,IF(includep5,"Brutal Gladiator's Leather Helm",IF(includep3,"Vengeful Gladiator's Leather Helm",IF(includep2,"Merciless Gladiator's Leather Helm",IF(includep1,"Gladiator's Leather Helm","")))),"")</f>
        <v>Gladiator's Leather Helm</v>
      </c>
      <c r="F5" s="1329" t="str">
        <f>IF(AND(includep1, includekarahzan), "Netherblade Facemask", "")</f>
        <v>Netherblade Facemask</v>
      </c>
      <c r="G5" s="1329"/>
      <c r="H5" s="1329" t="str">
        <f>IF(AND(includep1, includeheroic), "Wastewalker Helm", "")</f>
        <v>Wastewalker Helm</v>
      </c>
      <c r="I5" s="1329" t="str">
        <f>IF(AND(includep3, includemounthyjal), "Slayer's Helm", "")</f>
        <v/>
      </c>
      <c r="J5" s="1329"/>
      <c r="K5" s="1402"/>
    </row>
    <row r="6" spans="1:11">
      <c r="A6" s="1400" t="s">
        <v>659</v>
      </c>
      <c r="B6" s="1329" t="str">
        <f>IF(AND(includep1, include5man), "Shoulderpads of Assassination", "")</f>
        <v>Shoulderpads of Assassination</v>
      </c>
      <c r="C6" s="1329" t="str">
        <f>IF(AND(includep1, includeprebc), "Bonescythe Pauldrons", "")</f>
        <v>Bonescythe Pauldrons</v>
      </c>
      <c r="D6" s="1329" t="str">
        <f>IF(AND(includep2, includetheeye), "Deathmantle Shoulderpads", "")</f>
        <v/>
      </c>
      <c r="E6" s="1329" t="str">
        <f>IF(includepvp,IF(includep5,"Brutal Gladiator's Leather Spaulders",IF(includep3,"Vengeful Gladiator's Leather Spaulders",IF(includep2,"Merciless Gladiator's Leather Spaulders",IF(includep1,"Gladiator's Leather Spaulders","")))),"")</f>
        <v>Gladiator's Leather Spaulders</v>
      </c>
      <c r="F6" s="1329" t="str">
        <f>IF(AND(includep1, includegruul), "Netherblade Shoulderpads", "")</f>
        <v>Netherblade Shoulderpads</v>
      </c>
      <c r="G6" s="1329"/>
      <c r="H6" s="1329" t="str">
        <f>IF(AND(includep1, includeheroic), "Wastewalker Shoulderpads", "")</f>
        <v>Wastewalker Shoulderpads</v>
      </c>
      <c r="I6" s="1329" t="str">
        <f>IF(AND(includep3, includeblacktemple), "Slayer's Shoulderpads", "")</f>
        <v/>
      </c>
      <c r="J6" s="1329"/>
      <c r="K6" s="1402"/>
    </row>
    <row r="7" spans="1:11">
      <c r="A7" s="1400" t="s">
        <v>1123</v>
      </c>
      <c r="B7" s="1329" t="str">
        <f>IF(AND(includep1, include5man), "Tunic of Assassination", "")</f>
        <v>Tunic of Assassination</v>
      </c>
      <c r="C7" s="1329" t="str">
        <f>IF(AND(includep1, includeprebc), "Bonescythe Breastplate", "")</f>
        <v>Bonescythe Breastplate</v>
      </c>
      <c r="D7" s="1329" t="str">
        <f>IF(AND(includep2, includetheeye), "Deathmantle Chestguard", "")</f>
        <v/>
      </c>
      <c r="E7" s="1329" t="str">
        <f>IF(includepvp,IF(includep5,"Brutal Gladiator's Leather Tunic",IF(includep3,"Vengeful Gladiator's Leather Tunic",IF(includep2,"Merciless Gladiator's Leather Tunic",IF(includep1,"Gladiator's Leather Tunic","")))),"")</f>
        <v>Gladiator's Leather Tunic</v>
      </c>
      <c r="F7" s="1329" t="str">
        <f>IF(AND(includep1, includemagtheridon), "Netherblade Chestpiece", "")</f>
        <v>Netherblade Chestpiece</v>
      </c>
      <c r="G7" s="1329" t="str">
        <f>IF(AND(includep1, includeleatherwork), "Primalstrike Vest", "")</f>
        <v>Primalstrike Vest</v>
      </c>
      <c r="H7" s="1329" t="str">
        <f>IF(AND(includep1, includeheroic), "Wastewalker Tunic", "")</f>
        <v>Wastewalker Tunic</v>
      </c>
      <c r="I7" s="1329" t="str">
        <f>IF(AND(includep3, includeblacktemple), "Slayer's Chestguard", "")</f>
        <v/>
      </c>
      <c r="J7" s="1329"/>
      <c r="K7" s="1402"/>
    </row>
    <row r="8" spans="1:11">
      <c r="A8" s="1400" t="s">
        <v>3256</v>
      </c>
      <c r="B8" s="1329"/>
      <c r="C8" s="1329" t="str">
        <f>IF(AND(includep1, includeprebc), "Bonescythe Bracers", "")</f>
        <v>Bonescythe Bracers</v>
      </c>
      <c r="D8" s="1329"/>
      <c r="E8" s="1329"/>
      <c r="F8" s="1329"/>
      <c r="G8" s="1329" t="str">
        <f>IF(AND(includep1, includeleatherwork), "Primalstrike Bracers", "")</f>
        <v>Primalstrike Bracers</v>
      </c>
      <c r="H8" s="1329"/>
      <c r="I8" s="1329" t="str">
        <f>IF(AND(includep5, includesunwell), "Slayer's Bracers", "")</f>
        <v/>
      </c>
      <c r="J8" s="1329"/>
      <c r="K8" s="1402"/>
    </row>
    <row r="9" spans="1:11">
      <c r="A9" s="1400" t="s">
        <v>3257</v>
      </c>
      <c r="B9" s="1329" t="str">
        <f>IF(AND(includep1, include5man), "Handgrips of Assassination", "")</f>
        <v>Handgrips of Assassination</v>
      </c>
      <c r="C9" s="1329" t="str">
        <f>IF(AND(includep1, includeprebc), "Bonescythe Gauntlets", "")</f>
        <v>Bonescythe Gauntlets</v>
      </c>
      <c r="D9" s="1329" t="str">
        <f>IF(AND(includep2, includessc), "Deathmantle Handguards", "")</f>
        <v/>
      </c>
      <c r="E9" s="1329" t="str">
        <f>IF(includepvp,IF(includep5,"Brutal Gladiator's Leather Gloves",IF(includep3,"Vengeful Gladiator's Leather Gloves",IF(includep2,"Merciless Gladiator's Leather Gloves",IF(includep1,"Gladiator's Leather Gloves","")))),"")</f>
        <v>Gladiator's Leather Gloves</v>
      </c>
      <c r="F9" s="1329" t="str">
        <f>IF(AND(includep1, includekarahzan), "Netherblade Gloves", "")</f>
        <v>Netherblade Gloves</v>
      </c>
      <c r="G9" s="1329"/>
      <c r="H9" s="1329" t="str">
        <f>IF(AND(includep1, includeheroic), "Wastewalker Gloves", "")</f>
        <v>Wastewalker Gloves</v>
      </c>
      <c r="I9" s="1329" t="str">
        <f>IF(AND(includep3, includemounthyjal), "Slayer's Handguards", "")</f>
        <v/>
      </c>
      <c r="J9" s="1329"/>
      <c r="K9" s="1402"/>
    </row>
    <row r="10" spans="1:11">
      <c r="A10" s="1400" t="s">
        <v>2437</v>
      </c>
      <c r="B10" s="1329"/>
      <c r="C10" s="1329" t="str">
        <f>IF(AND(includep1, includeprebc), "Bonescythe Waistguard", "")</f>
        <v>Bonescythe Waistguard</v>
      </c>
      <c r="D10" s="1329"/>
      <c r="E10" s="1329"/>
      <c r="F10" s="1329"/>
      <c r="G10" s="1329" t="str">
        <f>IF(AND(includep1, includeleatherwork), "Primalstrike Belt", "")</f>
        <v>Primalstrike Belt</v>
      </c>
      <c r="H10" s="1329"/>
      <c r="I10" s="1329" t="str">
        <f>IF(AND(includep5, includesunwell), "Slayer's Belt", "")</f>
        <v/>
      </c>
      <c r="J10" s="1329"/>
      <c r="K10" s="1402"/>
    </row>
    <row r="11" spans="1:11">
      <c r="A11" s="1400" t="s">
        <v>2079</v>
      </c>
      <c r="B11" s="1329" t="str">
        <f>IF(AND(includep1, include5man), "Leggings of Assassination", "")</f>
        <v>Leggings of Assassination</v>
      </c>
      <c r="C11" s="1329" t="str">
        <f>IF(AND(includep1, includeprebc), "Bonescythe Legplates", "")</f>
        <v>Bonescythe Legplates</v>
      </c>
      <c r="D11" s="1329" t="str">
        <f>IF(AND(includep2, includessc), "Deathmantle Legguards", "")</f>
        <v/>
      </c>
      <c r="E11" s="1329" t="str">
        <f>IF(includepvp,IF(includep5,"Brutal Gladiator's Leather Legguards",IF(includep3,"Vengeful Gladiator's Leather Legguards",IF(includep2,"Merciless Gladiator's Leather Legguards",IF(includep1,"Gladiator's Leather Legguards","")))),"")</f>
        <v>Gladiator's Leather Legguards</v>
      </c>
      <c r="F11" s="1329" t="str">
        <f>IF(AND(includep1, includegruul), "Netherblade Breeches", "")</f>
        <v>Netherblade Breeches</v>
      </c>
      <c r="G11" s="1329"/>
      <c r="H11" s="1329" t="str">
        <f>IF(AND(includep1, includeheroic), "Wastewalker Leggings", "")</f>
        <v>Wastewalker Leggings</v>
      </c>
      <c r="I11" s="1329" t="str">
        <f>IF(AND(includep3, includeblacktemple), "Slayer's Legguards", "")</f>
        <v/>
      </c>
      <c r="J11" s="1329"/>
      <c r="K11" s="1402"/>
    </row>
    <row r="12" spans="1:11">
      <c r="A12" s="1400" t="s">
        <v>2438</v>
      </c>
      <c r="B12" s="1329"/>
      <c r="C12" s="1329" t="str">
        <f>IF(AND(includep1, includeprebc), "Bonescythe Sabatons", "")</f>
        <v>Bonescythe Sabatons</v>
      </c>
      <c r="D12" s="1329"/>
      <c r="E12" s="1329"/>
      <c r="F12" s="1329"/>
      <c r="G12" s="1329"/>
      <c r="H12" s="1329"/>
      <c r="I12" s="1329" t="str">
        <f>IF(AND(includep5, includesunwell), "Slayer's Boots", "")</f>
        <v/>
      </c>
      <c r="J12" s="1329"/>
      <c r="K12" s="1402"/>
    </row>
    <row r="13" spans="1:11" ht="13.5" thickBot="1">
      <c r="A13" s="1401" t="s">
        <v>3258</v>
      </c>
      <c r="B13" s="1403"/>
      <c r="C13" s="1403" t="str">
        <f>IF(AND(includep1, includeprebc), "Bonescythe Ring", "")</f>
        <v>Bonescythe Ring</v>
      </c>
      <c r="D13" s="1403"/>
      <c r="E13" s="1403"/>
      <c r="F13" s="1403"/>
      <c r="G13" s="1403"/>
      <c r="H13" s="1403"/>
      <c r="I13" s="1403"/>
      <c r="J13" s="1403"/>
      <c r="K13" s="1404"/>
    </row>
    <row r="14" spans="1:11">
      <c r="A14" s="1400"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3" t="str" cm="1">
        <f t="array" ref="K14">IF(SUMPRODUCT((TRIM(K$3:K$13)&lt;&gt;"")*1)&gt;=2, 39, "")</f>
        <v/>
      </c>
    </row>
    <row r="15" spans="1:11">
      <c r="A15" s="1400" t="s">
        <v>3260</v>
      </c>
      <c r="B15" s="768"/>
      <c r="C15" s="768"/>
      <c r="D15" s="768"/>
      <c r="E15" s="768"/>
      <c r="F15" s="768"/>
      <c r="G15" s="768" cm="1">
        <f t="array" ref="G15">IF(SUMPRODUCT((TRIM(G$3:G$13)&lt;&gt;"")*1)&gt;=3, 33, "")</f>
        <v>33</v>
      </c>
      <c r="H15" s="768"/>
      <c r="I15" s="768"/>
      <c r="J15" s="768"/>
      <c r="K15" s="1333"/>
    </row>
    <row r="16" spans="1:11">
      <c r="A16" s="1400"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3"/>
    </row>
    <row r="17" spans="1:11">
      <c r="A17" s="1400" t="s">
        <v>3262</v>
      </c>
      <c r="B17" s="768"/>
      <c r="C17" s="768"/>
      <c r="D17" s="768"/>
      <c r="E17" s="768"/>
      <c r="F17" s="768"/>
      <c r="G17" s="768"/>
      <c r="H17" s="768"/>
      <c r="I17" s="768"/>
      <c r="J17" s="768"/>
      <c r="K17" s="1333"/>
    </row>
    <row r="18" spans="1:11">
      <c r="A18" s="1400" t="s">
        <v>3263</v>
      </c>
      <c r="B18" s="768"/>
      <c r="C18" s="768"/>
      <c r="D18" s="768"/>
      <c r="E18" s="768"/>
      <c r="F18" s="768"/>
      <c r="G18" s="768"/>
      <c r="H18" s="768"/>
      <c r="I18" s="768"/>
      <c r="J18" s="768"/>
      <c r="K18" s="1333"/>
    </row>
    <row r="19" spans="1:11">
      <c r="A19" s="1400" t="s">
        <v>3264</v>
      </c>
      <c r="B19" s="768"/>
      <c r="C19" s="768"/>
      <c r="D19" s="768"/>
      <c r="E19" s="768"/>
      <c r="F19" s="768"/>
      <c r="G19" s="768"/>
      <c r="H19" s="768"/>
      <c r="I19" s="768"/>
      <c r="J19" s="768"/>
      <c r="K19" s="1333"/>
    </row>
    <row r="20" spans="1:11" ht="13.5" thickBot="1">
      <c r="A20" s="1401"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5" t="s">
        <v>3034</v>
      </c>
      <c r="C26" s="1405" t="s">
        <v>1665</v>
      </c>
      <c r="D26" s="1405" t="s">
        <v>3271</v>
      </c>
      <c r="E26" s="1405"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5"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2" t="s">
        <v>1065</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1464</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1064</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1021</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1446</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2019</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1462</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1055</v>
      </c>
      <c r="AH11" s="768"/>
      <c r="AI11" s="768">
        <v>4</v>
      </c>
      <c r="AJ11" s="768"/>
      <c r="AK11" s="768"/>
      <c r="AL11" s="768"/>
      <c r="AM11" s="768"/>
      <c r="AN11" s="768"/>
      <c r="AO11" s="768"/>
      <c r="AP11" s="768"/>
      <c r="AQ11" s="768"/>
      <c r="AR11" s="768"/>
      <c r="AS11" s="768"/>
      <c r="AT11" s="768"/>
      <c r="AU11" s="1333"/>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1472</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1448</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816</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2425</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2424</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1337</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1458</v>
      </c>
      <c r="AH18" s="768"/>
      <c r="AI18" s="768"/>
      <c r="AJ18" s="768">
        <v>4</v>
      </c>
      <c r="AK18" s="768"/>
      <c r="AL18" s="768"/>
      <c r="AM18" s="768"/>
      <c r="AN18" s="768"/>
      <c r="AO18" s="768"/>
      <c r="AP18" s="768"/>
      <c r="AQ18" s="768"/>
      <c r="AR18" s="768"/>
      <c r="AS18" s="768"/>
      <c r="AT18" s="768"/>
      <c r="AU18" s="1333"/>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1051</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1069</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1451</v>
      </c>
      <c r="AH21" s="768"/>
      <c r="AI21" s="768"/>
      <c r="AJ21" s="768"/>
      <c r="AK21" s="768"/>
      <c r="AL21" s="768"/>
      <c r="AM21" s="768"/>
      <c r="AN21" s="768">
        <v>3</v>
      </c>
      <c r="AO21" s="768"/>
      <c r="AP21" s="768"/>
      <c r="AQ21" s="768"/>
      <c r="AR21" s="768"/>
      <c r="AS21" s="768"/>
      <c r="AT21" s="768"/>
      <c r="AU21" s="1333"/>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1068</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1302</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1454</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1071</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workbookViewId="0"/>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1"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1"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1923</v>
      </c>
      <c r="AC113" s="1391"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1923</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1923</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1923</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1923</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2"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2"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2" t="str">
        <f t="shared" ref="Y6" si="3">HYPERLINK("https://tbc.wowhead.com/item="&amp;B6,A6)</f>
        <v>Braided Eternium Chain (w/ +28crit)</v>
      </c>
    </row>
    <row r="7" spans="1:25">
      <c r="A7" s="10" t="s">
        <v>2478</v>
      </c>
      <c r="B7" s="116">
        <v>24114</v>
      </c>
      <c r="C7" s="116">
        <v>1</v>
      </c>
      <c r="D7" s="114"/>
      <c r="E7" s="114"/>
      <c r="F7" s="114"/>
      <c r="G7" s="116">
        <v>28</v>
      </c>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4.300272483030767</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2"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2"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2"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2"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2"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2"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2"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2"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2"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2"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2"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2"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2"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2"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2"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2"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2" t="str">
        <f t="shared" si="0"/>
        <v>Saberclaw Talisman</v>
      </c>
    </row>
    <row r="25" spans="1:25" s="47" customFormat="1">
      <c r="A25" s="10" t="s">
        <v>2028</v>
      </c>
      <c r="B25" s="116">
        <v>34679</v>
      </c>
      <c r="C25" s="116">
        <v>5</v>
      </c>
      <c r="D25" s="114"/>
      <c r="E25" s="114">
        <v>18</v>
      </c>
      <c r="F25" s="124">
        <f>64+200*itSSPMAup</f>
        <v>105.74299188471673</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-78.777707208707483</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20.871495942358369</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(Aldor)</v>
      </c>
    </row>
    <row r="28" spans="1:25">
      <c r="A28" s="10" t="s">
        <v>2030</v>
      </c>
      <c r="B28" s="116">
        <v>34680</v>
      </c>
      <c r="C28" s="116">
        <v>5</v>
      </c>
      <c r="D28" s="114"/>
      <c r="E28" s="114"/>
      <c r="F28" s="114"/>
      <c r="G28" s="116"/>
      <c r="H28" s="116">
        <v>13</v>
      </c>
      <c r="I28" s="116"/>
      <c r="J28" s="114"/>
      <c r="K28" s="124">
        <f>18+100*itSSPRSup</f>
        <v>38.871495942358365</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-13.487936287584532</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2"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2"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2"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2"/>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2"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3"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3"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1920</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2"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2848</v>
      </c>
      <c r="AG5" s="853">
        <f>Optimize!C54</f>
        <v>0.333563410569305</v>
      </c>
      <c r="AH5" s="853">
        <f>IF(AI5*AG5&gt;0, AI5*AG5, 1)</f>
        <v>22.907733167137973</v>
      </c>
      <c r="AI5" s="853">
        <f>Optimize!C55</f>
        <v>68.675797288559011</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2854</v>
      </c>
      <c r="AF7" s="854">
        <f>30/BotSprocs</f>
        <v>1.3096014250347632</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1273</v>
      </c>
      <c r="AF8" s="854">
        <f>30/(1+BotSprocs/(1-EXP(-BotSprocs)))</f>
        <v>1.2548241101335842</v>
      </c>
      <c r="AG8" s="854">
        <f>(1-EXP(-$AI$5*BotSrate))</f>
        <v>0.99999999988746235</v>
      </c>
      <c r="AH8" s="854">
        <v>30</v>
      </c>
      <c r="AI8" s="854">
        <f>AG7-AG8</f>
        <v>1.1253764586882653E-10</v>
      </c>
      <c r="AJ8" s="851">
        <v>1</v>
      </c>
    </row>
    <row r="9" spans="1:36" ht="12" customHeight="1">
      <c r="A9" s="10" t="s">
        <v>989</v>
      </c>
      <c r="B9" s="116">
        <v>34427</v>
      </c>
      <c r="C9" s="116">
        <v>5</v>
      </c>
      <c r="D9" s="114"/>
      <c r="E9" s="114"/>
      <c r="F9" s="115">
        <f>Optimize!C28*Optimize!C29</f>
        <v>161.80427385670831</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1276</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1279</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1281</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1283</v>
      </c>
      <c r="AF12" s="854">
        <f>30/(1+BotSprocs/(1-EXP(-BotSprocs)))</f>
        <v>1.2548241101335842</v>
      </c>
      <c r="AG12" s="854">
        <f>(1-EXP(-$AI$5*BotSrate))^5</f>
        <v>0.99999999943731177</v>
      </c>
      <c r="AH12" s="854">
        <v>30</v>
      </c>
      <c r="AI12" s="854">
        <f>AG11-AG12</f>
        <v>1.1253764586882653E-10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2855</v>
      </c>
      <c r="AF13" s="854">
        <f>MIN(AF12/EXP(-AI5*BotSrate),IF(time=0,30,MIN(30,time))-SUMPRODUCT(AF7:AF12,AG7:AG12))</f>
        <v>22.41627802641554</v>
      </c>
      <c r="AG13" s="854">
        <f>(1-EXP(-$AI$5*BotSrate))^6</f>
        <v>0.99999999932477412</v>
      </c>
      <c r="AH13" s="854">
        <v>0</v>
      </c>
      <c r="AI13" s="854">
        <v>0</v>
      </c>
      <c r="AJ13" s="851">
        <v>6</v>
      </c>
    </row>
    <row r="14" spans="1:36" ht="12" customHeight="1">
      <c r="A14" s="126" t="s">
        <v>1656</v>
      </c>
      <c r="B14" s="116">
        <v>31856</v>
      </c>
      <c r="C14" s="116">
        <v>2</v>
      </c>
      <c r="D14" s="114"/>
      <c r="E14" s="114"/>
      <c r="F14" s="115">
        <f>itDMCCap</f>
        <v>118.4416357640376</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1937</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7" t="s">
        <v>1344</v>
      </c>
      <c r="U18" s="114" t="s">
        <v>1345</v>
      </c>
      <c r="V18" s="116" t="s">
        <v>1108</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915</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916</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990</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1939</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70" workbookViewId="0"/>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90"/>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921</v>
      </c>
      <c r="AS20" s="1324"/>
      <c r="AT20" s="1324"/>
      <c r="AU20" s="1324"/>
      <c r="AV20" s="1324"/>
      <c r="AW20" s="1324" t="s">
        <v>1025</v>
      </c>
      <c r="AX20" s="1324" t="s">
        <v>1646</v>
      </c>
      <c r="AY20" s="1324" t="s">
        <v>1647</v>
      </c>
      <c r="AZ20" s="1324"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923</v>
      </c>
      <c r="AR21" s="1327">
        <f>IF(mh="The Night Blade",Optimize!C46,IF(oh="The Night Blade",Optimize!C47,10))</f>
        <v>10</v>
      </c>
      <c r="AS21" s="1324"/>
      <c r="AT21" s="1324" t="s">
        <v>924</v>
      </c>
      <c r="AU21" s="1324"/>
      <c r="AV21" s="1324">
        <v>0</v>
      </c>
      <c r="AW21" s="1325">
        <f>10/($AR$24)</f>
        <v>16.666666666666664</v>
      </c>
      <c r="AX21" s="1326">
        <v>1</v>
      </c>
      <c r="AY21" s="1325">
        <v>0</v>
      </c>
      <c r="AZ21" s="1326">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925</v>
      </c>
      <c r="AU22" s="1324"/>
      <c r="AV22" s="1324">
        <v>1</v>
      </c>
      <c r="AW22" s="1325">
        <f>10/(1+$AR$24/(1-EXP(-$AR$24)))</f>
        <v>4.2921742610378759</v>
      </c>
      <c r="AX22" s="1326">
        <f>1-EXP(-$AR$21*tnbproc)</f>
        <v>0.45118836390597361</v>
      </c>
      <c r="AY22" s="1325">
        <v>10</v>
      </c>
      <c r="AZ22" s="1326">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3010</v>
      </c>
      <c r="AR23" s="1326">
        <f>1.8/60*2</f>
        <v>6.0000000000000005E-2</v>
      </c>
      <c r="AS23" s="1324"/>
      <c r="AT23" s="1324" t="s">
        <v>926</v>
      </c>
      <c r="AU23" s="1324"/>
      <c r="AV23" s="1324">
        <v>2</v>
      </c>
      <c r="AW23" s="1325">
        <f>10/(1+$AR$24/(1-EXP(-$AR$24)))</f>
        <v>4.2921742610378759</v>
      </c>
      <c r="AX23" s="1326">
        <f>(1-EXP(-$AR$21*tnbproc))^2</f>
        <v>0.20357093972414927</v>
      </c>
      <c r="AY23" s="1325">
        <v>10</v>
      </c>
      <c r="AZ23" s="1326">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1643</v>
      </c>
      <c r="AR24" s="1327">
        <f>IF($AR$21*tnbproc&gt;0, $AR$21*tnbproc, 1)</f>
        <v>0.60000000000000009</v>
      </c>
      <c r="AS24" s="1324"/>
      <c r="AT24" s="1324" t="s">
        <v>927</v>
      </c>
      <c r="AU24" s="1324"/>
      <c r="AV24" s="1324">
        <v>3</v>
      </c>
      <c r="AW24" s="1325">
        <f>IF(time=0, AW23/EXP(-$AR$21*tnbproc), MIN(AW23/EXP(-$AR$21*tnbproc),time-SUMPRODUCT(AW21:AW23,AX21:AX23)))</f>
        <v>7.8208514155893543</v>
      </c>
      <c r="AX24" s="1326">
        <f>AX23</f>
        <v>0.20357093972414927</v>
      </c>
      <c r="AY24" s="1325">
        <v>0</v>
      </c>
      <c r="AZ24" s="1326">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928</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647</v>
      </c>
      <c r="B28" s="114">
        <v>29962</v>
      </c>
      <c r="C28" s="114">
        <v>2</v>
      </c>
      <c r="D28" s="114"/>
      <c r="E28" s="114">
        <v>20</v>
      </c>
      <c r="F28" s="124">
        <f>270*itHRmhUP</f>
        <v>115.93943875030718</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1398</v>
      </c>
      <c r="AS28" s="1358">
        <f>75%/(BossLevel)*5/25</f>
        <v>2.054794520547945E-3</v>
      </c>
      <c r="AT28" s="1329"/>
      <c r="AU28" s="1329"/>
      <c r="AV28" s="1329"/>
      <c r="AW28" s="1329"/>
      <c r="AX28" s="1329"/>
      <c r="AY28" s="1329"/>
      <c r="AZ28" s="1329"/>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0.21367206909674702</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28.681209546617719</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56.681503389039065</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91.033929685426372</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29.316671505647875</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34.141769280403672</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1278</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477.98476992565134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68.283538560807344</v>
      </c>
      <c r="E11" s="21"/>
      <c r="F11" s="21"/>
      <c r="G11" s="21"/>
      <c r="H11" s="21"/>
      <c r="I11" s="21"/>
      <c r="J11" s="789">
        <f>2*hasterate*enMnMHup</f>
        <v>17.946314621750645</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0.21803272356810921</v>
      </c>
      <c r="X16" s="145"/>
      <c r="Y16" s="48"/>
      <c r="Z16" s="48"/>
      <c r="AA16" s="48"/>
      <c r="AB16" s="795" t="s">
        <v>1643</v>
      </c>
      <c r="AC16" s="796">
        <f>IF(AC13*AC15&gt;0,AC13*AC15,1)</f>
        <v>3.3885270245043211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0.52152825204164688</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6">
        <f>bfWFea</f>
        <v>0.15546286056533143</v>
      </c>
      <c r="X20" s="1346">
        <f>SUM('Damage Calc'!F5:F7)*bfWFea</f>
        <v>0.1799805356381228</v>
      </c>
      <c r="Y20" s="1346">
        <f>instsec*bfWFea</f>
        <v>4.8202592154695446E-2</v>
      </c>
      <c r="Z20" s="48" t="s">
        <v>95</v>
      </c>
      <c r="AA20" s="48"/>
      <c r="AB20" s="148" t="s">
        <v>1651</v>
      </c>
      <c r="AC20" s="6">
        <f>12/AC16</f>
        <v>3.5413617519415768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3108</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1273</v>
      </c>
      <c r="AC21" s="6">
        <f>12/(1+AC16/(1-EXP(-AC16)))</f>
        <v>2.6625753332832076</v>
      </c>
      <c r="AD21" s="48">
        <f>1-EXP(-AC13*AC15)</f>
        <v>0.96624163445927125</v>
      </c>
      <c r="AE21" s="6">
        <v>12</v>
      </c>
      <c r="AF21" s="6">
        <f>AD20-AD21</f>
        <v>3.3758365540728752E-2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6">
        <f>W21*W20*armor*bGlobDam+X21*X20*armor*bGlobDam+Y21*Y20*armor*bGlobDam</f>
        <v>27.42962575839146</v>
      </c>
      <c r="X22" s="48" t="s">
        <v>3106</v>
      </c>
      <c r="Y22" s="48"/>
      <c r="Z22" s="48"/>
      <c r="AA22" s="48"/>
      <c r="AB22" s="131" t="s">
        <v>1276</v>
      </c>
      <c r="AC22" s="6">
        <f>12/(1+AC16/(1-EXP(-AC16)))</f>
        <v>2.6625753332832076</v>
      </c>
      <c r="AD22" s="48">
        <f>(1-EXP(-AC13*AC15))^2</f>
        <v>0.93362289616252392</v>
      </c>
      <c r="AE22" s="6">
        <v>12</v>
      </c>
      <c r="AF22" s="6">
        <f>AD21-AD22</f>
        <v>3.2618738296747329E-2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2.6625753332832076</v>
      </c>
      <c r="AD23" s="48">
        <f>(1-EXP(-AC13*AC15))^3</f>
        <v>0.90210531315667564</v>
      </c>
      <c r="AE23" s="6">
        <v>12</v>
      </c>
      <c r="AF23" s="6">
        <f>AD22-AD23</f>
        <v>3.1517583005848282E-2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2.6625753332832076</v>
      </c>
      <c r="AD24" s="48">
        <f>(1-EXP(-AC13*AC15))^4</f>
        <v>0.87165171223889892</v>
      </c>
      <c r="AE24" s="6">
        <v>12</v>
      </c>
      <c r="AF24" s="6">
        <f>AD23-AD24</f>
        <v>3.0453600917776713E-2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3107</v>
      </c>
      <c r="W25" s="1347">
        <f>14.924*(1+'Gear &amp; Buffs'!C111*0.06)*IF(CoE,1.25,1)</f>
        <v>20.893599999999999</v>
      </c>
      <c r="X25" s="6"/>
      <c r="Y25" s="6"/>
      <c r="Z25" s="6"/>
      <c r="AA25" s="6"/>
      <c r="AB25" s="131" t="s">
        <v>1283</v>
      </c>
      <c r="AC25" s="6">
        <f>IF(time=0, AC24/EXP(-AC13*AC15), MIN(AC24/EXP(-AC13*AC15), time-SUMPRODUCT(AC21:AC24,AD21:AD24)))</f>
        <v>78.871571257526384</v>
      </c>
      <c r="AD25" s="48">
        <f>(1-EXP(-AC13*AC15))^5</f>
        <v>0.84222617511293607</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18.838020792706988</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263.73229109789787</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37.676041585413977</v>
      </c>
      <c r="E43" s="21"/>
      <c r="F43" s="21"/>
      <c r="G43" s="21"/>
      <c r="H43" s="21"/>
      <c r="I43" s="21"/>
      <c r="J43" s="789">
        <f>2*hasterate*enMnOHup</f>
        <v>9.9020365705254676</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4"/>
      <c r="B2" s="1345"/>
    </row>
    <row r="3" spans="1:8">
      <c r="A3" s="1344" t="s">
        <v>3114</v>
      </c>
      <c r="B3" s="897">
        <v>1759.9839688335551</v>
      </c>
      <c r="E3" s="897">
        <f t="shared" ref="E3:E9" si="0">$B3-$B$1</f>
        <v>0.3573300258551626</v>
      </c>
      <c r="F3" s="25"/>
      <c r="H3" s="897">
        <f t="shared" ref="H3:H9" si="1">$E3/$E$4</f>
        <v>0.43196864930599316</v>
      </c>
    </row>
    <row r="4" spans="1:8">
      <c r="A4" s="1344" t="s">
        <v>3115</v>
      </c>
      <c r="B4" s="897">
        <v>1760.4538516770349</v>
      </c>
      <c r="E4" s="897">
        <f t="shared" si="0"/>
        <v>0.8272128693349714</v>
      </c>
      <c r="F4" s="25"/>
      <c r="H4" s="897">
        <f t="shared" si="1"/>
        <v>1</v>
      </c>
    </row>
    <row r="5" spans="1:8">
      <c r="A5" s="1344" t="s">
        <v>3116</v>
      </c>
      <c r="B5" s="897">
        <v>1760.3124351132094</v>
      </c>
      <c r="E5" s="897">
        <f t="shared" si="0"/>
        <v>0.68579630550948423</v>
      </c>
      <c r="F5" s="25"/>
      <c r="H5" s="897">
        <f t="shared" si="1"/>
        <v>0.82904453125931488</v>
      </c>
    </row>
    <row r="6" spans="1:8">
      <c r="A6" s="1344" t="s">
        <v>3117</v>
      </c>
      <c r="B6" s="897">
        <v>1765.1766702748271</v>
      </c>
      <c r="E6" s="897">
        <f t="shared" si="0"/>
        <v>5.5500314671271553</v>
      </c>
      <c r="F6" s="25"/>
      <c r="H6" s="897">
        <f t="shared" si="1"/>
        <v>6.7093147034680944</v>
      </c>
    </row>
    <row r="7" spans="1:8">
      <c r="A7" s="1344" t="s">
        <v>3118</v>
      </c>
      <c r="B7" s="897">
        <v>1763.2980235467201</v>
      </c>
      <c r="E7" s="897">
        <f t="shared" si="0"/>
        <v>3.6713847390201408</v>
      </c>
      <c r="F7" s="25"/>
      <c r="H7" s="897">
        <f t="shared" si="1"/>
        <v>4.4382587301521434</v>
      </c>
    </row>
    <row r="8" spans="1:8">
      <c r="A8" s="1344" t="s">
        <v>3119</v>
      </c>
      <c r="B8" s="897">
        <v>1759.7495474090365</v>
      </c>
      <c r="E8" s="897">
        <f t="shared" si="0"/>
        <v>0.12290860133657588</v>
      </c>
      <c r="F8" s="25"/>
      <c r="H8" s="897">
        <f t="shared" si="1"/>
        <v>0.14858158751251888</v>
      </c>
    </row>
    <row r="9" spans="1:8">
      <c r="A9" s="1344" t="s">
        <v>3120</v>
      </c>
      <c r="B9" s="897">
        <v>1760.8052489540294</v>
      </c>
      <c r="E9" s="897">
        <f t="shared" si="0"/>
        <v>1.1786101463294472</v>
      </c>
      <c r="F9" s="25"/>
      <c r="H9" s="897">
        <f t="shared" si="1"/>
        <v>1.4247966757057076</v>
      </c>
    </row>
    <row r="10" spans="1:8">
      <c r="B10" s="897"/>
      <c r="E10" s="897"/>
      <c r="F10" s="25"/>
      <c r="H10" s="897"/>
    </row>
    <row r="11" spans="1:8">
      <c r="A11" s="1344"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295</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539</vt:i4>
      </vt:variant>
    </vt:vector>
  </HeadingPairs>
  <TitlesOfParts>
    <vt:vector size="577"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2021-06-08T16:24:59Z</dcterms:modified>
</cp:coreProperties>
</file>