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D0CD269E-551E-7048-AFBB-42E0F409371B}" xr6:coauthVersionLast="46" xr6:coauthVersionMax="46" xr10:uidLastSave="{00000000-0000-0000-0000-000000000000}"/>
  <bookViews>
    <workbookView xWindow="0" yWindow="0" windowWidth="28800" windowHeight="18000" activeTab="2" xr2:uid="{6B94F6F9-44B0-CC46-BCE3-E21706DCCC2F}"/>
  </bookViews>
  <sheets>
    <sheet name="Constants" sheetId="2" r:id="rId1"/>
    <sheet name="Properties" sheetId="1" r:id="rId2"/>
    <sheet name="Geometry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3" l="1"/>
  <c r="K40" i="3"/>
  <c r="K5" i="3" l="1"/>
  <c r="B9" i="2"/>
  <c r="K29" i="2"/>
  <c r="K16" i="1"/>
  <c r="K4" i="1" l="1"/>
  <c r="N35" i="1" l="1"/>
  <c r="K6" i="1"/>
  <c r="K8" i="1" s="1"/>
  <c r="K14" i="1"/>
  <c r="K10" i="1"/>
  <c r="K12" i="1" s="1"/>
  <c r="K7" i="3" s="1"/>
  <c r="K15" i="3" l="1"/>
  <c r="K17" i="3"/>
  <c r="K19" i="3" s="1"/>
  <c r="K21" i="3" s="1"/>
  <c r="K9" i="3"/>
  <c r="K11" i="3" s="1"/>
  <c r="K13" i="3" s="1"/>
  <c r="K3" i="3" l="1"/>
  <c r="K27" i="3" s="1"/>
  <c r="K32" i="3" l="1"/>
  <c r="K25" i="3"/>
</calcChain>
</file>

<file path=xl/sharedStrings.xml><?xml version="1.0" encoding="utf-8"?>
<sst xmlns="http://schemas.openxmlformats.org/spreadsheetml/2006/main" count="96" uniqueCount="94">
  <si>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</si>
  <si>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</si>
  <si>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</si>
  <si>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</si>
  <si>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</si>
  <si>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</si>
  <si>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</si>
  <si>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</si>
  <si>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</si>
  <si>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</si>
  <si>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lbf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</si>
  <si>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</si>
  <si>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</si>
  <si>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</si>
  <si>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</si>
  <si>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</si>
  <si>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</si>
  <si>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</si>
  <si>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</si>
  <si>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</si>
  <si>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</si>
  <si>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</si>
  <si>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</si>
  <si>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</si>
  <si>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</si>
  <si>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</si>
  <si>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</si>
  <si>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</si>
  <si>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</si>
  <si>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</si>
  <si>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Earths Gravitation (g)</t>
  </si>
  <si>
    <t>Exit Area (Ae)</t>
  </si>
  <si>
    <t>Exit Diameter (De)</t>
  </si>
  <si>
    <t>Chamber Volume (Vc)</t>
  </si>
  <si>
    <t>Chamber Diameter (Dc)</t>
  </si>
  <si>
    <t>3.65 * Throat Area</t>
  </si>
  <si>
    <t>Chamber Length</t>
  </si>
  <si>
    <t>in</t>
  </si>
  <si>
    <t>Optimum Expansion Ratio</t>
  </si>
  <si>
    <t>Chamber Characteristic Length (L*)</t>
  </si>
  <si>
    <t>L* x Throat Area</t>
  </si>
  <si>
    <t>Change</t>
  </si>
  <si>
    <t>Isp = F / mass flow * gravity constant</t>
  </si>
  <si>
    <t>50kn</t>
  </si>
  <si>
    <t>psi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</si>
  <si>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</si>
  <si>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</si>
  <si>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</si>
  <si>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</si>
  <si>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</si>
  <si>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 xml:space="preserve">Exit Velocity </t>
  </si>
  <si>
    <t>Patm</t>
  </si>
  <si>
    <t xml:space="preserve"> 101.3 kPa</t>
  </si>
  <si>
    <t>1 atm</t>
  </si>
  <si>
    <t>2 / (SHR - 1) * [((Chamber Pressure / Atm Pressure) ^ (SHR - 1 / SHR)) - 1]</t>
  </si>
  <si>
    <t>!!</t>
  </si>
  <si>
    <t>SQRT(4 * Exit Area / Pi)</t>
  </si>
  <si>
    <t>2 * Chamber Radius</t>
  </si>
  <si>
    <t>Chamber Radius (Rc)</t>
  </si>
  <si>
    <t>sqrt(Chamber Area / pi)</t>
  </si>
  <si>
    <t>Chamber Area (Ac)</t>
  </si>
  <si>
    <t>Throat Area * contraction area ratio</t>
  </si>
  <si>
    <t>Throat Radius (Rt)</t>
  </si>
  <si>
    <t>sqrt(Throat Area / PI)</t>
  </si>
  <si>
    <t>Characteristic Velocity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</si>
  <si>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</si>
  <si>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</si>
  <si>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</si>
  <si>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</si>
  <si>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</si>
  <si>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</si>
  <si>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R_bar = 1545</t>
  </si>
  <si>
    <t>Properties (Imperial Units)</t>
  </si>
  <si>
    <t>Geometry (Imperial Units)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</si>
  <si>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</si>
  <si>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</si>
  <si>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</si>
  <si>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</si>
  <si>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</si>
  <si>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SQRT(2 / (gamma - 1) * ((Chamber Pressure / ) ** ((gamma - 1) / gamma) - 1))</t>
  </si>
  <si>
    <t>Ambient Pressure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</si>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</sst>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37</xdr:row>
      <xdr:rowOff>12700</xdr:rowOff>
    </xdr:from>
    <xdr:to>
      <xdr:col>9</xdr:col>
      <xdr:colOff>762000</xdr:colOff>
      <xdr:row>42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M36"/>
  <sheetViews>
    <sheetView zoomScaleNormal="100" workbookViewId="0">
      <selection activeCell="B28" sqref="B28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8" x14ac:dyDescent="0.2">
      <c r="A1" t="s">
        <v>81</v>
      </c>
    </row>
    <row r="3" spans="1:8" x14ac:dyDescent="0.2">
      <c r="A3" s="11" t="s">
        <v>48</v>
      </c>
      <c r="B3">
        <v>11240</v>
      </c>
      <c r="C3" t="s">
        <v>10</v>
      </c>
      <c r="D3" t="s">
        <v>43</v>
      </c>
    </row>
    <row r="4" spans="1:8" x14ac:dyDescent="0.2">
      <c r="A4" s="11"/>
    </row>
    <row r="5" spans="1:8" x14ac:dyDescent="0.2">
      <c r="A5" s="11" t="s">
        <v>82</v>
      </c>
      <c r="B5">
        <v>50</v>
      </c>
    </row>
    <row r="6" spans="1:8" x14ac:dyDescent="0.2">
      <c r="A6" s="11"/>
    </row>
    <row r="7" spans="1:8" x14ac:dyDescent="0.2">
      <c r="A7" s="11" t="s">
        <v>11</v>
      </c>
      <c r="B7" t="s">
        <v>12</v>
      </c>
      <c r="C7" t="s">
        <v>13</v>
      </c>
      <c r="D7" t="s">
        <v>14</v>
      </c>
    </row>
    <row r="8" spans="1:8" x14ac:dyDescent="0.2">
      <c r="A8" s="11"/>
    </row>
    <row r="9" spans="1:8" x14ac:dyDescent="0.2">
      <c r="A9" s="11" t="s">
        <v>47</v>
      </c>
      <c r="B9" s="6">
        <f>B3/(B5*9.80665)</f>
        <v>22.923220467743828</v>
      </c>
      <c r="C9" s="6"/>
      <c r="D9" s="6"/>
      <c r="E9" s="6" t="s">
        <v>42</v>
      </c>
      <c r="F9" s="6"/>
      <c r="G9" s="6"/>
      <c r="H9" s="6"/>
    </row>
    <row r="10" spans="1:8" x14ac:dyDescent="0.2">
      <c r="A10" s="11"/>
    </row>
    <row r="11" spans="1:8" x14ac:dyDescent="0.2">
      <c r="A11" s="11" t="s">
        <v>46</v>
      </c>
      <c r="B11" s="6">
        <v>5642.33</v>
      </c>
      <c r="C11" s="6"/>
      <c r="D11" s="6"/>
    </row>
    <row r="12" spans="1:8" x14ac:dyDescent="0.2">
      <c r="A12" s="11"/>
    </row>
    <row r="13" spans="1:8" x14ac:dyDescent="0.2">
      <c r="A13" s="11" t="s">
        <v>45</v>
      </c>
      <c r="B13" s="6">
        <v>100</v>
      </c>
      <c r="C13" s="6"/>
      <c r="D13" s="6"/>
      <c r="E13" t="s">
        <v>41</v>
      </c>
    </row>
    <row r="14" spans="1:8" x14ac:dyDescent="0.2">
      <c r="A14" s="11"/>
    </row>
    <row r="15" spans="1:8" x14ac:dyDescent="0.2">
      <c r="A15" s="11" t="s">
        <v>49</v>
      </c>
      <c r="B15" s="6">
        <v>1.3</v>
      </c>
      <c r="C15" s="6"/>
      <c r="D15" s="6"/>
    </row>
    <row r="16" spans="1:8" x14ac:dyDescent="0.2">
      <c r="A16" s="11"/>
    </row>
    <row r="17" spans="1:13" x14ac:dyDescent="0.2">
      <c r="A17" s="11" t="s">
        <v>89</v>
      </c>
      <c r="B17" s="6">
        <v>5</v>
      </c>
      <c r="C17" s="6"/>
      <c r="D17" s="6"/>
    </row>
    <row r="18" spans="1:13" x14ac:dyDescent="0.2">
      <c r="A18" s="11"/>
    </row>
    <row r="19" spans="1:13" x14ac:dyDescent="0.2">
      <c r="A19" s="11" t="s">
        <v>38</v>
      </c>
    </row>
    <row r="20" spans="1:13" x14ac:dyDescent="0.2">
      <c r="A20" s="11"/>
      <c r="B20" s="1"/>
      <c r="C20" s="1" t="s">
        <v>2</v>
      </c>
      <c r="E20" s="1"/>
      <c r="K20" s="6">
        <v>65</v>
      </c>
      <c r="L20" s="6"/>
    </row>
    <row r="21" spans="1:13" x14ac:dyDescent="0.2">
      <c r="A21" s="12" t="s">
        <v>0</v>
      </c>
      <c r="C21" s="6" t="s">
        <v>3</v>
      </c>
      <c r="D21" s="6"/>
      <c r="E21" s="6"/>
      <c r="F21" s="6"/>
      <c r="G21" s="6"/>
      <c r="H21" s="6"/>
    </row>
    <row r="22" spans="1:13" x14ac:dyDescent="0.2">
      <c r="A22" s="11"/>
      <c r="C22" s="6" t="s">
        <v>1</v>
      </c>
      <c r="D22" s="6"/>
      <c r="E22" s="6"/>
      <c r="F22" s="6"/>
      <c r="G22" s="6"/>
      <c r="H22" s="6"/>
    </row>
    <row r="23" spans="1:13" x14ac:dyDescent="0.2">
      <c r="A23" s="11"/>
      <c r="C23" s="6" t="s">
        <v>4</v>
      </c>
      <c r="D23" s="6"/>
      <c r="E23" s="6"/>
      <c r="F23" s="6"/>
      <c r="G23" s="6"/>
      <c r="H23" s="6"/>
    </row>
    <row r="24" spans="1:13" x14ac:dyDescent="0.2">
      <c r="A24" s="11"/>
      <c r="C24" s="5"/>
      <c r="D24" s="5"/>
      <c r="E24" s="5"/>
      <c r="F24" s="5"/>
      <c r="G24" s="5"/>
      <c r="H24" s="5"/>
    </row>
    <row r="25" spans="1:13" x14ac:dyDescent="0.2">
      <c r="A25" s="11"/>
      <c r="C25" s="6" t="s">
        <v>71</v>
      </c>
      <c r="D25" s="6"/>
      <c r="E25" s="6"/>
      <c r="F25" s="6"/>
      <c r="G25" s="6"/>
      <c r="H25" s="6"/>
      <c r="K25" s="6">
        <v>1545</v>
      </c>
      <c r="L25" s="6"/>
    </row>
    <row r="26" spans="1:13" x14ac:dyDescent="0.2">
      <c r="A26" s="11" t="s">
        <v>70</v>
      </c>
    </row>
    <row r="27" spans="1:13" x14ac:dyDescent="0.2">
      <c r="A27" s="11"/>
      <c r="C27" s="6" t="s">
        <v>5</v>
      </c>
      <c r="D27" s="6"/>
      <c r="E27" s="6"/>
      <c r="F27" s="6"/>
      <c r="G27" s="6"/>
      <c r="H27" s="6"/>
      <c r="K27" s="6">
        <v>1.2</v>
      </c>
      <c r="L27" s="6"/>
    </row>
    <row r="28" spans="1:13" x14ac:dyDescent="0.2">
      <c r="A28" s="13" t="s">
        <v>66</v>
      </c>
      <c r="C28" s="5"/>
      <c r="D28" s="5"/>
      <c r="E28" s="5"/>
      <c r="F28" s="5"/>
      <c r="G28" s="5"/>
      <c r="H28" s="5"/>
      <c r="K28" s="5"/>
      <c r="L28" s="5"/>
    </row>
    <row r="29" spans="1:13" x14ac:dyDescent="0.2">
      <c r="A29" s="13"/>
      <c r="C29" s="6" t="s">
        <v>68</v>
      </c>
      <c r="D29" s="6"/>
      <c r="E29" s="6"/>
      <c r="F29" s="6"/>
      <c r="G29" s="6"/>
      <c r="H29" s="6"/>
      <c r="K29" s="6">
        <f>K25/24</f>
        <v>64.375</v>
      </c>
      <c r="L29" s="6"/>
      <c r="M29" t="s">
        <v>69</v>
      </c>
    </row>
    <row r="30" spans="1:13" x14ac:dyDescent="0.2">
      <c r="A30" s="13" t="s">
        <v>67</v>
      </c>
    </row>
    <row r="31" spans="1:13" x14ac:dyDescent="0.2">
      <c r="A31" s="11"/>
      <c r="C31" s="6" t="s">
        <v>6</v>
      </c>
      <c r="D31" s="6"/>
      <c r="E31" s="6"/>
      <c r="F31" s="6"/>
      <c r="G31" s="6"/>
      <c r="H31" s="6"/>
      <c r="K31" s="6">
        <v>32.200000000000003</v>
      </c>
      <c r="L31" s="6"/>
    </row>
    <row r="32" spans="1:13" x14ac:dyDescent="0.2">
      <c r="A32" s="13" t="s">
        <v>30</v>
      </c>
      <c r="C32" s="5"/>
      <c r="D32" s="5"/>
      <c r="E32" s="5"/>
      <c r="F32" s="5"/>
      <c r="G32" s="5"/>
      <c r="H32" s="5"/>
      <c r="K32" s="5"/>
      <c r="L32" s="5"/>
    </row>
    <row r="33" spans="1:12" x14ac:dyDescent="0.2">
      <c r="A33" s="13"/>
      <c r="C33" s="5"/>
      <c r="D33" s="5"/>
      <c r="E33" s="5"/>
      <c r="F33" s="5"/>
      <c r="G33" s="5"/>
      <c r="H33" s="5"/>
      <c r="K33" s="5"/>
      <c r="L33" s="5"/>
    </row>
    <row r="34" spans="1:12" x14ac:dyDescent="0.2">
      <c r="A34" s="13" t="s">
        <v>80</v>
      </c>
      <c r="B34" t="s">
        <v>52</v>
      </c>
    </row>
    <row r="35" spans="1:12" x14ac:dyDescent="0.2">
      <c r="C35" t="s">
        <v>53</v>
      </c>
      <c r="D35">
        <v>14.6959</v>
      </c>
      <c r="E35" t="s">
        <v>44</v>
      </c>
    </row>
    <row r="36" spans="1:12" x14ac:dyDescent="0.2">
      <c r="A36" s="13" t="s">
        <v>51</v>
      </c>
    </row>
  </sheetData>
  <mergeCells count="18">
    <mergeCell ref="B17:D17"/>
    <mergeCell ref="C27:H27"/>
    <mergeCell ref="K27:L27"/>
    <mergeCell ref="C29:H29"/>
    <mergeCell ref="K29:L29"/>
    <mergeCell ref="C31:H31"/>
    <mergeCell ref="K31:L31"/>
    <mergeCell ref="K20:L20"/>
    <mergeCell ref="C21:H21"/>
    <mergeCell ref="C22:H22"/>
    <mergeCell ref="C23:H23"/>
    <mergeCell ref="C25:H25"/>
    <mergeCell ref="K25:L25"/>
    <mergeCell ref="B11:D11"/>
    <mergeCell ref="B13:D13"/>
    <mergeCell ref="B9:D9"/>
    <mergeCell ref="E9:H9"/>
    <mergeCell ref="B15:D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N35"/>
  <sheetViews>
    <sheetView zoomScaleNormal="100" workbookViewId="0">
      <selection activeCell="C28" sqref="C28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2" x14ac:dyDescent="0.2">
      <c r="A1" s="8" t="s">
        <v>72</v>
      </c>
      <c r="B1" s="6"/>
      <c r="C1" s="6"/>
    </row>
    <row r="2" spans="1:12" x14ac:dyDescent="0.2">
      <c r="A2" s="6"/>
      <c r="B2" s="6"/>
      <c r="C2" s="6"/>
      <c r="E2" s="7" t="s">
        <v>8</v>
      </c>
      <c r="F2" s="7"/>
      <c r="K2" s="7" t="s">
        <v>9</v>
      </c>
      <c r="L2" s="7"/>
    </row>
    <row r="4" spans="1:12" x14ac:dyDescent="0.2">
      <c r="A4" t="s">
        <v>21</v>
      </c>
      <c r="C4" s="6" t="s">
        <v>7</v>
      </c>
      <c r="D4" s="6"/>
      <c r="E4" s="6"/>
      <c r="F4" s="6"/>
      <c r="G4" s="6"/>
      <c r="H4" s="6"/>
      <c r="K4" s="6">
        <f>Constants!B3/Constants!B9</f>
        <v>490.33249999999998</v>
      </c>
      <c r="L4" s="6"/>
    </row>
    <row r="6" spans="1:12" x14ac:dyDescent="0.2">
      <c r="A6" t="s">
        <v>22</v>
      </c>
      <c r="C6" s="6" t="s">
        <v>16</v>
      </c>
      <c r="D6" s="6"/>
      <c r="E6" s="6"/>
      <c r="F6" s="6"/>
      <c r="G6" s="6"/>
      <c r="H6" s="6"/>
      <c r="K6" s="6">
        <f>(K4/Constants!B15)+1</f>
        <v>378.17884615384611</v>
      </c>
      <c r="L6" s="6"/>
    </row>
    <row r="8" spans="1:12" x14ac:dyDescent="0.2">
      <c r="A8" t="s">
        <v>23</v>
      </c>
      <c r="C8" s="6" t="s">
        <v>15</v>
      </c>
      <c r="D8" s="6"/>
      <c r="E8" s="6"/>
      <c r="F8" s="6"/>
      <c r="G8" s="6"/>
      <c r="H8" s="6"/>
      <c r="K8" s="6">
        <f>K4-K6</f>
        <v>112.15365384615387</v>
      </c>
      <c r="L8" s="6"/>
    </row>
    <row r="10" spans="1:12" x14ac:dyDescent="0.2">
      <c r="A10" t="s">
        <v>24</v>
      </c>
      <c r="C10" s="6" t="s">
        <v>17</v>
      </c>
      <c r="D10" s="6"/>
      <c r="E10" s="6"/>
      <c r="F10" s="6"/>
      <c r="G10" s="6"/>
      <c r="H10" s="6"/>
      <c r="K10" s="6">
        <f>Constants!B11 + 460</f>
        <v>6102.33</v>
      </c>
      <c r="L10" s="6"/>
    </row>
    <row r="11" spans="1:12" x14ac:dyDescent="0.2">
      <c r="C11" s="1"/>
      <c r="D11" s="1"/>
      <c r="E11" s="1"/>
      <c r="F11" s="1"/>
      <c r="G11" s="1"/>
      <c r="H11" s="1"/>
    </row>
    <row r="12" spans="1:12" x14ac:dyDescent="0.2">
      <c r="A12" t="s">
        <v>25</v>
      </c>
      <c r="C12" s="6" t="s">
        <v>18</v>
      </c>
      <c r="D12" s="6"/>
      <c r="E12" s="6"/>
      <c r="F12" s="6"/>
      <c r="G12" s="6"/>
      <c r="H12" s="6"/>
      <c r="K12" s="6">
        <f>0.909*K10</f>
        <v>5547.0179699999999</v>
      </c>
      <c r="L12" s="6"/>
    </row>
    <row r="13" spans="1:12" x14ac:dyDescent="0.2">
      <c r="C13" s="2"/>
      <c r="D13" s="2"/>
      <c r="E13" s="2"/>
      <c r="F13" s="2"/>
      <c r="G13" s="2"/>
      <c r="H13" s="2"/>
    </row>
    <row r="14" spans="1:12" x14ac:dyDescent="0.2">
      <c r="A14" t="s">
        <v>26</v>
      </c>
      <c r="C14" s="6" t="s">
        <v>19</v>
      </c>
      <c r="D14" s="6"/>
      <c r="E14" s="6"/>
      <c r="F14" s="6"/>
      <c r="G14" s="6"/>
      <c r="H14" s="6"/>
      <c r="K14" s="6">
        <f>0.564*Constants!B13</f>
        <v>56.399999999999991</v>
      </c>
      <c r="L14" s="6"/>
    </row>
    <row r="16" spans="1:12" x14ac:dyDescent="0.2">
      <c r="A16" t="s">
        <v>50</v>
      </c>
      <c r="C16" s="6" t="s">
        <v>54</v>
      </c>
      <c r="D16" s="6"/>
      <c r="E16" s="6"/>
      <c r="F16" s="6"/>
      <c r="G16" s="6"/>
      <c r="H16" s="6"/>
      <c r="K16" s="6" t="e">
        <f>2 / (#REF!-1)*(((Constants!B13/Constants!D35)^(Properties!#REF!-1/Properties!#REF!))-1)</f>
        <v>#REF!</v>
      </c>
      <c r="L16" s="6"/>
    </row>
    <row r="17" spans="1:13" x14ac:dyDescent="0.2">
      <c r="C17" s="1"/>
      <c r="D17" s="1"/>
      <c r="E17" s="1"/>
      <c r="F17" s="1"/>
      <c r="G17" s="1"/>
      <c r="H17" s="1"/>
    </row>
    <row r="18" spans="1:13" x14ac:dyDescent="0.2">
      <c r="A18" t="s">
        <v>39</v>
      </c>
      <c r="C18" s="6"/>
      <c r="D18" s="6"/>
      <c r="E18" s="6"/>
      <c r="F18" s="6"/>
      <c r="G18" s="6"/>
      <c r="H18" s="6"/>
      <c r="K18" s="6"/>
      <c r="L18" s="6"/>
    </row>
    <row r="20" spans="1:13" x14ac:dyDescent="0.2">
      <c r="A20" t="s">
        <v>64</v>
      </c>
      <c r="C20" s="9" t="s">
        <v>65</v>
      </c>
      <c r="D20" s="9"/>
      <c r="E20" s="9"/>
      <c r="F20" s="9"/>
      <c r="G20" s="9"/>
      <c r="H20" s="9"/>
      <c r="K20" s="9">
        <v>2.5982911572999998</v>
      </c>
      <c r="L20" s="6"/>
    </row>
    <row r="21" spans="1:13" x14ac:dyDescent="0.2">
      <c r="C21" s="9"/>
      <c r="D21" s="9"/>
      <c r="E21" s="9"/>
      <c r="F21" s="9"/>
      <c r="G21" s="9"/>
      <c r="H21" s="9"/>
    </row>
    <row r="23" spans="1:13" x14ac:dyDescent="0.2">
      <c r="A23" t="s">
        <v>78</v>
      </c>
      <c r="C23" s="6" t="s">
        <v>79</v>
      </c>
      <c r="D23" s="6"/>
      <c r="E23" s="6"/>
      <c r="F23" s="6"/>
      <c r="G23" s="6"/>
      <c r="H23" s="6"/>
    </row>
    <row r="27" spans="1:13" x14ac:dyDescent="0.2">
      <c r="M27" s="4" t="s">
        <v>55</v>
      </c>
    </row>
    <row r="35" spans="14:14" x14ac:dyDescent="0.2">
      <c r="N35">
        <f>K20*K4/Constants!B13</f>
        <v>12.740265988868021</v>
      </c>
    </row>
  </sheetData>
  <mergeCells count="22">
    <mergeCell ref="K20:L20"/>
    <mergeCell ref="C20:H21"/>
    <mergeCell ref="C23:H23"/>
    <mergeCell ref="K14:L14"/>
    <mergeCell ref="K16:L16"/>
    <mergeCell ref="C16:H16"/>
    <mergeCell ref="C6:H6"/>
    <mergeCell ref="C8:H8"/>
    <mergeCell ref="C4:H4"/>
    <mergeCell ref="K2:L2"/>
    <mergeCell ref="A1:C2"/>
    <mergeCell ref="E2:F2"/>
    <mergeCell ref="K18:L18"/>
    <mergeCell ref="C18:H18"/>
    <mergeCell ref="K4:L4"/>
    <mergeCell ref="K6:L6"/>
    <mergeCell ref="K8:L8"/>
    <mergeCell ref="C10:H10"/>
    <mergeCell ref="C12:H12"/>
    <mergeCell ref="C14:H14"/>
    <mergeCell ref="K10:L10"/>
    <mergeCell ref="K12:L1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tabSelected="1" topLeftCell="C9" zoomScale="84" workbookViewId="0">
      <selection activeCell="K40" sqref="K40:L40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73</v>
      </c>
    </row>
    <row r="3" spans="1:12" x14ac:dyDescent="0.2">
      <c r="A3" t="s">
        <v>62</v>
      </c>
      <c r="C3" s="6" t="s">
        <v>63</v>
      </c>
      <c r="D3" s="6"/>
      <c r="E3" s="6"/>
      <c r="F3" s="6"/>
      <c r="G3" s="6"/>
      <c r="H3" s="6"/>
      <c r="K3" s="6">
        <f>SQRT(Geometry!K7/3.14)</f>
        <v>6.5435979664945814</v>
      </c>
      <c r="L3" s="6"/>
    </row>
    <row r="5" spans="1:12" x14ac:dyDescent="0.2">
      <c r="A5" t="s">
        <v>27</v>
      </c>
      <c r="C5" s="6" t="s">
        <v>20</v>
      </c>
      <c r="D5" s="6"/>
      <c r="E5" s="6"/>
      <c r="F5" s="6"/>
      <c r="G5" s="6"/>
      <c r="H5" s="6"/>
      <c r="K5" s="6">
        <f>SQRT(4*K7/3.14)</f>
        <v>13.087195932989163</v>
      </c>
      <c r="L5" s="6"/>
    </row>
    <row r="7" spans="1:12" x14ac:dyDescent="0.2">
      <c r="A7" t="s">
        <v>28</v>
      </c>
      <c r="C7" s="6" t="s">
        <v>29</v>
      </c>
      <c r="D7" s="6"/>
      <c r="E7" s="6"/>
      <c r="F7" s="6"/>
      <c r="G7" s="6"/>
      <c r="H7" s="6"/>
      <c r="K7" s="6">
        <f>Properties!K4/Properties!K14 *SQRT(Constants!K29*Properties!K12)/(Constants!K27*Constants!K31)</f>
        <v>134.45063744993175</v>
      </c>
      <c r="L7" s="6"/>
    </row>
    <row r="9" spans="1:12" x14ac:dyDescent="0.2">
      <c r="A9" t="s">
        <v>31</v>
      </c>
      <c r="C9" s="6" t="s">
        <v>35</v>
      </c>
      <c r="D9" s="6"/>
      <c r="E9" s="6"/>
      <c r="F9" s="6"/>
      <c r="G9" s="6"/>
      <c r="H9" s="6"/>
      <c r="K9" s="6">
        <f>3.65*K7</f>
        <v>490.74482669225085</v>
      </c>
      <c r="L9" s="6"/>
    </row>
    <row r="11" spans="1:12" x14ac:dyDescent="0.2">
      <c r="A11" t="s">
        <v>32</v>
      </c>
      <c r="C11" s="6" t="s">
        <v>56</v>
      </c>
      <c r="D11" s="6"/>
      <c r="E11" s="6"/>
      <c r="F11" s="6"/>
      <c r="G11" s="6"/>
      <c r="H11" s="6"/>
      <c r="I11" t="s">
        <v>37</v>
      </c>
      <c r="K11" s="6">
        <f>SQRT( 4* K9/3.14)</f>
        <v>25.003052722974356</v>
      </c>
      <c r="L11" s="6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4" t="s">
        <v>87</v>
      </c>
      <c r="C13" s="6" t="s">
        <v>88</v>
      </c>
      <c r="D13" s="6"/>
      <c r="E13" s="6"/>
      <c r="F13" s="6"/>
      <c r="G13" s="6"/>
      <c r="H13" s="6"/>
      <c r="K13" s="6">
        <f>K11/2</f>
        <v>12.501526361487178</v>
      </c>
      <c r="L13" s="6"/>
    </row>
    <row r="15" spans="1:12" x14ac:dyDescent="0.2">
      <c r="A15" t="s">
        <v>33</v>
      </c>
      <c r="C15" s="6" t="s">
        <v>40</v>
      </c>
      <c r="D15" s="6"/>
      <c r="E15" s="6"/>
      <c r="F15" s="6"/>
      <c r="G15" s="6"/>
      <c r="H15" s="6"/>
      <c r="K15" s="6">
        <f>Properties!K18*Geometry!K7</f>
        <v>0</v>
      </c>
      <c r="L15" s="6"/>
    </row>
    <row r="17" spans="1:12" x14ac:dyDescent="0.2">
      <c r="A17" t="s">
        <v>60</v>
      </c>
      <c r="C17" s="6" t="s">
        <v>61</v>
      </c>
      <c r="D17" s="6"/>
      <c r="E17" s="6"/>
      <c r="F17" s="6"/>
      <c r="G17" s="6"/>
      <c r="H17" s="6"/>
      <c r="K17" s="6">
        <f>K7*Constants!B17</f>
        <v>672.25318724965871</v>
      </c>
      <c r="L17" s="6"/>
    </row>
    <row r="19" spans="1:12" x14ac:dyDescent="0.2">
      <c r="A19" t="s">
        <v>58</v>
      </c>
      <c r="C19" s="6" t="s">
        <v>59</v>
      </c>
      <c r="D19" s="6"/>
      <c r="E19" s="6"/>
      <c r="F19" s="6"/>
      <c r="G19" s="6"/>
      <c r="H19" s="6"/>
      <c r="K19" s="6">
        <f>SQRT(K17/3.14)</f>
        <v>14.631929870511275</v>
      </c>
      <c r="L19" s="6"/>
    </row>
    <row r="21" spans="1:12" x14ac:dyDescent="0.2">
      <c r="A21" t="s">
        <v>34</v>
      </c>
      <c r="C21" s="6" t="s">
        <v>57</v>
      </c>
      <c r="D21" s="6"/>
      <c r="E21" s="6"/>
      <c r="F21" s="6"/>
      <c r="G21" s="6"/>
      <c r="H21" s="6"/>
      <c r="I21" t="s">
        <v>37</v>
      </c>
      <c r="K21" s="6">
        <f xml:space="preserve"> 2*K19</f>
        <v>29.26385974102255</v>
      </c>
      <c r="L21" s="6"/>
    </row>
    <row r="23" spans="1:12" x14ac:dyDescent="0.2">
      <c r="A23" t="s">
        <v>36</v>
      </c>
      <c r="C23" s="6"/>
      <c r="D23" s="6"/>
      <c r="E23" s="6"/>
      <c r="F23" s="6"/>
      <c r="G23" s="6"/>
      <c r="H23" s="6"/>
      <c r="I23" t="s">
        <v>37</v>
      </c>
    </row>
    <row r="25" spans="1:12" ht="51" x14ac:dyDescent="0.2">
      <c r="A25" s="10" t="s">
        <v>74</v>
      </c>
      <c r="C25" s="6" t="s">
        <v>75</v>
      </c>
      <c r="D25" s="6"/>
      <c r="E25" s="6"/>
      <c r="F25" s="6"/>
      <c r="G25" s="6"/>
      <c r="H25" s="6"/>
      <c r="K25" s="6">
        <f>0.382*K3</f>
        <v>2.4996544232009303</v>
      </c>
      <c r="L25" s="6"/>
    </row>
    <row r="27" spans="1:12" x14ac:dyDescent="0.2">
      <c r="A27" s="11" t="s">
        <v>76</v>
      </c>
      <c r="C27" s="6" t="s">
        <v>77</v>
      </c>
      <c r="D27" s="6"/>
      <c r="E27" s="6"/>
      <c r="F27" s="6"/>
      <c r="G27" s="6"/>
      <c r="H27" s="6"/>
      <c r="K27" s="6">
        <f>1.5*K3</f>
        <v>9.8153969497418725</v>
      </c>
      <c r="L27" s="6"/>
    </row>
    <row r="32" spans="1:12" x14ac:dyDescent="0.2">
      <c r="A32" t="s">
        <v>83</v>
      </c>
      <c r="C32" s="6" t="s">
        <v>86</v>
      </c>
      <c r="D32" s="6"/>
      <c r="E32" s="6"/>
      <c r="F32" s="6"/>
      <c r="G32" s="6"/>
      <c r="H32" s="6"/>
      <c r="K32" s="6">
        <f>(K13-K3)/TAN(RADIANS(K36))*K34</f>
        <v>17.788233182375734</v>
      </c>
      <c r="L32" s="6"/>
    </row>
    <row r="34" spans="1:12" x14ac:dyDescent="0.2">
      <c r="A34" t="s">
        <v>84</v>
      </c>
      <c r="C34" s="6">
        <v>0.8</v>
      </c>
      <c r="D34" s="6"/>
      <c r="E34" s="6"/>
      <c r="F34" s="6"/>
      <c r="G34" s="6"/>
      <c r="H34" s="6"/>
      <c r="K34" s="6">
        <v>0.8</v>
      </c>
      <c r="L34" s="6"/>
    </row>
    <row r="36" spans="1:12" x14ac:dyDescent="0.2">
      <c r="A36" t="s">
        <v>85</v>
      </c>
      <c r="C36" s="6">
        <v>15</v>
      </c>
      <c r="D36" s="6"/>
      <c r="E36" s="6"/>
      <c r="F36" s="6"/>
      <c r="G36" s="6"/>
      <c r="H36" s="6"/>
      <c r="K36" s="6">
        <v>15</v>
      </c>
      <c r="L36" s="6"/>
    </row>
    <row r="38" spans="1:12" x14ac:dyDescent="0.2">
      <c r="A38" t="s">
        <v>90</v>
      </c>
      <c r="C38" s="6" t="s">
        <v>92</v>
      </c>
      <c r="D38" s="6"/>
      <c r="E38" s="6"/>
      <c r="F38" s="6"/>
      <c r="G38" s="6"/>
      <c r="H38" s="6"/>
      <c r="K38" s="6">
        <f>(K5/2)*SIN(RADIANS(K3-90+180))/SIN(RADIANS(K3))</f>
        <v>57.046453680331837</v>
      </c>
      <c r="L38" s="6"/>
    </row>
    <row r="40" spans="1:12" x14ac:dyDescent="0.2">
      <c r="A40" t="s">
        <v>91</v>
      </c>
      <c r="C40" s="6" t="s">
        <v>93</v>
      </c>
      <c r="D40" s="6"/>
      <c r="E40" s="6"/>
      <c r="F40" s="6"/>
      <c r="G40" s="6"/>
      <c r="H40" s="6"/>
      <c r="K40" s="6">
        <f>K11/2*SIN(K36-90+180)/SIN(K36)</f>
        <v>-18.658156715595034</v>
      </c>
      <c r="L40" s="6"/>
    </row>
  </sheetData>
  <mergeCells count="35"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  <mergeCell ref="C19:H19"/>
    <mergeCell ref="K19:L19"/>
    <mergeCell ref="C21:H21"/>
    <mergeCell ref="K21:L21"/>
    <mergeCell ref="C23:H23"/>
    <mergeCell ref="C25:H25"/>
    <mergeCell ref="K25:L25"/>
    <mergeCell ref="C17:H17"/>
    <mergeCell ref="K17:L17"/>
    <mergeCell ref="C15:H15"/>
    <mergeCell ref="K15:L15"/>
    <mergeCell ref="C9:H9"/>
    <mergeCell ref="K9:L9"/>
    <mergeCell ref="C11:H11"/>
    <mergeCell ref="K11:L11"/>
    <mergeCell ref="C13:H13"/>
    <mergeCell ref="K13:L13"/>
    <mergeCell ref="C3:H3"/>
    <mergeCell ref="K3:L3"/>
    <mergeCell ref="C5:H5"/>
    <mergeCell ref="K5:L5"/>
    <mergeCell ref="C7:H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2021-04-03T14:59:55Z</dcterms:modified>
</cp:coreProperties>
</file>