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C3B17532-0DED-A449-BAA4-B32933BBC588}" xr6:coauthVersionLast="46" xr6:coauthVersionMax="46" xr10:uidLastSave="{00000000-0000-0000-0000-000000000000}"/>
  <bookViews>
    <workbookView xWindow="14520" yWindow="0" windowWidth="14280" windowHeight="18000" activeTab="1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K27" i="2"/>
  <c r="K16" i="1"/>
  <c r="K4" i="1" l="1"/>
  <c r="N35" i="1" l="1"/>
  <c r="K6" i="1"/>
  <c r="K8" i="1" s="1"/>
  <c r="K14" i="1"/>
  <c r="K10" i="1"/>
  <c r="K12" i="1" s="1"/>
  <c r="K7" i="3" l="1"/>
  <c r="K5" i="3" s="1"/>
  <c r="K9" i="3" l="1"/>
  <c r="K11" i="3" s="1"/>
  <c r="K40" i="3" s="1"/>
  <c r="K17" i="3"/>
  <c r="K19" i="3" s="1"/>
  <c r="K21" i="3" s="1"/>
  <c r="K15" i="3"/>
  <c r="K3" i="3"/>
  <c r="K13" i="3" l="1"/>
  <c r="K32" i="3" s="1"/>
  <c r="K27" i="3"/>
  <c r="K38" i="3"/>
  <c r="K25" i="3"/>
</calcChain>
</file>

<file path=xl/sharedStrings.xml><?xml version="1.0" encoding="utf-8"?>
<sst xmlns="http://schemas.openxmlformats.org/spreadsheetml/2006/main" count="100" uniqueCount="98">
  <si>
    <t>M = Gas Molecular Weight (Combustion of gaseous/hydrocarbon fuel)  = 24</t>
  </si>
  <si>
    <t>Gamma = 1.2</t>
  </si>
  <si>
    <t>Thrust / Impulse</t>
  </si>
  <si>
    <t>Description</t>
  </si>
  <si>
    <t>Calculations</t>
  </si>
  <si>
    <t>lbf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</si>
  <si>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</si>
  <si>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</si>
  <si>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</si>
  <si>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</si>
  <si>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</si>
  <si>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</si>
  <si>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</si>
  <si>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</si>
  <si>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</si>
  <si>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</si>
  <si>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</si>
  <si>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</si>
  <si>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</si>
  <si>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</si>
  <si>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</si>
  <si>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</si>
  <si>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</si>
  <si>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</si>
  <si>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</si>
  <si>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Earths Gravitation (g)</t>
  </si>
  <si>
    <t>Exit Area (Ae)</t>
  </si>
  <si>
    <t>Exit Diameter (De)</t>
  </si>
  <si>
    <t>Chamber Volume (Vc)</t>
  </si>
  <si>
    <t>Chamber Diameter (Dc)</t>
  </si>
  <si>
    <t>3.65 * Throat Area</t>
  </si>
  <si>
    <t>Chamber Length</t>
  </si>
  <si>
    <t>in</t>
  </si>
  <si>
    <t>Optimum Expansion Ratio</t>
  </si>
  <si>
    <t>Chamber Characteristic Length (L*)</t>
  </si>
  <si>
    <t>L* x Throat Area</t>
  </si>
  <si>
    <t>Change</t>
  </si>
  <si>
    <t>Isp = F / mass flow * gravity constant</t>
  </si>
  <si>
    <t>50kn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</si>
  <si>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</si>
  <si>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</si>
  <si>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</si>
  <si>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</si>
  <si>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</si>
  <si>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 xml:space="preserve">Exit Velocity </t>
  </si>
  <si>
    <t xml:space="preserve"> 101.3 kPa</t>
  </si>
  <si>
    <t>2 / (SHR - 1) * [((Chamber Pressure / Atm Pressure) ^ (SHR - 1 / SHR)) - 1]</t>
  </si>
  <si>
    <t>!!</t>
  </si>
  <si>
    <t>SQRT(4 * Exit Area / Pi)</t>
  </si>
  <si>
    <t>2 * Chamber Radius</t>
  </si>
  <si>
    <t>Chamber Radius (Rc)</t>
  </si>
  <si>
    <t>sqrt(Chamber Area / pi)</t>
  </si>
  <si>
    <t>Chamber Area (Ac)</t>
  </si>
  <si>
    <t>Throat Area * contraction area ratio</t>
  </si>
  <si>
    <t>Throat Radius (Rt)</t>
  </si>
  <si>
    <t>sqrt(Throat Area / PI)</t>
  </si>
  <si>
    <t>Characteristic Velocity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</si>
  <si>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</si>
  <si>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</si>
  <si>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</si>
  <si>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</si>
  <si>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</si>
  <si>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</si>
  <si>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Geometry (Imperial Units)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</si>
  <si>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</si>
  <si>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</si>
  <si>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</si>
  <si>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</si>
  <si>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</si>
  <si>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SQRT(2 / (gamma - 1) * ((Chamber Pressure / ) ** ((gamma - 1) / gamma) - 1))</t>
  </si>
  <si>
    <t>Ambient Pressure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</si>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</sst>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onsolas"/>
      <family val="2"/>
    </font>
    <font>
      <b/>
      <sz val="16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1"/>
  <sheetViews>
    <sheetView workbookViewId="0">
      <selection activeCell="C18" sqref="C18"/>
    </sheetView>
  </sheetViews>
  <sheetFormatPr baseColWidth="10" defaultRowHeight="16" x14ac:dyDescent="0.2"/>
  <sheetData>
    <row r="1" spans="1:2" ht="23" x14ac:dyDescent="0.3">
      <c r="A1" s="16" t="s">
        <v>94</v>
      </c>
      <c r="B1" s="7"/>
    </row>
    <row r="2" spans="1:2" x14ac:dyDescent="0.2">
      <c r="A2" s="15"/>
      <c r="B2" s="7"/>
    </row>
    <row r="3" spans="1:2" x14ac:dyDescent="0.2">
      <c r="A3" s="15" t="s">
        <v>84</v>
      </c>
      <c r="B3" s="7"/>
    </row>
    <row r="4" spans="1:2" x14ac:dyDescent="0.2">
      <c r="A4" s="15" t="s">
        <v>85</v>
      </c>
      <c r="B4" s="7"/>
    </row>
    <row r="5" spans="1:2" x14ac:dyDescent="0.2">
      <c r="A5" s="15" t="s">
        <v>86</v>
      </c>
      <c r="B5" s="7"/>
    </row>
    <row r="6" spans="1:2" x14ac:dyDescent="0.2">
      <c r="A6" s="15" t="s">
        <v>87</v>
      </c>
      <c r="B6" s="7"/>
    </row>
    <row r="7" spans="1:2" x14ac:dyDescent="0.2">
      <c r="A7" s="15" t="s">
        <v>88</v>
      </c>
      <c r="B7" s="7"/>
    </row>
    <row r="8" spans="1:2" x14ac:dyDescent="0.2">
      <c r="A8" s="15" t="s">
        <v>89</v>
      </c>
      <c r="B8" s="7"/>
    </row>
    <row r="9" spans="1:2" x14ac:dyDescent="0.2">
      <c r="A9" s="15" t="s">
        <v>90</v>
      </c>
      <c r="B9" s="7"/>
    </row>
    <row r="10" spans="1:2" x14ac:dyDescent="0.2">
      <c r="A10" s="15" t="s">
        <v>91</v>
      </c>
      <c r="B10" s="7"/>
    </row>
    <row r="11" spans="1:2" x14ac:dyDescent="0.2">
      <c r="A11" s="15" t="s">
        <v>92</v>
      </c>
      <c r="B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3"/>
  <sheetViews>
    <sheetView tabSelected="1" zoomScaleNormal="100" workbookViewId="0">
      <selection activeCell="A21" sqref="A21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8" ht="21" x14ac:dyDescent="0.25">
      <c r="A1" s="3" t="s">
        <v>71</v>
      </c>
    </row>
    <row r="3" spans="1:8" x14ac:dyDescent="0.2">
      <c r="A3" s="7" t="s">
        <v>42</v>
      </c>
      <c r="B3">
        <v>11240</v>
      </c>
      <c r="C3" t="s">
        <v>5</v>
      </c>
      <c r="D3" t="s">
        <v>38</v>
      </c>
    </row>
    <row r="4" spans="1:8" x14ac:dyDescent="0.2">
      <c r="A4" s="7"/>
    </row>
    <row r="5" spans="1:8" x14ac:dyDescent="0.2">
      <c r="A5" s="7" t="s">
        <v>72</v>
      </c>
      <c r="B5">
        <v>50</v>
      </c>
    </row>
    <row r="6" spans="1:8" x14ac:dyDescent="0.2">
      <c r="A6" s="7"/>
    </row>
    <row r="7" spans="1:8" x14ac:dyDescent="0.2">
      <c r="A7" s="7" t="s">
        <v>6</v>
      </c>
      <c r="B7" t="s">
        <v>7</v>
      </c>
      <c r="C7" t="s">
        <v>8</v>
      </c>
      <c r="D7" t="s">
        <v>9</v>
      </c>
    </row>
    <row r="8" spans="1:8" x14ac:dyDescent="0.2">
      <c r="A8" s="7"/>
    </row>
    <row r="9" spans="1:8" x14ac:dyDescent="0.2">
      <c r="A9" s="7" t="s">
        <v>41</v>
      </c>
      <c r="B9" s="11">
        <f>B3/(B5*9.80665)</f>
        <v>22.923220467743828</v>
      </c>
      <c r="C9" s="11"/>
      <c r="D9" s="11"/>
      <c r="E9" s="11" t="s">
        <v>37</v>
      </c>
      <c r="F9" s="11"/>
      <c r="G9" s="11"/>
      <c r="H9" s="11"/>
    </row>
    <row r="10" spans="1:8" x14ac:dyDescent="0.2">
      <c r="A10" s="7"/>
    </row>
    <row r="11" spans="1:8" x14ac:dyDescent="0.2">
      <c r="A11" s="7" t="s">
        <v>40</v>
      </c>
      <c r="B11" s="11">
        <v>5642.33</v>
      </c>
      <c r="C11" s="11"/>
      <c r="D11" s="11"/>
    </row>
    <row r="12" spans="1:8" x14ac:dyDescent="0.2">
      <c r="A12" s="7"/>
    </row>
    <row r="13" spans="1:8" x14ac:dyDescent="0.2">
      <c r="A13" s="7" t="s">
        <v>39</v>
      </c>
      <c r="B13" s="11">
        <v>5000</v>
      </c>
      <c r="C13" s="11"/>
      <c r="D13" s="11"/>
      <c r="E13" t="s">
        <v>36</v>
      </c>
    </row>
    <row r="14" spans="1:8" x14ac:dyDescent="0.2">
      <c r="A14" s="7"/>
    </row>
    <row r="15" spans="1:8" x14ac:dyDescent="0.2">
      <c r="A15" s="7" t="s">
        <v>43</v>
      </c>
      <c r="B15" s="11">
        <v>1.3</v>
      </c>
      <c r="C15" s="11"/>
      <c r="D15" s="11"/>
    </row>
    <row r="16" spans="1:8" x14ac:dyDescent="0.2">
      <c r="A16" s="7"/>
    </row>
    <row r="17" spans="1:13" x14ac:dyDescent="0.2">
      <c r="A17" s="7" t="s">
        <v>79</v>
      </c>
      <c r="B17" s="11">
        <v>5</v>
      </c>
      <c r="C17" s="11"/>
      <c r="D17" s="11"/>
    </row>
    <row r="18" spans="1:13" x14ac:dyDescent="0.2">
      <c r="A18" s="7"/>
    </row>
    <row r="19" spans="1:13" x14ac:dyDescent="0.2">
      <c r="A19" s="7" t="s">
        <v>33</v>
      </c>
    </row>
    <row r="20" spans="1:13" x14ac:dyDescent="0.2">
      <c r="A20" s="7"/>
      <c r="B20" s="1"/>
      <c r="E20" s="1"/>
      <c r="K20" s="11">
        <v>65</v>
      </c>
      <c r="L20" s="11"/>
    </row>
    <row r="21" spans="1:13" x14ac:dyDescent="0.2">
      <c r="A21" s="8" t="s">
        <v>97</v>
      </c>
      <c r="C21" s="1" t="s">
        <v>0</v>
      </c>
    </row>
    <row r="22" spans="1:13" x14ac:dyDescent="0.2">
      <c r="A22" s="7"/>
      <c r="C22" s="11"/>
      <c r="D22" s="11"/>
      <c r="E22" s="11"/>
      <c r="F22" s="11"/>
      <c r="G22" s="11"/>
      <c r="H22" s="11"/>
    </row>
    <row r="23" spans="1:13" x14ac:dyDescent="0.2">
      <c r="A23" s="7" t="s">
        <v>62</v>
      </c>
      <c r="C23" s="11" t="s">
        <v>96</v>
      </c>
      <c r="D23" s="11"/>
      <c r="E23" s="11"/>
      <c r="F23" s="11"/>
      <c r="G23" s="11"/>
      <c r="H23" s="11"/>
      <c r="K23" s="11">
        <v>8314</v>
      </c>
      <c r="L23" s="11"/>
    </row>
    <row r="24" spans="1:13" x14ac:dyDescent="0.2">
      <c r="A24" s="7"/>
    </row>
    <row r="25" spans="1:13" x14ac:dyDescent="0.2">
      <c r="A25" s="9" t="s">
        <v>58</v>
      </c>
      <c r="C25" s="11" t="s">
        <v>1</v>
      </c>
      <c r="D25" s="11"/>
      <c r="E25" s="11"/>
      <c r="F25" s="11"/>
      <c r="G25" s="11"/>
      <c r="H25" s="11"/>
      <c r="K25" s="11">
        <v>1.2</v>
      </c>
      <c r="L25" s="11"/>
    </row>
    <row r="26" spans="1:13" x14ac:dyDescent="0.2">
      <c r="A26" s="9"/>
    </row>
    <row r="27" spans="1:13" x14ac:dyDescent="0.2">
      <c r="A27" s="9" t="s">
        <v>59</v>
      </c>
      <c r="C27" s="11" t="s">
        <v>60</v>
      </c>
      <c r="D27" s="11"/>
      <c r="E27" s="11"/>
      <c r="F27" s="11"/>
      <c r="G27" s="11"/>
      <c r="H27" s="11"/>
      <c r="K27" s="11">
        <f>K23/24</f>
        <v>346.41666666666669</v>
      </c>
      <c r="L27" s="11"/>
      <c r="M27" t="s">
        <v>61</v>
      </c>
    </row>
    <row r="29" spans="1:13" x14ac:dyDescent="0.2">
      <c r="A29" s="9" t="s">
        <v>25</v>
      </c>
      <c r="C29" s="11" t="s">
        <v>95</v>
      </c>
      <c r="D29" s="11"/>
      <c r="E29" s="11"/>
      <c r="F29" s="11"/>
      <c r="G29" s="11"/>
      <c r="H29" s="11"/>
      <c r="K29" s="11">
        <v>9.81</v>
      </c>
      <c r="L29" s="11"/>
    </row>
    <row r="30" spans="1:13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3" x14ac:dyDescent="0.2">
      <c r="A31" s="9" t="s">
        <v>70</v>
      </c>
      <c r="K31" s="11" t="s">
        <v>45</v>
      </c>
      <c r="L31" s="11"/>
    </row>
    <row r="33" spans="1:1" x14ac:dyDescent="0.2">
      <c r="A33" s="9"/>
    </row>
  </sheetData>
  <mergeCells count="17">
    <mergeCell ref="K31:L31"/>
    <mergeCell ref="B11:D11"/>
    <mergeCell ref="B13:D13"/>
    <mergeCell ref="B9:D9"/>
    <mergeCell ref="E9:H9"/>
    <mergeCell ref="B15:D15"/>
    <mergeCell ref="C29:H29"/>
    <mergeCell ref="K29:L29"/>
    <mergeCell ref="K20:L20"/>
    <mergeCell ref="C22:H22"/>
    <mergeCell ref="C23:H23"/>
    <mergeCell ref="K23:L23"/>
    <mergeCell ref="B17:D17"/>
    <mergeCell ref="C25:H25"/>
    <mergeCell ref="K25:L25"/>
    <mergeCell ref="C27:H27"/>
    <mergeCell ref="K27:L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N35"/>
  <sheetViews>
    <sheetView zoomScaleNormal="100" workbookViewId="0">
      <selection activeCell="C10" sqref="C10:H10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2" x14ac:dyDescent="0.2">
      <c r="A1" s="14" t="s">
        <v>93</v>
      </c>
      <c r="B1" s="11"/>
      <c r="C1" s="11"/>
    </row>
    <row r="2" spans="1:12" x14ac:dyDescent="0.2">
      <c r="A2" s="11"/>
      <c r="B2" s="11"/>
      <c r="C2" s="11"/>
      <c r="E2" s="13" t="s">
        <v>3</v>
      </c>
      <c r="F2" s="13"/>
      <c r="K2" s="13" t="s">
        <v>4</v>
      </c>
      <c r="L2" s="13"/>
    </row>
    <row r="4" spans="1:12" x14ac:dyDescent="0.2">
      <c r="A4" t="s">
        <v>16</v>
      </c>
      <c r="C4" s="11" t="s">
        <v>2</v>
      </c>
      <c r="D4" s="11"/>
      <c r="E4" s="11"/>
      <c r="F4" s="11"/>
      <c r="G4" s="11"/>
      <c r="H4" s="11"/>
      <c r="K4" s="11">
        <f>Constants!B3/Constants!B9</f>
        <v>490.33249999999998</v>
      </c>
      <c r="L4" s="11"/>
    </row>
    <row r="6" spans="1:12" x14ac:dyDescent="0.2">
      <c r="A6" t="s">
        <v>17</v>
      </c>
      <c r="C6" s="11" t="s">
        <v>11</v>
      </c>
      <c r="D6" s="11"/>
      <c r="E6" s="11"/>
      <c r="F6" s="11"/>
      <c r="G6" s="11"/>
      <c r="H6" s="11"/>
      <c r="K6" s="11">
        <f>(K4/Constants!B15)+1</f>
        <v>378.17884615384611</v>
      </c>
      <c r="L6" s="11"/>
    </row>
    <row r="8" spans="1:12" x14ac:dyDescent="0.2">
      <c r="A8" t="s">
        <v>18</v>
      </c>
      <c r="C8" s="11" t="s">
        <v>10</v>
      </c>
      <c r="D8" s="11"/>
      <c r="E8" s="11"/>
      <c r="F8" s="11"/>
      <c r="G8" s="11"/>
      <c r="H8" s="11"/>
      <c r="K8" s="11">
        <f>K4-K6</f>
        <v>112.15365384615387</v>
      </c>
      <c r="L8" s="11"/>
    </row>
    <row r="10" spans="1:12" x14ac:dyDescent="0.2">
      <c r="A10" t="s">
        <v>19</v>
      </c>
      <c r="C10" s="11" t="s">
        <v>12</v>
      </c>
      <c r="D10" s="11"/>
      <c r="E10" s="11"/>
      <c r="F10" s="11"/>
      <c r="G10" s="11"/>
      <c r="H10" s="11"/>
      <c r="K10" s="11">
        <f>Constants!B11 + 460</f>
        <v>6102.33</v>
      </c>
      <c r="L10" s="11"/>
    </row>
    <row r="11" spans="1:12" x14ac:dyDescent="0.2">
      <c r="C11" s="1"/>
      <c r="D11" s="1"/>
      <c r="E11" s="1"/>
      <c r="F11" s="1"/>
      <c r="G11" s="1"/>
      <c r="H11" s="1"/>
    </row>
    <row r="12" spans="1:12" x14ac:dyDescent="0.2">
      <c r="A12" t="s">
        <v>20</v>
      </c>
      <c r="C12" s="11" t="s">
        <v>13</v>
      </c>
      <c r="D12" s="11"/>
      <c r="E12" s="11"/>
      <c r="F12" s="11"/>
      <c r="G12" s="11"/>
      <c r="H12" s="11"/>
      <c r="K12" s="11">
        <f>0.909*K10</f>
        <v>5547.0179699999999</v>
      </c>
      <c r="L12" s="11"/>
    </row>
    <row r="13" spans="1:12" x14ac:dyDescent="0.2">
      <c r="C13" s="2"/>
      <c r="D13" s="2"/>
      <c r="E13" s="2"/>
      <c r="F13" s="2"/>
      <c r="G13" s="2"/>
      <c r="H13" s="2"/>
    </row>
    <row r="14" spans="1:12" x14ac:dyDescent="0.2">
      <c r="A14" t="s">
        <v>21</v>
      </c>
      <c r="C14" s="11" t="s">
        <v>14</v>
      </c>
      <c r="D14" s="11"/>
      <c r="E14" s="11"/>
      <c r="F14" s="11"/>
      <c r="G14" s="11"/>
      <c r="H14" s="11"/>
      <c r="K14" s="11">
        <f>0.564*Constants!B13</f>
        <v>2819.9999999999995</v>
      </c>
      <c r="L14" s="11"/>
    </row>
    <row r="16" spans="1:12" x14ac:dyDescent="0.2">
      <c r="A16" t="s">
        <v>44</v>
      </c>
      <c r="C16" s="11" t="s">
        <v>46</v>
      </c>
      <c r="D16" s="11"/>
      <c r="E16" s="11"/>
      <c r="F16" s="11"/>
      <c r="G16" s="11"/>
      <c r="H16" s="11"/>
      <c r="K16" s="11" t="e">
        <f>2 / (#REF!-1)*(((Constants!B13/Constants!D32)^(Properties!#REF!-1/Properties!#REF!))-1)</f>
        <v>#REF!</v>
      </c>
      <c r="L16" s="11"/>
    </row>
    <row r="17" spans="1:13" x14ac:dyDescent="0.2">
      <c r="C17" s="1"/>
      <c r="D17" s="1"/>
      <c r="E17" s="1"/>
      <c r="F17" s="1"/>
      <c r="G17" s="1"/>
      <c r="H17" s="1"/>
    </row>
    <row r="18" spans="1:13" x14ac:dyDescent="0.2">
      <c r="A18" t="s">
        <v>34</v>
      </c>
      <c r="C18" s="11"/>
      <c r="D18" s="11"/>
      <c r="E18" s="11"/>
      <c r="F18" s="11"/>
      <c r="G18" s="11"/>
      <c r="H18" s="11"/>
      <c r="K18" s="11"/>
      <c r="L18" s="11"/>
    </row>
    <row r="20" spans="1:13" x14ac:dyDescent="0.2">
      <c r="A20" t="s">
        <v>56</v>
      </c>
      <c r="C20" s="12" t="s">
        <v>57</v>
      </c>
      <c r="D20" s="12"/>
      <c r="E20" s="12"/>
      <c r="F20" s="12"/>
      <c r="G20" s="12"/>
      <c r="H20" s="12"/>
      <c r="K20" s="12">
        <v>2.5982911572999998</v>
      </c>
      <c r="L20" s="11"/>
    </row>
    <row r="21" spans="1:13" x14ac:dyDescent="0.2">
      <c r="C21" s="12"/>
      <c r="D21" s="12"/>
      <c r="E21" s="12"/>
      <c r="F21" s="12"/>
      <c r="G21" s="12"/>
      <c r="H21" s="12"/>
    </row>
    <row r="23" spans="1:13" x14ac:dyDescent="0.2">
      <c r="A23" t="s">
        <v>68</v>
      </c>
      <c r="C23" s="11" t="s">
        <v>69</v>
      </c>
      <c r="D23" s="11"/>
      <c r="E23" s="11"/>
      <c r="F23" s="11"/>
      <c r="G23" s="11"/>
      <c r="H23" s="11"/>
    </row>
    <row r="27" spans="1:13" x14ac:dyDescent="0.2">
      <c r="M27" s="4" t="s">
        <v>47</v>
      </c>
    </row>
    <row r="35" spans="14:14" x14ac:dyDescent="0.2">
      <c r="N35">
        <f>K20*K4/Constants!B13</f>
        <v>0.25480531977736043</v>
      </c>
    </row>
  </sheetData>
  <mergeCells count="22">
    <mergeCell ref="C10:H10"/>
    <mergeCell ref="C12:H12"/>
    <mergeCell ref="C14:H14"/>
    <mergeCell ref="K10:L10"/>
    <mergeCell ref="K12:L12"/>
    <mergeCell ref="C6:H6"/>
    <mergeCell ref="C8:H8"/>
    <mergeCell ref="C4:H4"/>
    <mergeCell ref="K2:L2"/>
    <mergeCell ref="A1:C2"/>
    <mergeCell ref="E2:F2"/>
    <mergeCell ref="K4:L4"/>
    <mergeCell ref="K6:L6"/>
    <mergeCell ref="K8:L8"/>
    <mergeCell ref="K20:L20"/>
    <mergeCell ref="C20:H21"/>
    <mergeCell ref="C23:H23"/>
    <mergeCell ref="K14:L14"/>
    <mergeCell ref="K16:L16"/>
    <mergeCell ref="C16:H16"/>
    <mergeCell ref="K18:L18"/>
    <mergeCell ref="C18:H1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zoomScale="84" workbookViewId="0">
      <selection activeCell="K40" sqref="K40:L40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63</v>
      </c>
    </row>
    <row r="3" spans="1:12" x14ac:dyDescent="0.2">
      <c r="A3" t="s">
        <v>54</v>
      </c>
      <c r="C3" s="11" t="s">
        <v>55</v>
      </c>
      <c r="D3" s="11"/>
      <c r="E3" s="11"/>
      <c r="F3" s="11"/>
      <c r="G3" s="11"/>
      <c r="H3" s="11"/>
      <c r="K3" s="11">
        <f>SQRT(Geometry!K7/3.14)</f>
        <v>2.5535562140378878</v>
      </c>
      <c r="L3" s="11"/>
    </row>
    <row r="5" spans="1:12" x14ac:dyDescent="0.2">
      <c r="A5" t="s">
        <v>22</v>
      </c>
      <c r="C5" s="11" t="s">
        <v>15</v>
      </c>
      <c r="D5" s="11"/>
      <c r="E5" s="11"/>
      <c r="F5" s="11"/>
      <c r="G5" s="11"/>
      <c r="H5" s="11"/>
      <c r="K5" s="11">
        <f>SQRT(4*K7/3.14)</f>
        <v>5.1071124280757756</v>
      </c>
      <c r="L5" s="11"/>
    </row>
    <row r="7" spans="1:12" x14ac:dyDescent="0.2">
      <c r="A7" t="s">
        <v>23</v>
      </c>
      <c r="C7" s="11" t="s">
        <v>24</v>
      </c>
      <c r="D7" s="11"/>
      <c r="E7" s="11"/>
      <c r="F7" s="11"/>
      <c r="G7" s="11"/>
      <c r="H7" s="11"/>
      <c r="K7" s="11">
        <f>Properties!K4/Properties!K14 *SQRT(Constants!K27*Properties!K12)/(Constants!K25*Constants!K29)</f>
        <v>20.474838922109743</v>
      </c>
      <c r="L7" s="11"/>
    </row>
    <row r="9" spans="1:12" x14ac:dyDescent="0.2">
      <c r="A9" t="s">
        <v>26</v>
      </c>
      <c r="C9" s="11" t="s">
        <v>30</v>
      </c>
      <c r="D9" s="11"/>
      <c r="E9" s="11"/>
      <c r="F9" s="11"/>
      <c r="G9" s="11"/>
      <c r="H9" s="11"/>
      <c r="K9" s="11">
        <f>3.65*K7</f>
        <v>74.733162065700554</v>
      </c>
      <c r="L9" s="11"/>
    </row>
    <row r="11" spans="1:12" x14ac:dyDescent="0.2">
      <c r="A11" t="s">
        <v>27</v>
      </c>
      <c r="C11" s="11" t="s">
        <v>48</v>
      </c>
      <c r="D11" s="11"/>
      <c r="E11" s="11"/>
      <c r="F11" s="11"/>
      <c r="G11" s="11"/>
      <c r="H11" s="11"/>
      <c r="I11" t="s">
        <v>32</v>
      </c>
      <c r="K11" s="11">
        <f>SQRT( 4* K9/3.14)</f>
        <v>9.757124593776183</v>
      </c>
      <c r="L11" s="11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77</v>
      </c>
      <c r="C13" s="11" t="s">
        <v>78</v>
      </c>
      <c r="D13" s="11"/>
      <c r="E13" s="11"/>
      <c r="F13" s="11"/>
      <c r="G13" s="11"/>
      <c r="H13" s="11"/>
      <c r="K13" s="11">
        <f>K11/2</f>
        <v>4.8785622968880915</v>
      </c>
      <c r="L13" s="11"/>
    </row>
    <row r="15" spans="1:12" x14ac:dyDescent="0.2">
      <c r="A15" t="s">
        <v>28</v>
      </c>
      <c r="C15" s="11" t="s">
        <v>35</v>
      </c>
      <c r="D15" s="11"/>
      <c r="E15" s="11"/>
      <c r="F15" s="11"/>
      <c r="G15" s="11"/>
      <c r="H15" s="11"/>
      <c r="K15" s="11">
        <f>Properties!K18*Geometry!K7</f>
        <v>0</v>
      </c>
      <c r="L15" s="11"/>
    </row>
    <row r="17" spans="1:12" x14ac:dyDescent="0.2">
      <c r="A17" t="s">
        <v>52</v>
      </c>
      <c r="C17" s="11" t="s">
        <v>53</v>
      </c>
      <c r="D17" s="11"/>
      <c r="E17" s="11"/>
      <c r="F17" s="11"/>
      <c r="G17" s="11"/>
      <c r="H17" s="11"/>
      <c r="K17" s="11">
        <f>K7*Constants!B17</f>
        <v>102.37419461054871</v>
      </c>
      <c r="L17" s="11"/>
    </row>
    <row r="19" spans="1:12" x14ac:dyDescent="0.2">
      <c r="A19" t="s">
        <v>50</v>
      </c>
      <c r="C19" s="11" t="s">
        <v>51</v>
      </c>
      <c r="D19" s="11"/>
      <c r="E19" s="11"/>
      <c r="F19" s="11"/>
      <c r="G19" s="11"/>
      <c r="H19" s="11"/>
      <c r="K19" s="11">
        <f>SQRT(K17/3.14)</f>
        <v>5.70992527895572</v>
      </c>
      <c r="L19" s="11"/>
    </row>
    <row r="21" spans="1:12" x14ac:dyDescent="0.2">
      <c r="A21" t="s">
        <v>29</v>
      </c>
      <c r="C21" s="11" t="s">
        <v>49</v>
      </c>
      <c r="D21" s="11"/>
      <c r="E21" s="11"/>
      <c r="F21" s="11"/>
      <c r="G21" s="11"/>
      <c r="H21" s="11"/>
      <c r="I21" t="s">
        <v>32</v>
      </c>
      <c r="K21" s="11">
        <f xml:space="preserve"> 2*K19</f>
        <v>11.41985055791144</v>
      </c>
      <c r="L21" s="11"/>
    </row>
    <row r="23" spans="1:12" x14ac:dyDescent="0.2">
      <c r="A23" t="s">
        <v>31</v>
      </c>
      <c r="C23" s="11"/>
      <c r="D23" s="11"/>
      <c r="E23" s="11"/>
      <c r="F23" s="11"/>
      <c r="G23" s="11"/>
      <c r="H23" s="11"/>
      <c r="I23" t="s">
        <v>32</v>
      </c>
    </row>
    <row r="25" spans="1:12" ht="51" x14ac:dyDescent="0.2">
      <c r="A25" s="6" t="s">
        <v>64</v>
      </c>
      <c r="C25" s="11" t="s">
        <v>65</v>
      </c>
      <c r="D25" s="11"/>
      <c r="E25" s="11"/>
      <c r="F25" s="11"/>
      <c r="G25" s="11"/>
      <c r="H25" s="11"/>
      <c r="K25" s="11">
        <f>0.382*K3</f>
        <v>0.97545847376247319</v>
      </c>
      <c r="L25" s="11"/>
    </row>
    <row r="27" spans="1:12" x14ac:dyDescent="0.2">
      <c r="A27" s="7" t="s">
        <v>66</v>
      </c>
      <c r="C27" s="11" t="s">
        <v>67</v>
      </c>
      <c r="D27" s="11"/>
      <c r="E27" s="11"/>
      <c r="F27" s="11"/>
      <c r="G27" s="11"/>
      <c r="H27" s="11"/>
      <c r="K27" s="11">
        <f>1.5*K3</f>
        <v>3.8303343210568315</v>
      </c>
      <c r="L27" s="11"/>
    </row>
    <row r="32" spans="1:12" x14ac:dyDescent="0.2">
      <c r="A32" t="s">
        <v>73</v>
      </c>
      <c r="C32" s="11" t="s">
        <v>76</v>
      </c>
      <c r="D32" s="11"/>
      <c r="E32" s="11"/>
      <c r="F32" s="11"/>
      <c r="G32" s="11"/>
      <c r="H32" s="11"/>
      <c r="K32" s="11">
        <f>(K13-K3)/TAN(RADIANS(K36))*K34</f>
        <v>6.9416326632829239</v>
      </c>
      <c r="L32" s="11"/>
    </row>
    <row r="34" spans="1:12" x14ac:dyDescent="0.2">
      <c r="A34" t="s">
        <v>74</v>
      </c>
      <c r="C34" s="11">
        <v>0.8</v>
      </c>
      <c r="D34" s="11"/>
      <c r="E34" s="11"/>
      <c r="F34" s="11"/>
      <c r="G34" s="11"/>
      <c r="H34" s="11"/>
      <c r="K34" s="11">
        <v>0.8</v>
      </c>
      <c r="L34" s="11"/>
    </row>
    <row r="36" spans="1:12" x14ac:dyDescent="0.2">
      <c r="A36" t="s">
        <v>75</v>
      </c>
      <c r="C36" s="11">
        <v>15</v>
      </c>
      <c r="D36" s="11"/>
      <c r="E36" s="11"/>
      <c r="F36" s="11"/>
      <c r="G36" s="11"/>
      <c r="H36" s="11"/>
      <c r="K36" s="11">
        <v>15</v>
      </c>
      <c r="L36" s="11"/>
    </row>
    <row r="38" spans="1:12" x14ac:dyDescent="0.2">
      <c r="A38" t="s">
        <v>80</v>
      </c>
      <c r="C38" s="11" t="s">
        <v>82</v>
      </c>
      <c r="D38" s="11"/>
      <c r="E38" s="11"/>
      <c r="F38" s="11"/>
      <c r="G38" s="11"/>
      <c r="H38" s="11"/>
      <c r="K38" s="11">
        <f>(K5/2)*SIN(RADIANS(K3-90+180))/SIN(RADIANS(K3))</f>
        <v>57.25783888858431</v>
      </c>
      <c r="L38" s="11"/>
    </row>
    <row r="40" spans="1:12" x14ac:dyDescent="0.2">
      <c r="A40" t="s">
        <v>81</v>
      </c>
      <c r="C40" s="11" t="s">
        <v>83</v>
      </c>
      <c r="D40" s="11"/>
      <c r="E40" s="11"/>
      <c r="F40" s="11"/>
      <c r="G40" s="11"/>
      <c r="H40" s="11"/>
      <c r="K40" s="11">
        <f>K11/2*SIN(K36-90+180)/SIN(K36)</f>
        <v>-7.2811093021846789</v>
      </c>
      <c r="L40" s="11"/>
    </row>
  </sheetData>
  <mergeCells count="35">
    <mergeCell ref="C3:H3"/>
    <mergeCell ref="K3:L3"/>
    <mergeCell ref="C5:H5"/>
    <mergeCell ref="K5:L5"/>
    <mergeCell ref="C7:H7"/>
    <mergeCell ref="K7:L7"/>
    <mergeCell ref="C9:H9"/>
    <mergeCell ref="K9:L9"/>
    <mergeCell ref="C11:H11"/>
    <mergeCell ref="K11:L11"/>
    <mergeCell ref="C13:H13"/>
    <mergeCell ref="K13:L13"/>
    <mergeCell ref="C25:H25"/>
    <mergeCell ref="K25:L25"/>
    <mergeCell ref="C17:H17"/>
    <mergeCell ref="K17:L17"/>
    <mergeCell ref="C15:H15"/>
    <mergeCell ref="K15:L15"/>
    <mergeCell ref="C19:H19"/>
    <mergeCell ref="K19:L19"/>
    <mergeCell ref="C21:H21"/>
    <mergeCell ref="K21:L21"/>
    <mergeCell ref="C23:H23"/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2021-04-09T08:50:13Z</dcterms:modified>
</cp:coreProperties>
</file>