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F8F04533-3788-5640-ABF6-85D243FE2B76}" xr6:coauthVersionLast="46" xr6:coauthVersionMax="46" xr10:uidLastSave="{00000000-0000-0000-0000-000000000000}"/>
  <bookViews>
    <workbookView xWindow="12920" yWindow="500" windowWidth="14280" windowHeight="16280" activeTab="1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16" i="1" s="1"/>
  <c r="M20" i="1"/>
  <c r="B9" i="2" l="1"/>
  <c r="K4" i="1" s="1"/>
  <c r="K7" i="3" s="1"/>
  <c r="K27" i="2" l="1"/>
  <c r="N35" i="1" l="1"/>
  <c r="K6" i="1"/>
  <c r="K8" i="1" s="1"/>
  <c r="K14" i="1"/>
  <c r="K10" i="1"/>
  <c r="K12" i="1" s="1"/>
  <c r="K5" i="3" l="1"/>
  <c r="K9" i="3" l="1"/>
  <c r="K15" i="3"/>
  <c r="K3" i="3"/>
  <c r="K11" i="3" l="1"/>
  <c r="K40" i="3" s="1"/>
  <c r="K19" i="2"/>
  <c r="M25" i="1" s="1"/>
  <c r="K27" i="3"/>
  <c r="K38" i="3"/>
  <c r="K25" i="3"/>
  <c r="K13" i="3" l="1"/>
  <c r="K32" i="3" s="1"/>
  <c r="K17" i="3"/>
  <c r="K23" i="3" l="1"/>
  <c r="K21" i="3"/>
  <c r="K19" i="3" s="1"/>
</calcChain>
</file>

<file path=xl/sharedStrings.xml><?xml version="1.0" encoding="utf-8"?>
<sst xmlns="http://schemas.openxmlformats.org/spreadsheetml/2006/main" count="101" uniqueCount="100">
  <si>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</si>
  <si>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</si>
  <si>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</si>
  <si>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</si>
  <si>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</si>
  <si>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</si>
  <si>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</si>
  <si>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</si>
  <si>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</si>
  <si>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</si>
  <si>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</si>
  <si>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</si>
  <si>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</si>
  <si>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</si>
  <si>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</si>
  <si>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</si>
  <si>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</si>
  <si>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</si>
  <si>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</si>
  <si>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</si>
  <si>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</si>
  <si>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</si>
  <si>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</si>
  <si>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</si>
  <si>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</si>
  <si>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</si>
  <si>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</si>
  <si>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</si>
  <si>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3.65 * Throat Area</t>
  </si>
  <si>
    <t>Chamber Length</t>
  </si>
  <si>
    <t>Optimum Expansion Ratio</t>
  </si>
  <si>
    <t>Chamber Characteristic Length (L*)</t>
  </si>
  <si>
    <t>L* x Throat Area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</si>
  <si>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</si>
  <si>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</si>
  <si>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</si>
  <si>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</si>
  <si>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</si>
  <si>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</si>
  <si>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</si>
  <si>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</si>
  <si>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</si>
  <si>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</si>
  <si>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</si>
  <si>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</si>
  <si>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</si>
  <si>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</si>
  <si>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</si>
  <si>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</si>
  <si>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</si>
  <si>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</si>
  <si>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</si>
  <si>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</si>
  <si>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</si>
  <si>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</si>
  <si>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</si>
  <si>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</si>
  <si>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</si>
  <si>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</si>
  <si>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</si>
  <si>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</si>
  <si>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</si>
  <si>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</si>
  <si>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</si>
  <si>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</si>
  <si>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</si>
  <si>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</si>
  <si>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</si>
  <si>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</si>
  <si>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</si>
  <si>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</si>
  <si>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</si>
  <si>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</si>
  <si>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</si>
  <si>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</si>
  <si>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</si>
  <si>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</si>
  <si>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</si>
  <si>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</si>
  <si>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</si>
  <si>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</si>
  <si>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</si>
  <si>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</si>
  <si>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</si>
  <si>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</si>
  <si>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</si>
  <si>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</si>
  <si>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</si>
  <si>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</si>
  <si>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</si>
  <si>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</si>
  <si>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</si>
  <si>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</si>
  <si>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</si>
  <si>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</si>
  <si>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</si>
  <si>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125 atm</t>
  </si>
  <si>
    <t>Ambient Pressure (Pa)</t>
  </si>
  <si>
    <t>Ve = Me * sqrt (gam * R * Te)</t>
  </si>
  <si>
    <t>sqrt(2 / (gamma - 1) * ((pc / pa) ** ((gamma - 1) / gamma) - 1))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</si>
</sst>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</xdr:row>
      <xdr:rowOff>37020</xdr:rowOff>
    </xdr:from>
    <xdr:to>
      <xdr:col>7</xdr:col>
      <xdr:colOff>1879600</xdr:colOff>
      <xdr:row>29</xdr:row>
      <xdr:rowOff>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4913820"/>
          <a:ext cx="5981700" cy="97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1"/>
  <sheetViews>
    <sheetView workbookViewId="0">
      <selection activeCell="G24" sqref="G24"/>
    </sheetView>
  </sheetViews>
  <sheetFormatPr baseColWidth="10" defaultRowHeight="16" x14ac:dyDescent="0.2"/>
  <sheetData>
    <row r="1" spans="1:2" ht="23" x14ac:dyDescent="0.3">
      <c r="A1" s="13" t="s">
        <v>80</v>
      </c>
      <c r="B1" s="7"/>
    </row>
    <row r="2" spans="1:2" x14ac:dyDescent="0.2">
      <c r="A2" s="12"/>
      <c r="B2" s="7"/>
    </row>
    <row r="3" spans="1:2" x14ac:dyDescent="0.2">
      <c r="A3" s="12" t="s">
        <v>70</v>
      </c>
      <c r="B3" s="7"/>
    </row>
    <row r="4" spans="1:2" x14ac:dyDescent="0.2">
      <c r="A4" s="12" t="s">
        <v>71</v>
      </c>
      <c r="B4" s="7"/>
    </row>
    <row r="5" spans="1:2" x14ac:dyDescent="0.2">
      <c r="A5" s="12" t="s">
        <v>72</v>
      </c>
      <c r="B5" s="7"/>
    </row>
    <row r="6" spans="1:2" x14ac:dyDescent="0.2">
      <c r="A6" s="12" t="s">
        <v>73</v>
      </c>
      <c r="B6" s="7"/>
    </row>
    <row r="7" spans="1:2" x14ac:dyDescent="0.2">
      <c r="A7" s="12" t="s">
        <v>74</v>
      </c>
      <c r="B7" s="7"/>
    </row>
    <row r="8" spans="1:2" x14ac:dyDescent="0.2">
      <c r="A8" s="12" t="s">
        <v>75</v>
      </c>
      <c r="B8" s="7"/>
    </row>
    <row r="9" spans="1:2" x14ac:dyDescent="0.2">
      <c r="A9" s="12" t="s">
        <v>76</v>
      </c>
      <c r="B9" s="7"/>
    </row>
    <row r="10" spans="1:2" x14ac:dyDescent="0.2">
      <c r="A10" s="12" t="s">
        <v>77</v>
      </c>
      <c r="B10" s="7"/>
    </row>
    <row r="11" spans="1:2" x14ac:dyDescent="0.2">
      <c r="A11" s="12" t="s">
        <v>78</v>
      </c>
      <c r="B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M33"/>
  <sheetViews>
    <sheetView tabSelected="1" topLeftCell="A5" zoomScaleNormal="100" workbookViewId="0">
      <selection activeCell="B17" sqref="B17:D17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57</v>
      </c>
    </row>
    <row r="3" spans="1:9" x14ac:dyDescent="0.2">
      <c r="A3" s="7" t="s">
        <v>37</v>
      </c>
      <c r="B3">
        <v>10000</v>
      </c>
      <c r="C3" t="s">
        <v>93</v>
      </c>
    </row>
    <row r="4" spans="1:9" x14ac:dyDescent="0.2">
      <c r="A4" s="7"/>
    </row>
    <row r="5" spans="1:9" x14ac:dyDescent="0.2">
      <c r="A5" s="7" t="s">
        <v>58</v>
      </c>
      <c r="B5">
        <v>50</v>
      </c>
      <c r="C5" t="s">
        <v>33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36</v>
      </c>
      <c r="B9" s="15">
        <f>Properties!K20*Properties!K25/Constants!K29</f>
        <v>41.99143662814955</v>
      </c>
      <c r="C9" s="15"/>
      <c r="D9" s="15"/>
      <c r="E9" s="15" t="s">
        <v>92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35</v>
      </c>
      <c r="B11" s="15">
        <v>3030</v>
      </c>
      <c r="C11" s="15"/>
      <c r="D11" s="15"/>
      <c r="E11">
        <v>5442.33</v>
      </c>
    </row>
    <row r="12" spans="1:9" x14ac:dyDescent="0.2">
      <c r="A12" s="7"/>
    </row>
    <row r="13" spans="1:9" x14ac:dyDescent="0.2">
      <c r="A13" s="7" t="s">
        <v>34</v>
      </c>
      <c r="B13" s="15">
        <v>5000</v>
      </c>
      <c r="C13" s="15"/>
      <c r="D13" s="15"/>
      <c r="E13" t="s">
        <v>91</v>
      </c>
      <c r="F13" t="s">
        <v>96</v>
      </c>
    </row>
    <row r="14" spans="1:9" x14ac:dyDescent="0.2">
      <c r="A14" s="7"/>
    </row>
    <row r="15" spans="1:9" x14ac:dyDescent="0.2">
      <c r="A15" s="7" t="s">
        <v>38</v>
      </c>
      <c r="B15" s="15">
        <v>1.31</v>
      </c>
      <c r="C15" s="15"/>
      <c r="D15" s="15"/>
    </row>
    <row r="16" spans="1:9" x14ac:dyDescent="0.2">
      <c r="A16" s="7"/>
    </row>
    <row r="17" spans="1:13" x14ac:dyDescent="0.2">
      <c r="A17" s="7" t="s">
        <v>65</v>
      </c>
      <c r="B17" s="15">
        <v>5</v>
      </c>
      <c r="C17" s="15"/>
      <c r="D17" s="15"/>
    </row>
    <row r="18" spans="1:13" x14ac:dyDescent="0.2">
      <c r="A18" s="7"/>
    </row>
    <row r="19" spans="1:13" x14ac:dyDescent="0.2">
      <c r="A19" s="7" t="s">
        <v>30</v>
      </c>
      <c r="K19" s="15">
        <f>Geometry!K9/Geometry!K7</f>
        <v>3.6499999999999995</v>
      </c>
      <c r="L19" s="15"/>
    </row>
    <row r="20" spans="1:13" x14ac:dyDescent="0.2">
      <c r="A20" s="7"/>
      <c r="B20" s="1"/>
      <c r="E20" s="1"/>
      <c r="K20" s="15"/>
      <c r="L20" s="15"/>
    </row>
    <row r="21" spans="1:13" x14ac:dyDescent="0.2">
      <c r="A21" s="8" t="s">
        <v>83</v>
      </c>
      <c r="C21" s="1" t="s">
        <v>0</v>
      </c>
      <c r="K21" s="15">
        <v>23.1</v>
      </c>
      <c r="L21" s="15"/>
    </row>
    <row r="22" spans="1:13" x14ac:dyDescent="0.2">
      <c r="A22" s="7"/>
      <c r="C22" s="15"/>
      <c r="D22" s="15"/>
      <c r="E22" s="15"/>
      <c r="F22" s="15"/>
      <c r="G22" s="15"/>
      <c r="H22" s="15"/>
    </row>
    <row r="23" spans="1:13" x14ac:dyDescent="0.2">
      <c r="A23" s="7" t="s">
        <v>51</v>
      </c>
      <c r="C23" s="15" t="s">
        <v>82</v>
      </c>
      <c r="D23" s="15"/>
      <c r="E23" s="15"/>
      <c r="F23" s="15"/>
      <c r="G23" s="15"/>
      <c r="H23" s="15"/>
      <c r="K23" s="15">
        <v>8314</v>
      </c>
      <c r="L23" s="15"/>
    </row>
    <row r="24" spans="1:13" x14ac:dyDescent="0.2">
      <c r="A24" s="7"/>
    </row>
    <row r="25" spans="1:13" x14ac:dyDescent="0.2">
      <c r="A25" s="9" t="s">
        <v>47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3" x14ac:dyDescent="0.2">
      <c r="A26" s="9"/>
    </row>
    <row r="27" spans="1:13" x14ac:dyDescent="0.2">
      <c r="A27" s="9" t="s">
        <v>48</v>
      </c>
      <c r="C27" s="15" t="s">
        <v>49</v>
      </c>
      <c r="D27" s="15"/>
      <c r="E27" s="15"/>
      <c r="F27" s="15"/>
      <c r="G27" s="15"/>
      <c r="H27" s="15"/>
      <c r="K27" s="15">
        <f>K23/24</f>
        <v>346.41666666666669</v>
      </c>
      <c r="L27" s="15"/>
      <c r="M27" t="s">
        <v>50</v>
      </c>
    </row>
    <row r="29" spans="1:13" x14ac:dyDescent="0.2">
      <c r="A29" s="9" t="s">
        <v>23</v>
      </c>
      <c r="C29" s="15" t="s">
        <v>81</v>
      </c>
      <c r="D29" s="15"/>
      <c r="E29" s="15"/>
      <c r="F29" s="15"/>
      <c r="G29" s="15"/>
      <c r="H29" s="15"/>
      <c r="K29" s="15">
        <v>9.81</v>
      </c>
      <c r="L29" s="15"/>
    </row>
    <row r="30" spans="1:13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3" x14ac:dyDescent="0.2">
      <c r="A31" s="9" t="s">
        <v>97</v>
      </c>
      <c r="K31" s="15">
        <v>101.3</v>
      </c>
      <c r="L31" s="15"/>
      <c r="M31" t="s">
        <v>91</v>
      </c>
    </row>
    <row r="33" spans="1:1" x14ac:dyDescent="0.2">
      <c r="A33" s="9"/>
    </row>
  </sheetData>
  <mergeCells count="19">
    <mergeCell ref="C27:H27"/>
    <mergeCell ref="K27:L27"/>
    <mergeCell ref="K19:L19"/>
    <mergeCell ref="K31:L31"/>
    <mergeCell ref="K21:L21"/>
    <mergeCell ref="B11:D11"/>
    <mergeCell ref="B13:D13"/>
    <mergeCell ref="B9:D9"/>
    <mergeCell ref="E9:H9"/>
    <mergeCell ref="B15:D15"/>
    <mergeCell ref="C29:H29"/>
    <mergeCell ref="K29:L29"/>
    <mergeCell ref="K20:L20"/>
    <mergeCell ref="C22:H22"/>
    <mergeCell ref="C23:H23"/>
    <mergeCell ref="K23:L23"/>
    <mergeCell ref="B17:D17"/>
    <mergeCell ref="C25:H25"/>
    <mergeCell ref="K25:L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P35"/>
  <sheetViews>
    <sheetView zoomScaleNormal="100" workbookViewId="0">
      <selection activeCell="K24" sqref="K24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8" t="s">
        <v>79</v>
      </c>
      <c r="B1" s="15"/>
      <c r="C1" s="15"/>
    </row>
    <row r="2" spans="1:13" x14ac:dyDescent="0.2">
      <c r="A2" s="15"/>
      <c r="B2" s="15"/>
      <c r="C2" s="15"/>
      <c r="E2" s="17" t="s">
        <v>3</v>
      </c>
      <c r="F2" s="17"/>
      <c r="K2" s="17" t="s">
        <v>4</v>
      </c>
      <c r="L2" s="17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238.14379318702231</v>
      </c>
      <c r="L4" s="15"/>
      <c r="M4" t="s">
        <v>94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182.78915510459717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55.35463808242514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3490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19</v>
      </c>
      <c r="C12" s="15" t="s">
        <v>12</v>
      </c>
      <c r="D12" s="15"/>
      <c r="E12" s="15"/>
      <c r="F12" s="15"/>
      <c r="G12" s="15"/>
      <c r="H12" s="15"/>
      <c r="K12" s="15">
        <f>0.909*K10</f>
        <v>3172.4100000000003</v>
      </c>
      <c r="L12" s="15"/>
    </row>
    <row r="13" spans="1:13" x14ac:dyDescent="0.2">
      <c r="C13" s="2"/>
      <c r="D13" s="2"/>
      <c r="E13" s="2"/>
      <c r="F13" s="2"/>
      <c r="G13" s="2"/>
      <c r="H13" s="2"/>
    </row>
    <row r="14" spans="1:13" x14ac:dyDescent="0.2">
      <c r="A14" t="s">
        <v>20</v>
      </c>
      <c r="C14" s="15" t="s">
        <v>13</v>
      </c>
      <c r="D14" s="15"/>
      <c r="E14" s="15"/>
      <c r="F14" s="15"/>
      <c r="G14" s="15"/>
      <c r="H14" s="15"/>
      <c r="K14" s="15">
        <f>0.564*Constants!B13</f>
        <v>2819.9999999999995</v>
      </c>
      <c r="L14" s="15"/>
    </row>
    <row r="16" spans="1:13" x14ac:dyDescent="0.2">
      <c r="A16" t="s">
        <v>84</v>
      </c>
      <c r="C16" s="15" t="s">
        <v>98</v>
      </c>
      <c r="D16" s="15"/>
      <c r="E16" s="15"/>
      <c r="F16" s="15"/>
      <c r="G16" s="15"/>
      <c r="H16" s="15"/>
      <c r="K16" s="15">
        <f>K23*SQRT(Constants!K25*Constants!K23)</f>
        <v>62.978917667356583</v>
      </c>
      <c r="L16" s="15"/>
    </row>
    <row r="17" spans="1:16" x14ac:dyDescent="0.2">
      <c r="C17" s="1"/>
      <c r="D17" s="1"/>
      <c r="E17" s="1"/>
      <c r="F17" s="1"/>
      <c r="G17" s="1"/>
      <c r="H17" s="1"/>
    </row>
    <row r="18" spans="1:16" x14ac:dyDescent="0.2">
      <c r="A18" t="s">
        <v>31</v>
      </c>
      <c r="C18" s="15"/>
      <c r="D18" s="15"/>
      <c r="E18" s="15"/>
      <c r="F18" s="15"/>
      <c r="G18" s="15"/>
      <c r="H18" s="15"/>
      <c r="K18" s="15"/>
      <c r="L18" s="15"/>
    </row>
    <row r="20" spans="1:16" x14ac:dyDescent="0.2">
      <c r="A20" t="s">
        <v>85</v>
      </c>
      <c r="C20" s="16" t="s">
        <v>46</v>
      </c>
      <c r="D20" s="16"/>
      <c r="E20" s="16"/>
      <c r="F20" s="16"/>
      <c r="G20" s="16"/>
      <c r="H20" s="16"/>
      <c r="K20" s="16">
        <v>263.38618498858511</v>
      </c>
      <c r="L20" s="16"/>
      <c r="M20" s="14">
        <f>SQRT(Constants!K29*Constants!K25*Constants!B11)/Constants!K25*SQRT(POWER(2/Constants!K25+1,Constants!K25+1/Constants!K25-1))</f>
        <v>263.38618498858511</v>
      </c>
      <c r="N20" s="16">
        <v>2.5982911572999998</v>
      </c>
      <c r="O20" s="15"/>
      <c r="P20">
        <v>1535</v>
      </c>
    </row>
    <row r="21" spans="1:16" x14ac:dyDescent="0.2">
      <c r="C21" s="16"/>
      <c r="D21" s="16"/>
      <c r="E21" s="16"/>
      <c r="F21" s="16"/>
      <c r="G21" s="16"/>
      <c r="H21" s="16"/>
    </row>
    <row r="23" spans="1:16" x14ac:dyDescent="0.2">
      <c r="A23" t="s">
        <v>56</v>
      </c>
      <c r="C23" s="15" t="s">
        <v>99</v>
      </c>
      <c r="D23" s="15"/>
      <c r="E23" s="15"/>
      <c r="F23" s="15"/>
      <c r="G23" s="15"/>
      <c r="H23" s="15"/>
      <c r="K23" s="15">
        <f>SQRT(2/(Constants!K25-1)*POWER((Constants!B13/Constants!K31),((Constants!K25-1)/Constants!K25)-1))</f>
        <v>0.63449909572023711</v>
      </c>
      <c r="L23" s="15"/>
      <c r="M23">
        <v>1807.1590000000001</v>
      </c>
    </row>
    <row r="25" spans="1:16" x14ac:dyDescent="0.2">
      <c r="A25" t="s">
        <v>86</v>
      </c>
      <c r="C25" s="15"/>
      <c r="D25" s="15"/>
      <c r="E25" s="15"/>
      <c r="F25" s="15"/>
      <c r="G25" s="15"/>
      <c r="H25" s="15"/>
      <c r="K25" s="15">
        <v>1.5640000000000001</v>
      </c>
      <c r="L25" s="15"/>
      <c r="M25">
        <f>0.985*SQRT((2*POWER(Constants!K25,2)/Constants!K25-1)*POWER(2/Constants!K25+1,Constants!K25+1/Constants!K25-1)*(1-POWER(Constants!K31/Constants!B13,Constants!K25-1/Constants!K25)+Constants!K19*(Constants!K31-Constants!K31/Constants!B13)))</f>
        <v>36.900496921625056</v>
      </c>
      <c r="N25" s="15"/>
      <c r="O25" s="15"/>
    </row>
    <row r="27" spans="1:16" x14ac:dyDescent="0.2">
      <c r="M27" s="4" t="s">
        <v>39</v>
      </c>
    </row>
    <row r="35" spans="14:14" x14ac:dyDescent="0.2">
      <c r="N35">
        <f>K20*K4/Constants!B13</f>
        <v>12.544757033248082</v>
      </c>
    </row>
  </sheetData>
  <mergeCells count="27">
    <mergeCell ref="N25:O25"/>
    <mergeCell ref="K23:L23"/>
    <mergeCell ref="C6:H6"/>
    <mergeCell ref="C8:H8"/>
    <mergeCell ref="C4:H4"/>
    <mergeCell ref="K2:L2"/>
    <mergeCell ref="A1:C2"/>
    <mergeCell ref="E2:F2"/>
    <mergeCell ref="K4:L4"/>
    <mergeCell ref="K6:L6"/>
    <mergeCell ref="K8:L8"/>
    <mergeCell ref="C25:H25"/>
    <mergeCell ref="K25:L25"/>
    <mergeCell ref="N20:O20"/>
    <mergeCell ref="C10:H10"/>
    <mergeCell ref="C12:H12"/>
    <mergeCell ref="C14:H14"/>
    <mergeCell ref="K10:L10"/>
    <mergeCell ref="K12:L12"/>
    <mergeCell ref="K20:L20"/>
    <mergeCell ref="C20:H21"/>
    <mergeCell ref="C23:H23"/>
    <mergeCell ref="K14:L14"/>
    <mergeCell ref="K16:L16"/>
    <mergeCell ref="C16:H16"/>
    <mergeCell ref="K18:L18"/>
    <mergeCell ref="C18:H1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topLeftCell="C1" workbookViewId="0">
      <selection activeCell="O28" sqref="O28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95</v>
      </c>
    </row>
    <row r="3" spans="1:12" x14ac:dyDescent="0.2">
      <c r="A3" t="s">
        <v>44</v>
      </c>
      <c r="C3" s="15" t="s">
        <v>45</v>
      </c>
      <c r="D3" s="15"/>
      <c r="E3" s="15"/>
      <c r="F3" s="15"/>
      <c r="G3" s="15"/>
      <c r="H3" s="15"/>
      <c r="K3" s="15">
        <f>SQRT(Geometry!K7/3.14)</f>
        <v>0.99808734284582756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1.9961746856916551</v>
      </c>
      <c r="L5" s="15"/>
    </row>
    <row r="7" spans="1:12" x14ac:dyDescent="0.2">
      <c r="A7" t="s">
        <v>22</v>
      </c>
      <c r="C7" s="15" t="s">
        <v>87</v>
      </c>
      <c r="D7" s="15"/>
      <c r="E7" s="15"/>
      <c r="F7" s="15"/>
      <c r="G7" s="15"/>
      <c r="H7" s="15"/>
      <c r="K7" s="15">
        <f>Properties!K4*Constants!B9/Constants!B13*Properties!K25</f>
        <v>3.1280000000000001</v>
      </c>
      <c r="L7" s="15"/>
    </row>
    <row r="9" spans="1:12" x14ac:dyDescent="0.2">
      <c r="A9" t="s">
        <v>24</v>
      </c>
      <c r="C9" s="15" t="s">
        <v>28</v>
      </c>
      <c r="D9" s="15"/>
      <c r="E9" s="15"/>
      <c r="F9" s="15"/>
      <c r="G9" s="15"/>
      <c r="H9" s="15"/>
      <c r="K9" s="15">
        <f>3.65*K7</f>
        <v>11.417199999999999</v>
      </c>
      <c r="L9" s="15"/>
    </row>
    <row r="11" spans="1:12" x14ac:dyDescent="0.2">
      <c r="A11" t="s">
        <v>25</v>
      </c>
      <c r="C11" s="15" t="s">
        <v>40</v>
      </c>
      <c r="D11" s="15"/>
      <c r="E11" s="15"/>
      <c r="F11" s="15"/>
      <c r="G11" s="15"/>
      <c r="H11" s="15"/>
      <c r="K11" s="15">
        <f>SQRT( 4* K9/3.14)</f>
        <v>3.8136863821840477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63</v>
      </c>
      <c r="C13" s="15" t="s">
        <v>64</v>
      </c>
      <c r="D13" s="15"/>
      <c r="E13" s="15"/>
      <c r="F13" s="15"/>
      <c r="G13" s="15"/>
      <c r="H13" s="15"/>
      <c r="K13" s="15">
        <f>K11/2</f>
        <v>1.9068431910920238</v>
      </c>
      <c r="L13" s="15"/>
    </row>
    <row r="15" spans="1:12" x14ac:dyDescent="0.2">
      <c r="A15" t="s">
        <v>26</v>
      </c>
      <c r="C15" s="15" t="s">
        <v>32</v>
      </c>
      <c r="D15" s="15"/>
      <c r="E15" s="15"/>
      <c r="F15" s="15"/>
      <c r="G15" s="15"/>
      <c r="H15" s="15"/>
      <c r="K15" s="15">
        <f>Properties!K18*Geometry!K7</f>
        <v>0</v>
      </c>
      <c r="L15" s="15"/>
    </row>
    <row r="17" spans="1:12" x14ac:dyDescent="0.2">
      <c r="A17" t="s">
        <v>42</v>
      </c>
      <c r="C17" s="15" t="s">
        <v>43</v>
      </c>
      <c r="D17" s="15"/>
      <c r="E17" s="15"/>
      <c r="F17" s="15"/>
      <c r="G17" s="15"/>
      <c r="H17" s="15"/>
      <c r="K17" s="15">
        <f>K7*Constants!B17</f>
        <v>15.64</v>
      </c>
      <c r="L17" s="15"/>
    </row>
    <row r="19" spans="1:12" x14ac:dyDescent="0.2">
      <c r="A19" t="s">
        <v>41</v>
      </c>
      <c r="C19" s="15" t="s">
        <v>90</v>
      </c>
      <c r="D19" s="15"/>
      <c r="E19" s="15"/>
      <c r="F19" s="15"/>
      <c r="G19" s="15"/>
      <c r="H19" s="15"/>
      <c r="K19" s="15">
        <f>K21/2</f>
        <v>2.2312263051883439</v>
      </c>
      <c r="L19" s="15"/>
    </row>
    <row r="21" spans="1:12" x14ac:dyDescent="0.2">
      <c r="A21" t="s">
        <v>27</v>
      </c>
      <c r="C21" s="15" t="s">
        <v>89</v>
      </c>
      <c r="D21" s="15"/>
      <c r="E21" s="15"/>
      <c r="F21" s="15"/>
      <c r="G21" s="15"/>
      <c r="H21" s="15"/>
      <c r="K21" s="15">
        <f>SQRT(4*K17/3.14159)</f>
        <v>4.4624526103766877</v>
      </c>
      <c r="L21" s="15"/>
    </row>
    <row r="23" spans="1:12" x14ac:dyDescent="0.2">
      <c r="A23" t="s">
        <v>29</v>
      </c>
      <c r="C23" s="15" t="s">
        <v>88</v>
      </c>
      <c r="D23" s="15"/>
      <c r="E23" s="15"/>
      <c r="F23" s="15"/>
      <c r="G23" s="15"/>
      <c r="H23" s="15"/>
      <c r="K23" s="15">
        <f>K15/(1.1*K17)</f>
        <v>0</v>
      </c>
      <c r="L23" s="15"/>
    </row>
    <row r="25" spans="1:12" ht="51" x14ac:dyDescent="0.2">
      <c r="A25" s="6" t="s">
        <v>52</v>
      </c>
      <c r="C25" s="15" t="s">
        <v>53</v>
      </c>
      <c r="D25" s="15"/>
      <c r="E25" s="15"/>
      <c r="F25" s="15"/>
      <c r="G25" s="15"/>
      <c r="H25" s="15"/>
      <c r="K25" s="15">
        <f>0.382*K3</f>
        <v>0.38126936496710612</v>
      </c>
      <c r="L25" s="15"/>
    </row>
    <row r="27" spans="1:12" x14ac:dyDescent="0.2">
      <c r="A27" s="7" t="s">
        <v>54</v>
      </c>
      <c r="C27" s="15" t="s">
        <v>55</v>
      </c>
      <c r="D27" s="15"/>
      <c r="E27" s="15"/>
      <c r="F27" s="15"/>
      <c r="G27" s="15"/>
      <c r="H27" s="15"/>
      <c r="K27" s="15">
        <f>1.5*K3</f>
        <v>1.4971310142687413</v>
      </c>
      <c r="L27" s="15"/>
    </row>
    <row r="32" spans="1:12" x14ac:dyDescent="0.2">
      <c r="A32" t="s">
        <v>59</v>
      </c>
      <c r="C32" s="15" t="s">
        <v>62</v>
      </c>
      <c r="D32" s="15"/>
      <c r="E32" s="15"/>
      <c r="F32" s="15"/>
      <c r="G32" s="15"/>
      <c r="H32" s="15"/>
      <c r="K32" s="15">
        <f>(K13-K3)/TAN(RADIANS(K36))*K34</f>
        <v>2.7132183978641256</v>
      </c>
      <c r="L32" s="15"/>
    </row>
    <row r="34" spans="1:12" x14ac:dyDescent="0.2">
      <c r="A34" t="s">
        <v>60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61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66</v>
      </c>
      <c r="C38" s="15" t="s">
        <v>68</v>
      </c>
      <c r="D38" s="15"/>
      <c r="E38" s="15"/>
      <c r="F38" s="15"/>
      <c r="G38" s="15"/>
      <c r="H38" s="15"/>
      <c r="K38" s="15">
        <f>(K5/2)*SIN(RADIANS(K3-90+180))/SIN(RADIANS(K3))</f>
        <v>57.289983865154419</v>
      </c>
      <c r="L38" s="15"/>
    </row>
    <row r="40" spans="1:12" x14ac:dyDescent="0.2">
      <c r="A40" t="s">
        <v>67</v>
      </c>
      <c r="C40" s="15" t="s">
        <v>69</v>
      </c>
      <c r="D40" s="15"/>
      <c r="E40" s="15"/>
      <c r="F40" s="15"/>
      <c r="G40" s="15"/>
      <c r="H40" s="15"/>
      <c r="K40" s="15">
        <f>K11/2*SIN(K36-90+180)/SIN(K36)</f>
        <v>-2.8459068167119344</v>
      </c>
      <c r="L40" s="15"/>
    </row>
  </sheetData>
  <mergeCells count="36"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9:H9"/>
    <mergeCell ref="K9:L9"/>
    <mergeCell ref="C11:H11"/>
    <mergeCell ref="K11:L11"/>
    <mergeCell ref="C13:H13"/>
    <mergeCell ref="K13:L13"/>
    <mergeCell ref="C3:H3"/>
    <mergeCell ref="K3:L3"/>
    <mergeCell ref="C5:H5"/>
    <mergeCell ref="K5:L5"/>
    <mergeCell ref="C7:H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2021-04-20T19:29:58Z</dcterms:modified>
</cp:coreProperties>
</file>