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509DAF20-3FC9-ED43-B25D-2EDE2F97F154}" xr6:coauthVersionLast="46" xr6:coauthVersionMax="46" xr10:uidLastSave="{00000000-0000-0000-0000-000000000000}"/>
  <bookViews>
    <workbookView xWindow="12440" yWindow="500" windowWidth="17760" windowHeight="16280" activeTab="2" xr2:uid="{6B94F6F9-44B0-CC46-BCE3-E21706DCCC2F}"/>
  </bookViews>
  <sheets>
    <sheet name="Units" sheetId="4" r:id="rId1"/>
    <sheet name="Constants" sheetId="2" r:id="rId2"/>
    <sheet name="Properties" sheetId="1" r:id="rId3"/>
    <sheet name="Geomet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16" i="1" s="1"/>
  <c r="M20" i="1"/>
  <c r="B9" i="2" l="1"/>
  <c r="K4" i="1" s="1"/>
  <c r="K7" i="3" s="1"/>
  <c r="K27" i="2" l="1"/>
  <c r="N35" i="1" l="1"/>
  <c r="K6" i="1"/>
  <c r="K8" i="1" s="1"/>
  <c r="K14" i="1"/>
  <c r="K10" i="1"/>
  <c r="K12" i="1" s="1"/>
  <c r="K5" i="3" l="1"/>
  <c r="K9" i="3" l="1"/>
  <c r="K15" i="3"/>
  <c r="K3" i="3"/>
  <c r="K11" i="3" l="1"/>
  <c r="K40" i="3" s="1"/>
  <c r="K19" i="2"/>
  <c r="M25" i="1" s="1"/>
  <c r="K27" i="3"/>
  <c r="K38" i="3"/>
  <c r="K25" i="3"/>
  <c r="K13" i="3" l="1"/>
  <c r="K32" i="3" s="1"/>
  <c r="K17" i="3"/>
  <c r="K23" i="3" l="1"/>
  <c r="K21" i="3"/>
  <c r="K19" i="3" s="1"/>
</calcChain>
</file>

<file path=xl/sharedStrings.xml><?xml version="1.0" encoding="utf-8"?>
<sst xmlns="http://schemas.openxmlformats.org/spreadsheetml/2006/main" count="102" uniqueCount="101">
  <si>
    <t>M = Gas Molecular Weight (Combustion of gaseous/hydrocarbon fuel)  = 24</t>
  </si>
  <si>
    <t>Gamma = 1.2</t>
  </si>
  <si>
    <t>Thrust / Impulse</t>
  </si>
  <si>
    <t>Description</t>
  </si>
  <si>
    <t>Calculations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</si>
  <si>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</si>
  <si>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</si>
  <si>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</si>
  <si>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</si>
  <si>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</si>
  <si>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</si>
  <si>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</si>
  <si>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</si>
  <si>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</si>
  <si>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</si>
  <si>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</si>
  <si>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</si>
  <si>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</si>
  <si>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</si>
  <si>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</si>
  <si>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</si>
  <si>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</si>
  <si>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</si>
  <si>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Earths Gravitation (g)</t>
  </si>
  <si>
    <t>Exit Area (Ae)</t>
  </si>
  <si>
    <t>Exit Diameter (De)</t>
  </si>
  <si>
    <t>Chamber Volume (Vc)</t>
  </si>
  <si>
    <t>Chamber Diameter (Dc)</t>
  </si>
  <si>
    <t>3.65 * Throat Area</t>
  </si>
  <si>
    <t>Chamber Length</t>
  </si>
  <si>
    <t>Optimum Expansion Ratio</t>
  </si>
  <si>
    <t>Chamber Characteristic Length (L*)</t>
  </si>
  <si>
    <t>L* x Throat Area</t>
  </si>
  <si>
    <t>Change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</si>
  <si>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</si>
  <si>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</si>
  <si>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</si>
  <si>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</si>
  <si>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</si>
  <si>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>!!</t>
  </si>
  <si>
    <t>SQRT(4 * Exit Area / Pi)</t>
  </si>
  <si>
    <t>Chamber Radius (Rc)</t>
  </si>
  <si>
    <t>Chamber Area (Ac)</t>
  </si>
  <si>
    <t>Throat Area * contraction area ratio</t>
  </si>
  <si>
    <t>Throat Radius (Rt)</t>
  </si>
  <si>
    <t>sqrt(Throat Area / PI)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</si>
  <si>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</si>
  <si>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</si>
  <si>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</si>
  <si>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</si>
  <si>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</si>
  <si>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</si>
  <si>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</si>
  <si>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</si>
  <si>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</si>
  <si>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</si>
  <si>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</si>
  <si>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</si>
  <si>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</si>
  <si>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</si>
  <si>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</si>
  <si>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</si>
  <si>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</si>
  <si>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</si>
  <si>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</si>
  <si>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</si>
  <si>
    <t>Nozzle Convergent Length</t>
  </si>
  <si>
    <t>Nozzle Divergent Length</t>
  </si>
  <si>
    <t xml:space="preserve">(Dt / 2) * SIN(RADIANS(throat radius - 90 + 180)) / SIN(RADIANS(throat radius)					</t>
  </si>
  <si>
    <t xml:space="preserve">(De / 2) * SIN(Nozzle Angles - 90 + 180) / SIN(Nozzle Angles)					</t>
  </si>
  <si>
    <t>"thrust": "N",</t>
  </si>
  <si>
    <t>"mass": "kg",</t>
  </si>
  <si>
    <t>"isp": "s",</t>
  </si>
  <si>
    <t>"mdot": "kg/s",</t>
  </si>
  <si>
    <t>"unitless": "1",</t>
  </si>
  <si>
    <t>"length": "m",</t>
  </si>
  <si>
    <t>"area": "m^2",</t>
  </si>
  <si>
    <t>"volume": "m^3",</t>
  </si>
  <si>
    <t>"angle": "degrees",</t>
  </si>
  <si>
    <t>Properties</t>
  </si>
  <si>
    <t>Units (SI Units)</t>
  </si>
  <si>
    <t>9.81 m/sec^2</t>
  </si>
  <si>
    <t>SI units || Rbar = 8314  # [kJ/Kmol-K]</t>
  </si>
  <si>
    <t>Gas Molecular Weight</t>
  </si>
  <si>
    <t>Exit Velocity (Ve)</t>
  </si>
  <si>
    <t>Characteristic Velocity (c*)</t>
  </si>
  <si>
    <t>Thrust Coefficient (Cf)</t>
  </si>
  <si>
    <t>(mdot * Specific Impulse ) / Chamber Pressure * Thrust Coefficient</t>
  </si>
  <si>
    <t>Chamber Volume / ( 1.1 * Chamber Area)</t>
  </si>
  <si>
    <t>sqrt(4 * Chamber Area / pi)</t>
  </si>
  <si>
    <t>Chamber Diameter / 2</t>
  </si>
  <si>
    <t>kpa</t>
  </si>
  <si>
    <t xml:space="preserve">Isp = Characteristic Velocity * Thrust Coefficient / gravity </t>
  </si>
  <si>
    <t>N</t>
  </si>
  <si>
    <t>kg/s</t>
  </si>
  <si>
    <t>Geometry</t>
  </si>
  <si>
    <t>125 atm</t>
  </si>
  <si>
    <t>Ambient Pressure (Pa)</t>
  </si>
  <si>
    <t>Ve = Me * sqrt (gam * R * Te)</t>
  </si>
  <si>
    <t>sqrt(2 / (gamma - 1) * ((pc / pa) ** ((gamma - 1) / gamma) - 1))</t>
  </si>
  <si>
    <t>pressure:kpa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</si>
</sst>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C9D1D9"/>
      <name val="Consolas"/>
      <family val="2"/>
    </font>
    <font>
      <sz val="12"/>
      <color theme="1"/>
      <name val="Consolas"/>
      <family val="2"/>
    </font>
    <font>
      <b/>
      <sz val="16"/>
      <color theme="1"/>
      <name val="Consolas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34</xdr:row>
      <xdr:rowOff>12700</xdr:rowOff>
    </xdr:from>
    <xdr:to>
      <xdr:col>9</xdr:col>
      <xdr:colOff>762000</xdr:colOff>
      <xdr:row>39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24</xdr:row>
      <xdr:rowOff>37020</xdr:rowOff>
    </xdr:from>
    <xdr:to>
      <xdr:col>7</xdr:col>
      <xdr:colOff>1879600</xdr:colOff>
      <xdr:row>29</xdr:row>
      <xdr:rowOff>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FEC29-288B-594E-AAE4-996DF948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4700" y="4913820"/>
          <a:ext cx="5981700" cy="97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E0CB-7D5E-604F-9A57-088686C5C71F}">
  <dimension ref="A1:B12"/>
  <sheetViews>
    <sheetView workbookViewId="0">
      <selection activeCell="E24" sqref="E24"/>
    </sheetView>
  </sheetViews>
  <sheetFormatPr baseColWidth="10" defaultRowHeight="16" x14ac:dyDescent="0.2"/>
  <sheetData>
    <row r="1" spans="1:2" ht="23" x14ac:dyDescent="0.3">
      <c r="A1" s="13" t="s">
        <v>80</v>
      </c>
      <c r="B1" s="7"/>
    </row>
    <row r="2" spans="1:2" x14ac:dyDescent="0.2">
      <c r="A2" s="12"/>
      <c r="B2" s="7"/>
    </row>
    <row r="3" spans="1:2" x14ac:dyDescent="0.2">
      <c r="A3" s="12" t="s">
        <v>70</v>
      </c>
      <c r="B3" s="7"/>
    </row>
    <row r="4" spans="1:2" x14ac:dyDescent="0.2">
      <c r="A4" s="12" t="s">
        <v>71</v>
      </c>
      <c r="B4" s="7"/>
    </row>
    <row r="5" spans="1:2" x14ac:dyDescent="0.2">
      <c r="A5" s="12" t="s">
        <v>72</v>
      </c>
      <c r="B5" s="7"/>
    </row>
    <row r="6" spans="1:2" x14ac:dyDescent="0.2">
      <c r="A6" s="12" t="s">
        <v>73</v>
      </c>
      <c r="B6" s="7"/>
    </row>
    <row r="7" spans="1:2" x14ac:dyDescent="0.2">
      <c r="A7" s="12" t="s">
        <v>74</v>
      </c>
      <c r="B7" s="7"/>
    </row>
    <row r="8" spans="1:2" x14ac:dyDescent="0.2">
      <c r="A8" s="12" t="s">
        <v>75</v>
      </c>
      <c r="B8" s="7"/>
    </row>
    <row r="9" spans="1:2" x14ac:dyDescent="0.2">
      <c r="A9" s="12" t="s">
        <v>76</v>
      </c>
      <c r="B9" s="7"/>
    </row>
    <row r="10" spans="1:2" x14ac:dyDescent="0.2">
      <c r="A10" s="12" t="s">
        <v>77</v>
      </c>
      <c r="B10" s="7"/>
    </row>
    <row r="11" spans="1:2" x14ac:dyDescent="0.2">
      <c r="A11" s="12" t="s">
        <v>78</v>
      </c>
      <c r="B11" s="7"/>
    </row>
    <row r="12" spans="1:2" x14ac:dyDescent="0.2">
      <c r="A12" s="12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3"/>
  <sheetViews>
    <sheetView topLeftCell="E3" zoomScaleNormal="100" workbookViewId="0">
      <selection activeCell="L33" sqref="L33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9" ht="21" x14ac:dyDescent="0.25">
      <c r="A1" s="3" t="s">
        <v>57</v>
      </c>
    </row>
    <row r="3" spans="1:9" x14ac:dyDescent="0.2">
      <c r="A3" s="7" t="s">
        <v>37</v>
      </c>
      <c r="B3">
        <v>10000</v>
      </c>
      <c r="C3" t="s">
        <v>93</v>
      </c>
    </row>
    <row r="4" spans="1:9" x14ac:dyDescent="0.2">
      <c r="A4" s="7"/>
    </row>
    <row r="5" spans="1:9" x14ac:dyDescent="0.2">
      <c r="A5" s="7" t="s">
        <v>58</v>
      </c>
      <c r="B5">
        <v>50</v>
      </c>
      <c r="C5" t="s">
        <v>33</v>
      </c>
    </row>
    <row r="6" spans="1:9" x14ac:dyDescent="0.2">
      <c r="A6" s="7"/>
    </row>
    <row r="7" spans="1:9" x14ac:dyDescent="0.2">
      <c r="A7" s="7" t="s">
        <v>5</v>
      </c>
      <c r="B7" t="s">
        <v>6</v>
      </c>
      <c r="C7" t="s">
        <v>7</v>
      </c>
      <c r="D7" t="s">
        <v>8</v>
      </c>
    </row>
    <row r="8" spans="1:9" x14ac:dyDescent="0.2">
      <c r="A8" s="7"/>
    </row>
    <row r="9" spans="1:9" x14ac:dyDescent="0.2">
      <c r="A9" s="7" t="s">
        <v>36</v>
      </c>
      <c r="B9" s="15">
        <f>Properties!K20*Properties!K25/Constants!K29</f>
        <v>41.99143662814955</v>
      </c>
      <c r="C9" s="15"/>
      <c r="D9" s="15"/>
      <c r="E9" s="15" t="s">
        <v>92</v>
      </c>
      <c r="F9" s="15"/>
      <c r="G9" s="15"/>
      <c r="H9" s="15"/>
      <c r="I9" s="11"/>
    </row>
    <row r="10" spans="1:9" x14ac:dyDescent="0.2">
      <c r="A10" s="7"/>
    </row>
    <row r="11" spans="1:9" x14ac:dyDescent="0.2">
      <c r="A11" s="7" t="s">
        <v>35</v>
      </c>
      <c r="B11" s="15">
        <v>3030</v>
      </c>
      <c r="C11" s="15"/>
      <c r="D11" s="15"/>
      <c r="E11">
        <v>5442.33</v>
      </c>
    </row>
    <row r="12" spans="1:9" x14ac:dyDescent="0.2">
      <c r="A12" s="7"/>
    </row>
    <row r="13" spans="1:9" x14ac:dyDescent="0.2">
      <c r="A13" s="7" t="s">
        <v>34</v>
      </c>
      <c r="B13" s="15">
        <v>5000</v>
      </c>
      <c r="C13" s="15"/>
      <c r="D13" s="15"/>
      <c r="E13" t="s">
        <v>91</v>
      </c>
      <c r="F13" t="s">
        <v>96</v>
      </c>
    </row>
    <row r="14" spans="1:9" x14ac:dyDescent="0.2">
      <c r="A14" s="7"/>
    </row>
    <row r="15" spans="1:9" x14ac:dyDescent="0.2">
      <c r="A15" s="7" t="s">
        <v>38</v>
      </c>
      <c r="B15" s="15">
        <v>1.31</v>
      </c>
      <c r="C15" s="15"/>
      <c r="D15" s="15"/>
    </row>
    <row r="16" spans="1:9" x14ac:dyDescent="0.2">
      <c r="A16" s="7"/>
    </row>
    <row r="17" spans="1:13" x14ac:dyDescent="0.2">
      <c r="A17" s="7" t="s">
        <v>65</v>
      </c>
      <c r="B17" s="15">
        <v>5</v>
      </c>
      <c r="C17" s="15"/>
      <c r="D17" s="15"/>
    </row>
    <row r="18" spans="1:13" x14ac:dyDescent="0.2">
      <c r="A18" s="7"/>
    </row>
    <row r="19" spans="1:13" x14ac:dyDescent="0.2">
      <c r="A19" s="7" t="s">
        <v>30</v>
      </c>
      <c r="K19" s="15">
        <f>Geometry!K9/Geometry!K7</f>
        <v>3.6499999999999995</v>
      </c>
      <c r="L19" s="15"/>
    </row>
    <row r="20" spans="1:13" x14ac:dyDescent="0.2">
      <c r="A20" s="7"/>
      <c r="B20" s="1"/>
      <c r="E20" s="1"/>
      <c r="K20" s="15"/>
      <c r="L20" s="15"/>
    </row>
    <row r="21" spans="1:13" x14ac:dyDescent="0.2">
      <c r="A21" s="8" t="s">
        <v>83</v>
      </c>
      <c r="C21" s="1" t="s">
        <v>0</v>
      </c>
      <c r="K21" s="15">
        <v>23.1</v>
      </c>
      <c r="L21" s="15"/>
    </row>
    <row r="22" spans="1:13" x14ac:dyDescent="0.2">
      <c r="A22" s="7"/>
      <c r="C22" s="15"/>
      <c r="D22" s="15"/>
      <c r="E22" s="15"/>
      <c r="F22" s="15"/>
      <c r="G22" s="15"/>
      <c r="H22" s="15"/>
    </row>
    <row r="23" spans="1:13" x14ac:dyDescent="0.2">
      <c r="A23" s="7" t="s">
        <v>51</v>
      </c>
      <c r="C23" s="15" t="s">
        <v>82</v>
      </c>
      <c r="D23" s="15"/>
      <c r="E23" s="15"/>
      <c r="F23" s="15"/>
      <c r="G23" s="15"/>
      <c r="H23" s="15"/>
      <c r="K23" s="15">
        <v>8314</v>
      </c>
      <c r="L23" s="15"/>
    </row>
    <row r="24" spans="1:13" x14ac:dyDescent="0.2">
      <c r="A24" s="7"/>
    </row>
    <row r="25" spans="1:13" x14ac:dyDescent="0.2">
      <c r="A25" s="9" t="s">
        <v>47</v>
      </c>
      <c r="C25" s="15" t="s">
        <v>1</v>
      </c>
      <c r="D25" s="15"/>
      <c r="E25" s="15"/>
      <c r="F25" s="15"/>
      <c r="G25" s="15"/>
      <c r="H25" s="15"/>
      <c r="K25" s="15">
        <v>1.1850000000000001</v>
      </c>
      <c r="L25" s="15"/>
    </row>
    <row r="26" spans="1:13" x14ac:dyDescent="0.2">
      <c r="A26" s="9"/>
    </row>
    <row r="27" spans="1:13" x14ac:dyDescent="0.2">
      <c r="A27" s="9" t="s">
        <v>48</v>
      </c>
      <c r="C27" s="15" t="s">
        <v>49</v>
      </c>
      <c r="D27" s="15"/>
      <c r="E27" s="15"/>
      <c r="F27" s="15"/>
      <c r="G27" s="15"/>
      <c r="H27" s="15"/>
      <c r="K27" s="15">
        <f>K23/24</f>
        <v>346.41666666666669</v>
      </c>
      <c r="L27" s="15"/>
      <c r="M27" t="s">
        <v>50</v>
      </c>
    </row>
    <row r="29" spans="1:13" x14ac:dyDescent="0.2">
      <c r="A29" s="9" t="s">
        <v>23</v>
      </c>
      <c r="C29" s="15" t="s">
        <v>81</v>
      </c>
      <c r="D29" s="15"/>
      <c r="E29" s="15"/>
      <c r="F29" s="15"/>
      <c r="G29" s="15"/>
      <c r="H29" s="15"/>
      <c r="K29" s="15">
        <v>9.81</v>
      </c>
      <c r="L29" s="15"/>
    </row>
    <row r="30" spans="1:13" x14ac:dyDescent="0.2">
      <c r="A30" s="9"/>
      <c r="C30" s="5"/>
      <c r="D30" s="5"/>
      <c r="E30" s="5"/>
      <c r="F30" s="5"/>
      <c r="G30" s="5"/>
      <c r="H30" s="5"/>
      <c r="K30" s="5"/>
      <c r="L30" s="5"/>
    </row>
    <row r="31" spans="1:13" x14ac:dyDescent="0.2">
      <c r="A31" s="9" t="s">
        <v>97</v>
      </c>
      <c r="K31" s="15">
        <v>101.3</v>
      </c>
      <c r="L31" s="15"/>
      <c r="M31" t="s">
        <v>91</v>
      </c>
    </row>
    <row r="33" spans="1:1" x14ac:dyDescent="0.2">
      <c r="A33" s="9"/>
    </row>
  </sheetData>
  <mergeCells count="19">
    <mergeCell ref="B17:D17"/>
    <mergeCell ref="C25:H25"/>
    <mergeCell ref="K25:L25"/>
    <mergeCell ref="B11:D11"/>
    <mergeCell ref="B13:D13"/>
    <mergeCell ref="B9:D9"/>
    <mergeCell ref="E9:H9"/>
    <mergeCell ref="B15:D15"/>
    <mergeCell ref="C27:H27"/>
    <mergeCell ref="K27:L27"/>
    <mergeCell ref="K19:L19"/>
    <mergeCell ref="K31:L31"/>
    <mergeCell ref="K21:L21"/>
    <mergeCell ref="C29:H29"/>
    <mergeCell ref="K29:L29"/>
    <mergeCell ref="K20:L20"/>
    <mergeCell ref="C22:H22"/>
    <mergeCell ref="C23:H23"/>
    <mergeCell ref="K23:L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P35"/>
  <sheetViews>
    <sheetView tabSelected="1" topLeftCell="G1" zoomScaleNormal="100" workbookViewId="0">
      <selection activeCell="M23" sqref="M23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7" t="s">
        <v>79</v>
      </c>
      <c r="B1" s="15"/>
      <c r="C1" s="15"/>
    </row>
    <row r="2" spans="1:13" x14ac:dyDescent="0.2">
      <c r="A2" s="15"/>
      <c r="B2" s="15"/>
      <c r="C2" s="15"/>
      <c r="E2" s="16" t="s">
        <v>3</v>
      </c>
      <c r="F2" s="16"/>
      <c r="K2" s="16" t="s">
        <v>4</v>
      </c>
      <c r="L2" s="16"/>
    </row>
    <row r="4" spans="1:13" x14ac:dyDescent="0.2">
      <c r="A4" t="s">
        <v>15</v>
      </c>
      <c r="C4" s="15" t="s">
        <v>2</v>
      </c>
      <c r="D4" s="15"/>
      <c r="E4" s="15"/>
      <c r="F4" s="15"/>
      <c r="G4" s="15"/>
      <c r="H4" s="15"/>
      <c r="K4" s="15">
        <f>Constants!B3/Constants!B9</f>
        <v>238.14379318702231</v>
      </c>
      <c r="L4" s="15"/>
      <c r="M4" t="s">
        <v>94</v>
      </c>
    </row>
    <row r="6" spans="1:13" x14ac:dyDescent="0.2">
      <c r="A6" t="s">
        <v>16</v>
      </c>
      <c r="C6" s="15" t="s">
        <v>10</v>
      </c>
      <c r="D6" s="15"/>
      <c r="E6" s="15"/>
      <c r="F6" s="15"/>
      <c r="G6" s="15"/>
      <c r="H6" s="15"/>
      <c r="K6" s="15">
        <f>(K4/Constants!B15)+1</f>
        <v>182.78915510459717</v>
      </c>
      <c r="L6" s="15"/>
    </row>
    <row r="8" spans="1:13" x14ac:dyDescent="0.2">
      <c r="A8" t="s">
        <v>17</v>
      </c>
      <c r="C8" s="15" t="s">
        <v>9</v>
      </c>
      <c r="D8" s="15"/>
      <c r="E8" s="15"/>
      <c r="F8" s="15"/>
      <c r="G8" s="15"/>
      <c r="H8" s="15"/>
      <c r="K8" s="15">
        <f>K4-K6</f>
        <v>55.35463808242514</v>
      </c>
      <c r="L8" s="15"/>
    </row>
    <row r="10" spans="1:13" x14ac:dyDescent="0.2">
      <c r="A10" t="s">
        <v>18</v>
      </c>
      <c r="C10" s="15" t="s">
        <v>11</v>
      </c>
      <c r="D10" s="15"/>
      <c r="E10" s="15"/>
      <c r="F10" s="15"/>
      <c r="G10" s="15"/>
      <c r="H10" s="15"/>
      <c r="K10" s="15">
        <f>Constants!B11 + 460</f>
        <v>3490</v>
      </c>
      <c r="L10" s="15"/>
    </row>
    <row r="11" spans="1:13" x14ac:dyDescent="0.2">
      <c r="C11" s="1"/>
      <c r="D11" s="1"/>
      <c r="E11" s="1"/>
      <c r="F11" s="1"/>
      <c r="G11" s="1"/>
      <c r="H11" s="1"/>
    </row>
    <row r="12" spans="1:13" x14ac:dyDescent="0.2">
      <c r="A12" t="s">
        <v>19</v>
      </c>
      <c r="C12" s="15" t="s">
        <v>12</v>
      </c>
      <c r="D12" s="15"/>
      <c r="E12" s="15"/>
      <c r="F12" s="15"/>
      <c r="G12" s="15"/>
      <c r="H12" s="15"/>
      <c r="K12" s="15">
        <f>0.909*K10</f>
        <v>3172.4100000000003</v>
      </c>
      <c r="L12" s="15"/>
    </row>
    <row r="13" spans="1:13" x14ac:dyDescent="0.2">
      <c r="C13" s="2"/>
      <c r="D13" s="2"/>
      <c r="E13" s="2"/>
      <c r="F13" s="2"/>
      <c r="G13" s="2"/>
      <c r="H13" s="2"/>
    </row>
    <row r="14" spans="1:13" x14ac:dyDescent="0.2">
      <c r="A14" t="s">
        <v>20</v>
      </c>
      <c r="C14" s="15" t="s">
        <v>13</v>
      </c>
      <c r="D14" s="15"/>
      <c r="E14" s="15"/>
      <c r="F14" s="15"/>
      <c r="G14" s="15"/>
      <c r="H14" s="15"/>
      <c r="K14" s="15">
        <f>0.564*Constants!B13</f>
        <v>2819.9999999999995</v>
      </c>
      <c r="L14" s="15"/>
    </row>
    <row r="16" spans="1:13" x14ac:dyDescent="0.2">
      <c r="A16" t="s">
        <v>84</v>
      </c>
      <c r="C16" s="15" t="s">
        <v>98</v>
      </c>
      <c r="D16" s="15"/>
      <c r="E16" s="15"/>
      <c r="F16" s="15"/>
      <c r="G16" s="15"/>
      <c r="H16" s="15"/>
      <c r="K16" s="15">
        <f>K23*SQRT(Constants!K25*Constants!K23)</f>
        <v>62.978917667356583</v>
      </c>
      <c r="L16" s="15"/>
    </row>
    <row r="17" spans="1:16" x14ac:dyDescent="0.2">
      <c r="C17" s="1"/>
      <c r="D17" s="1"/>
      <c r="E17" s="1"/>
      <c r="F17" s="1"/>
      <c r="G17" s="1"/>
      <c r="H17" s="1"/>
    </row>
    <row r="18" spans="1:16" x14ac:dyDescent="0.2">
      <c r="A18" t="s">
        <v>31</v>
      </c>
      <c r="C18" s="15"/>
      <c r="D18" s="15"/>
      <c r="E18" s="15"/>
      <c r="F18" s="15"/>
      <c r="G18" s="15"/>
      <c r="H18" s="15"/>
      <c r="K18" s="15"/>
      <c r="L18" s="15"/>
    </row>
    <row r="20" spans="1:16" x14ac:dyDescent="0.2">
      <c r="A20" t="s">
        <v>85</v>
      </c>
      <c r="C20" s="18" t="s">
        <v>46</v>
      </c>
      <c r="D20" s="18"/>
      <c r="E20" s="18"/>
      <c r="F20" s="18"/>
      <c r="G20" s="18"/>
      <c r="H20" s="18"/>
      <c r="K20" s="18">
        <v>263.38618498858511</v>
      </c>
      <c r="L20" s="18"/>
      <c r="M20" s="14">
        <f>SQRT(Constants!K29*Constants!K25*Constants!B11)/Constants!K25*SQRT(POWER(2/Constants!K25+1,Constants!K25+1/Constants!K25-1))</f>
        <v>263.38618498858511</v>
      </c>
      <c r="N20" s="18">
        <v>2.5982911572999998</v>
      </c>
      <c r="O20" s="15"/>
      <c r="P20">
        <v>1535</v>
      </c>
    </row>
    <row r="21" spans="1:16" x14ac:dyDescent="0.2">
      <c r="C21" s="18"/>
      <c r="D21" s="18"/>
      <c r="E21" s="18"/>
      <c r="F21" s="18"/>
      <c r="G21" s="18"/>
      <c r="H21" s="18"/>
    </row>
    <row r="23" spans="1:16" x14ac:dyDescent="0.2">
      <c r="A23" t="s">
        <v>56</v>
      </c>
      <c r="C23" s="15" t="s">
        <v>99</v>
      </c>
      <c r="D23" s="15"/>
      <c r="E23" s="15"/>
      <c r="F23" s="15"/>
      <c r="G23" s="15"/>
      <c r="H23" s="15"/>
      <c r="K23" s="15">
        <f>SQRT(2/(Constants!K25-1)*POWER((Constants!B13/Constants!K31),((Constants!K25-1)/Constants!K25)-1))</f>
        <v>0.63449909572023711</v>
      </c>
      <c r="L23" s="15"/>
      <c r="M23">
        <v>1807.1590000000001</v>
      </c>
    </row>
    <row r="25" spans="1:16" x14ac:dyDescent="0.2">
      <c r="A25" t="s">
        <v>86</v>
      </c>
      <c r="C25" s="15"/>
      <c r="D25" s="15"/>
      <c r="E25" s="15"/>
      <c r="F25" s="15"/>
      <c r="G25" s="15"/>
      <c r="H25" s="15"/>
      <c r="K25" s="15">
        <v>1.5640000000000001</v>
      </c>
      <c r="L25" s="15"/>
      <c r="M25">
        <f>0.985*SQRT((2*POWER(Constants!K25,2)/Constants!K25-1)*POWER(2/Constants!K25+1,Constants!K25+1/Constants!K25-1)*(1-POWER(Constants!K31/Constants!B13,Constants!K25-1/Constants!K25)+Constants!K19*(Constants!K31-Constants!K31/Constants!B13)))</f>
        <v>36.900496921625056</v>
      </c>
      <c r="N25" s="15"/>
      <c r="O25" s="15"/>
    </row>
    <row r="27" spans="1:16" x14ac:dyDescent="0.2">
      <c r="M27" s="4" t="s">
        <v>39</v>
      </c>
    </row>
    <row r="35" spans="14:14" x14ac:dyDescent="0.2">
      <c r="N35">
        <f>K20*K4/Constants!B13</f>
        <v>12.544757033248082</v>
      </c>
    </row>
  </sheetData>
  <mergeCells count="27">
    <mergeCell ref="C23:H23"/>
    <mergeCell ref="K14:L14"/>
    <mergeCell ref="K16:L16"/>
    <mergeCell ref="C16:H16"/>
    <mergeCell ref="K18:L18"/>
    <mergeCell ref="C18:H18"/>
    <mergeCell ref="K2:L2"/>
    <mergeCell ref="A1:C2"/>
    <mergeCell ref="E2:F2"/>
    <mergeCell ref="K4:L4"/>
    <mergeCell ref="K6:L6"/>
    <mergeCell ref="N25:O25"/>
    <mergeCell ref="K23:L23"/>
    <mergeCell ref="C6:H6"/>
    <mergeCell ref="C8:H8"/>
    <mergeCell ref="C4:H4"/>
    <mergeCell ref="K8:L8"/>
    <mergeCell ref="C25:H25"/>
    <mergeCell ref="K25:L25"/>
    <mergeCell ref="N20:O20"/>
    <mergeCell ref="C10:H10"/>
    <mergeCell ref="C12:H12"/>
    <mergeCell ref="C14:H14"/>
    <mergeCell ref="K10:L10"/>
    <mergeCell ref="K12:L12"/>
    <mergeCell ref="K20:L20"/>
    <mergeCell ref="C20:H2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40"/>
  <sheetViews>
    <sheetView workbookViewId="0">
      <selection activeCell="C15" sqref="C15:H15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95</v>
      </c>
    </row>
    <row r="3" spans="1:12" x14ac:dyDescent="0.2">
      <c r="A3" t="s">
        <v>44</v>
      </c>
      <c r="C3" s="15" t="s">
        <v>45</v>
      </c>
      <c r="D3" s="15"/>
      <c r="E3" s="15"/>
      <c r="F3" s="15"/>
      <c r="G3" s="15"/>
      <c r="H3" s="15"/>
      <c r="K3" s="15">
        <f>SQRT(Geometry!K7/3.14)</f>
        <v>0.99808734284582756</v>
      </c>
      <c r="L3" s="15"/>
    </row>
    <row r="5" spans="1:12" x14ac:dyDescent="0.2">
      <c r="A5" t="s">
        <v>21</v>
      </c>
      <c r="C5" s="15" t="s">
        <v>14</v>
      </c>
      <c r="D5" s="15"/>
      <c r="E5" s="15"/>
      <c r="F5" s="15"/>
      <c r="G5" s="15"/>
      <c r="H5" s="15"/>
      <c r="K5" s="15">
        <f>SQRT(4*K7/3.14)</f>
        <v>1.9961746856916551</v>
      </c>
      <c r="L5" s="15"/>
    </row>
    <row r="7" spans="1:12" x14ac:dyDescent="0.2">
      <c r="A7" t="s">
        <v>22</v>
      </c>
      <c r="C7" s="15" t="s">
        <v>87</v>
      </c>
      <c r="D7" s="15"/>
      <c r="E7" s="15"/>
      <c r="F7" s="15"/>
      <c r="G7" s="15"/>
      <c r="H7" s="15"/>
      <c r="K7" s="15">
        <f>Properties!K4*Constants!B9/Constants!B13*Properties!K25</f>
        <v>3.1280000000000001</v>
      </c>
      <c r="L7" s="15"/>
    </row>
    <row r="9" spans="1:12" x14ac:dyDescent="0.2">
      <c r="A9" t="s">
        <v>24</v>
      </c>
      <c r="C9" s="15" t="s">
        <v>28</v>
      </c>
      <c r="D9" s="15"/>
      <c r="E9" s="15"/>
      <c r="F9" s="15"/>
      <c r="G9" s="15"/>
      <c r="H9" s="15"/>
      <c r="K9" s="15">
        <f>3.65*K7</f>
        <v>11.417199999999999</v>
      </c>
      <c r="L9" s="15"/>
    </row>
    <row r="11" spans="1:12" x14ac:dyDescent="0.2">
      <c r="A11" t="s">
        <v>25</v>
      </c>
      <c r="C11" s="15" t="s">
        <v>40</v>
      </c>
      <c r="D11" s="15"/>
      <c r="E11" s="15"/>
      <c r="F11" s="15"/>
      <c r="G11" s="15"/>
      <c r="H11" s="15"/>
      <c r="K11" s="15">
        <f>SQRT( 4* K9/3.14)</f>
        <v>3.8136863821840477</v>
      </c>
      <c r="L11" s="15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0" t="s">
        <v>63</v>
      </c>
      <c r="C13" s="15" t="s">
        <v>64</v>
      </c>
      <c r="D13" s="15"/>
      <c r="E13" s="15"/>
      <c r="F13" s="15"/>
      <c r="G13" s="15"/>
      <c r="H13" s="15"/>
      <c r="K13" s="15">
        <f>K11/2</f>
        <v>1.9068431910920238</v>
      </c>
      <c r="L13" s="15"/>
    </row>
    <row r="15" spans="1:12" x14ac:dyDescent="0.2">
      <c r="A15" t="s">
        <v>26</v>
      </c>
      <c r="C15" s="15" t="s">
        <v>32</v>
      </c>
      <c r="D15" s="15"/>
      <c r="E15" s="15"/>
      <c r="F15" s="15"/>
      <c r="G15" s="15"/>
      <c r="H15" s="15"/>
      <c r="K15" s="15">
        <f>Properties!K18*Geometry!K7</f>
        <v>0</v>
      </c>
      <c r="L15" s="15"/>
    </row>
    <row r="17" spans="1:12" x14ac:dyDescent="0.2">
      <c r="A17" t="s">
        <v>42</v>
      </c>
      <c r="C17" s="15" t="s">
        <v>43</v>
      </c>
      <c r="D17" s="15"/>
      <c r="E17" s="15"/>
      <c r="F17" s="15"/>
      <c r="G17" s="15"/>
      <c r="H17" s="15"/>
      <c r="K17" s="15">
        <f>K7*Constants!B17</f>
        <v>15.64</v>
      </c>
      <c r="L17" s="15"/>
    </row>
    <row r="19" spans="1:12" x14ac:dyDescent="0.2">
      <c r="A19" t="s">
        <v>41</v>
      </c>
      <c r="C19" s="15" t="s">
        <v>90</v>
      </c>
      <c r="D19" s="15"/>
      <c r="E19" s="15"/>
      <c r="F19" s="15"/>
      <c r="G19" s="15"/>
      <c r="H19" s="15"/>
      <c r="K19" s="15">
        <f>K21/2</f>
        <v>2.2312263051883439</v>
      </c>
      <c r="L19" s="15"/>
    </row>
    <row r="21" spans="1:12" x14ac:dyDescent="0.2">
      <c r="A21" t="s">
        <v>27</v>
      </c>
      <c r="C21" s="15" t="s">
        <v>89</v>
      </c>
      <c r="D21" s="15"/>
      <c r="E21" s="15"/>
      <c r="F21" s="15"/>
      <c r="G21" s="15"/>
      <c r="H21" s="15"/>
      <c r="K21" s="15">
        <f>SQRT(4*K17/3.14159)</f>
        <v>4.4624526103766877</v>
      </c>
      <c r="L21" s="15"/>
    </row>
    <row r="23" spans="1:12" x14ac:dyDescent="0.2">
      <c r="A23" t="s">
        <v>29</v>
      </c>
      <c r="C23" s="15" t="s">
        <v>88</v>
      </c>
      <c r="D23" s="15"/>
      <c r="E23" s="15"/>
      <c r="F23" s="15"/>
      <c r="G23" s="15"/>
      <c r="H23" s="15"/>
      <c r="K23" s="15">
        <f>K15/(1.1*K17)</f>
        <v>0</v>
      </c>
      <c r="L23" s="15"/>
    </row>
    <row r="25" spans="1:12" ht="51" x14ac:dyDescent="0.2">
      <c r="A25" s="6" t="s">
        <v>52</v>
      </c>
      <c r="C25" s="15" t="s">
        <v>53</v>
      </c>
      <c r="D25" s="15"/>
      <c r="E25" s="15"/>
      <c r="F25" s="15"/>
      <c r="G25" s="15"/>
      <c r="H25" s="15"/>
      <c r="K25" s="15">
        <f>0.382*K3</f>
        <v>0.38126936496710612</v>
      </c>
      <c r="L25" s="15"/>
    </row>
    <row r="27" spans="1:12" x14ac:dyDescent="0.2">
      <c r="A27" s="7" t="s">
        <v>54</v>
      </c>
      <c r="C27" s="15" t="s">
        <v>55</v>
      </c>
      <c r="D27" s="15"/>
      <c r="E27" s="15"/>
      <c r="F27" s="15"/>
      <c r="G27" s="15"/>
      <c r="H27" s="15"/>
      <c r="K27" s="15">
        <f>1.5*K3</f>
        <v>1.4971310142687413</v>
      </c>
      <c r="L27" s="15"/>
    </row>
    <row r="32" spans="1:12" x14ac:dyDescent="0.2">
      <c r="A32" t="s">
        <v>59</v>
      </c>
      <c r="C32" s="15" t="s">
        <v>62</v>
      </c>
      <c r="D32" s="15"/>
      <c r="E32" s="15"/>
      <c r="F32" s="15"/>
      <c r="G32" s="15"/>
      <c r="H32" s="15"/>
      <c r="K32" s="15">
        <f>(K13-K3)/TAN(RADIANS(K36))*K34</f>
        <v>2.7132183978641256</v>
      </c>
      <c r="L32" s="15"/>
    </row>
    <row r="34" spans="1:12" x14ac:dyDescent="0.2">
      <c r="A34" t="s">
        <v>60</v>
      </c>
      <c r="C34" s="15">
        <v>0.8</v>
      </c>
      <c r="D34" s="15"/>
      <c r="E34" s="15"/>
      <c r="F34" s="15"/>
      <c r="G34" s="15"/>
      <c r="H34" s="15"/>
      <c r="K34" s="15">
        <v>0.8</v>
      </c>
      <c r="L34" s="15"/>
    </row>
    <row r="36" spans="1:12" x14ac:dyDescent="0.2">
      <c r="A36" t="s">
        <v>61</v>
      </c>
      <c r="C36" s="15">
        <v>15</v>
      </c>
      <c r="D36" s="15"/>
      <c r="E36" s="15"/>
      <c r="F36" s="15"/>
      <c r="G36" s="15"/>
      <c r="H36" s="15"/>
      <c r="K36" s="15">
        <v>15</v>
      </c>
      <c r="L36" s="15"/>
    </row>
    <row r="38" spans="1:12" x14ac:dyDescent="0.2">
      <c r="A38" t="s">
        <v>66</v>
      </c>
      <c r="C38" s="15" t="s">
        <v>68</v>
      </c>
      <c r="D38" s="15"/>
      <c r="E38" s="15"/>
      <c r="F38" s="15"/>
      <c r="G38" s="15"/>
      <c r="H38" s="15"/>
      <c r="K38" s="15">
        <f>(K5/2)*SIN(RADIANS(K3-90+180))/SIN(RADIANS(K3))</f>
        <v>57.289983865154419</v>
      </c>
      <c r="L38" s="15"/>
    </row>
    <row r="40" spans="1:12" x14ac:dyDescent="0.2">
      <c r="A40" t="s">
        <v>67</v>
      </c>
      <c r="C40" s="15" t="s">
        <v>69</v>
      </c>
      <c r="D40" s="15"/>
      <c r="E40" s="15"/>
      <c r="F40" s="15"/>
      <c r="G40" s="15"/>
      <c r="H40" s="15"/>
      <c r="K40" s="15">
        <f>K11/2*SIN(K36-90+180)/SIN(K36)</f>
        <v>-2.8459068167119344</v>
      </c>
      <c r="L40" s="15"/>
    </row>
  </sheetData>
  <mergeCells count="36">
    <mergeCell ref="C3:H3"/>
    <mergeCell ref="K3:L3"/>
    <mergeCell ref="C5:H5"/>
    <mergeCell ref="K5:L5"/>
    <mergeCell ref="C7:H7"/>
    <mergeCell ref="K7:L7"/>
    <mergeCell ref="C9:H9"/>
    <mergeCell ref="K9:L9"/>
    <mergeCell ref="C11:H11"/>
    <mergeCell ref="K11:L11"/>
    <mergeCell ref="C13:H13"/>
    <mergeCell ref="K13:L13"/>
    <mergeCell ref="C25:H25"/>
    <mergeCell ref="K25:L25"/>
    <mergeCell ref="C17:H17"/>
    <mergeCell ref="K17:L17"/>
    <mergeCell ref="C15:H15"/>
    <mergeCell ref="K15:L15"/>
    <mergeCell ref="K23:L23"/>
    <mergeCell ref="C19:H19"/>
    <mergeCell ref="K19:L19"/>
    <mergeCell ref="C21:H21"/>
    <mergeCell ref="K21:L21"/>
    <mergeCell ref="C23:H23"/>
    <mergeCell ref="C38:H38"/>
    <mergeCell ref="C40:H40"/>
    <mergeCell ref="K38:L38"/>
    <mergeCell ref="K40:L40"/>
    <mergeCell ref="C27:H27"/>
    <mergeCell ref="K27:L27"/>
    <mergeCell ref="C32:H32"/>
    <mergeCell ref="C34:H34"/>
    <mergeCell ref="C36:H36"/>
    <mergeCell ref="K34:L34"/>
    <mergeCell ref="K36:L36"/>
    <mergeCell ref="K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2021-04-26T22:05:01Z</dcterms:modified>
</cp:coreProperties>
</file>