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4"/>
  <workbookPr codeName="ThisWorkbook" defaultThemeVersion="124226"/>
  <mc:AlternateContent xmlns:mc="http://schemas.openxmlformats.org/markup-compatibility/2006">
    <mc:Choice Requires="x15">
      <x15ac:absPath xmlns:x15ac="http://schemas.microsoft.com/office/spreadsheetml/2010/11/ac" url="/Users/nyameaama/Documents/A-OneSpace/Converse-Engine/Nozzle-CC/"/>
    </mc:Choice>
  </mc:AlternateContent>
  <xr:revisionPtr revIDLastSave="0" documentId="13_ncr:1_{7AF1E794-E423-8040-ABE3-FC8A1420A5C0}" xr6:coauthVersionLast="46" xr6:coauthVersionMax="46" xr10:uidLastSave="{00000000-0000-0000-0000-000000000000}"/>
  <bookViews>
    <workbookView xWindow="14520" yWindow="500" windowWidth="14280" windowHeight="16260" tabRatio="920" xr2:uid="{00000000-000D-0000-FFFF-FFFF00000000}"/>
  </bookViews>
  <sheets>
    <sheet name="VesselCharacteristics" sheetId="14" r:id="rId1"/>
    <sheet name="Engine Design" sheetId="16" r:id="rId2"/>
    <sheet name="Plumbing" sheetId="19" r:id="rId3"/>
  </sheets>
  <definedNames>
    <definedName name="hgNominal">VesselCharacteristics!$B$68</definedName>
    <definedName name="_xlnm.Print_Area" localSheetId="1">'Engine Design'!#REF!</definedName>
    <definedName name="Rd_t">VesselCharacteristics!$D$66</definedName>
    <definedName name="sigma_t">VesselCharacteristics!$D$67</definedName>
  </definedNames>
  <calcPr calcId="191029"/>
</workbook>
</file>

<file path=xl/calcChain.xml><?xml version="1.0" encoding="utf-8"?>
<calcChain xmlns="http://schemas.openxmlformats.org/spreadsheetml/2006/main">
  <c r="J30" i="16" l="1"/>
  <c r="S152" i="16" l="1"/>
  <c r="S150" i="16"/>
  <c r="S149" i="16"/>
  <c r="S147" i="16"/>
  <c r="T147" i="16" s="1"/>
  <c r="S146" i="16"/>
  <c r="S145" i="16" l="1"/>
  <c r="M138" i="16"/>
  <c r="P138" i="16" s="1"/>
  <c r="S144" i="16"/>
  <c r="S143" i="16"/>
  <c r="V34" i="16"/>
  <c r="X33" i="16"/>
  <c r="H89" i="16"/>
  <c r="H90" i="16" s="1"/>
  <c r="N153" i="16"/>
  <c r="N150" i="16"/>
  <c r="N149" i="16"/>
  <c r="O145" i="16"/>
  <c r="N145" i="16"/>
  <c r="J88" i="16"/>
  <c r="H88" i="16"/>
  <c r="J89" i="16" s="1"/>
  <c r="F107" i="16"/>
  <c r="L147" i="16"/>
  <c r="L146" i="16"/>
  <c r="M143" i="16"/>
  <c r="N143" i="16" s="1"/>
  <c r="L143" i="16"/>
  <c r="M147" i="16"/>
  <c r="M145" i="16"/>
  <c r="M137" i="16"/>
  <c r="P137" i="16"/>
  <c r="P144" i="16"/>
  <c r="M129" i="16"/>
  <c r="P143" i="16"/>
  <c r="S121" i="16"/>
  <c r="R121" i="16"/>
  <c r="Q121" i="16"/>
  <c r="R120" i="16"/>
  <c r="S120" i="16" s="1"/>
  <c r="Q120" i="16"/>
  <c r="D62" i="16"/>
  <c r="E62" i="16"/>
  <c r="S72" i="16"/>
  <c r="R72" i="16"/>
  <c r="R73" i="16" s="1"/>
  <c r="P72" i="16"/>
  <c r="Q72" i="16" s="1"/>
  <c r="R71" i="16" s="1"/>
  <c r="O72" i="16"/>
  <c r="M130" i="16"/>
  <c r="R127" i="16"/>
  <c r="M126" i="16"/>
  <c r="Q34" i="16"/>
  <c r="Q33" i="16" s="1"/>
  <c r="S33" i="16" s="1"/>
  <c r="S34" i="16"/>
  <c r="R34" i="16"/>
  <c r="P34" i="16"/>
  <c r="F45" i="14"/>
  <c r="F43" i="14"/>
  <c r="F42" i="14"/>
  <c r="F46" i="14" s="1"/>
  <c r="F41" i="14"/>
  <c r="M127" i="16" l="1"/>
  <c r="S127" i="16" s="1"/>
  <c r="F44" i="14"/>
  <c r="O126" i="16"/>
  <c r="M132" i="16"/>
  <c r="O132" i="16" s="1"/>
  <c r="Q138" i="16"/>
  <c r="Q137" i="16"/>
  <c r="L141" i="16"/>
  <c r="O138" i="16"/>
  <c r="O146" i="16"/>
  <c r="O147" i="16"/>
  <c r="Q143" i="16"/>
  <c r="O137" i="16"/>
  <c r="M134" i="16"/>
  <c r="Q127" i="16"/>
  <c r="Q126" i="16" s="1"/>
  <c r="P127" i="16"/>
  <c r="O127" i="16"/>
  <c r="R33" i="16"/>
  <c r="Q75" i="16"/>
  <c r="P112" i="16"/>
  <c r="P88" i="16"/>
  <c r="P87" i="16"/>
  <c r="R66" i="16"/>
  <c r="S64" i="16"/>
  <c r="R65" i="16"/>
  <c r="Y50" i="16"/>
  <c r="X51" i="16"/>
  <c r="T35" i="16"/>
  <c r="V35" i="16" s="1"/>
  <c r="H84" i="16"/>
  <c r="F79" i="16"/>
  <c r="G79" i="16"/>
  <c r="G80" i="16" s="1"/>
  <c r="H80" i="16" s="1"/>
  <c r="U47" i="16"/>
  <c r="T47" i="16"/>
  <c r="P66" i="16"/>
  <c r="J84" i="16"/>
  <c r="I84" i="16"/>
  <c r="F50" i="16"/>
  <c r="E82" i="16"/>
  <c r="B78" i="16"/>
  <c r="B74" i="16"/>
  <c r="C61" i="14"/>
  <c r="M125" i="16" l="1"/>
  <c r="T34" i="16"/>
  <c r="L53" i="14"/>
  <c r="V28" i="16" l="1"/>
  <c r="T28" i="16"/>
  <c r="U28" i="16" s="1"/>
  <c r="R26" i="16"/>
  <c r="T29" i="16" s="1"/>
  <c r="D52" i="16" l="1"/>
  <c r="T15" i="16"/>
  <c r="M30" i="16"/>
  <c r="M29" i="16" l="1"/>
  <c r="E52" i="16"/>
  <c r="V52" i="16"/>
  <c r="T6" i="16"/>
  <c r="V6" i="16"/>
  <c r="J76" i="16"/>
  <c r="G56" i="16"/>
  <c r="G55" i="16"/>
  <c r="O32" i="16"/>
  <c r="M32" i="16" s="1"/>
  <c r="M34" i="16"/>
  <c r="A28" i="16" l="1"/>
  <c r="A29" i="16" s="1"/>
  <c r="A27" i="16"/>
  <c r="M103" i="16" l="1"/>
  <c r="M104" i="16"/>
  <c r="M105" i="16"/>
  <c r="O105" i="16" s="1"/>
  <c r="L102" i="16"/>
  <c r="N102" i="16"/>
  <c r="N101" i="16"/>
  <c r="L101" i="16"/>
  <c r="M94" i="16"/>
  <c r="S95" i="16"/>
  <c r="T91" i="16"/>
  <c r="U91" i="16" s="1"/>
  <c r="V91" i="16" s="1"/>
  <c r="T90" i="16"/>
  <c r="U90" i="16" s="1"/>
  <c r="P81" i="16"/>
  <c r="O81" i="16"/>
  <c r="M81" i="16"/>
  <c r="M86" i="16"/>
  <c r="M89" i="16" s="1"/>
  <c r="M84" i="16"/>
  <c r="O84" i="16" s="1"/>
  <c r="M87" i="16"/>
  <c r="M75" i="16"/>
  <c r="O94" i="16" l="1"/>
  <c r="M93" i="16"/>
  <c r="M83" i="16"/>
  <c r="Q84" i="16" s="1"/>
  <c r="M95" i="16"/>
  <c r="M82" i="16"/>
  <c r="M98" i="16"/>
  <c r="Q45" i="16"/>
  <c r="Q46" i="16" s="1"/>
  <c r="Q47" i="16" s="1"/>
  <c r="O74" i="16"/>
  <c r="P74" i="16" s="1"/>
  <c r="P84" i="16" l="1"/>
  <c r="R84" i="16" s="1"/>
  <c r="Q74" i="16"/>
  <c r="R74" i="16" s="1"/>
  <c r="M7" i="16" l="1"/>
  <c r="O7" i="16" s="1"/>
  <c r="V8" i="16" s="1"/>
  <c r="Q6" i="16"/>
  <c r="M31" i="16"/>
  <c r="O31" i="16" s="1"/>
  <c r="P31" i="16" s="1"/>
  <c r="Q31" i="16" s="1"/>
  <c r="N51" i="16"/>
  <c r="M51" i="16"/>
  <c r="Q56" i="16" s="1"/>
  <c r="N65" i="16" l="1"/>
  <c r="M65" i="16"/>
  <c r="N39" i="16"/>
  <c r="M39" i="16"/>
  <c r="O42" i="16" s="1"/>
  <c r="I23" i="14" l="1"/>
  <c r="C50" i="14"/>
  <c r="G83" i="14"/>
  <c r="G84" i="14" s="1"/>
  <c r="C35" i="14"/>
  <c r="M4" i="16"/>
  <c r="N16" i="16"/>
  <c r="M15" i="16"/>
  <c r="M6" i="16"/>
  <c r="M8" i="16" s="1"/>
  <c r="M17" i="16" l="1"/>
  <c r="M22" i="16" s="1"/>
  <c r="M12" i="16"/>
  <c r="F28" i="14"/>
  <c r="IV13" i="14" l="1"/>
  <c r="L49" i="14"/>
  <c r="L51" i="14"/>
  <c r="N45" i="14" l="1"/>
  <c r="I17" i="14" l="1"/>
  <c r="I46" i="14"/>
  <c r="O30" i="16" l="1"/>
  <c r="AK11" i="14"/>
  <c r="M3" i="16" l="1"/>
  <c r="M19" i="16" l="1"/>
  <c r="O19" i="16"/>
  <c r="M26" i="16"/>
  <c r="M73" i="16" l="1"/>
  <c r="S148" i="16"/>
  <c r="O73" i="16"/>
  <c r="M76" i="16"/>
  <c r="O76" i="16" s="1"/>
  <c r="O22" i="16"/>
  <c r="M14" i="16"/>
  <c r="M24" i="16" s="1"/>
  <c r="M16" i="16"/>
  <c r="O16" i="16" s="1"/>
  <c r="O26" i="16"/>
  <c r="O17" i="16"/>
  <c r="O8" i="16"/>
  <c r="O4" i="16"/>
  <c r="O6" i="16"/>
  <c r="V9" i="16" s="1"/>
  <c r="O20" i="16"/>
  <c r="O29" i="16"/>
  <c r="I50" i="16" s="1"/>
  <c r="O34" i="16"/>
  <c r="O3" i="16"/>
  <c r="Q3" i="16" l="1"/>
  <c r="P3" i="16"/>
  <c r="H79" i="16"/>
  <c r="S35" i="16"/>
  <c r="P35" i="16"/>
  <c r="Q35" i="16" s="1"/>
  <c r="Q32" i="16"/>
  <c r="P32" i="16"/>
  <c r="P14" i="16"/>
  <c r="P4" i="16"/>
  <c r="P7" i="16"/>
  <c r="Q7" i="16" s="1"/>
  <c r="O24" i="16"/>
  <c r="O12" i="16"/>
  <c r="O14" i="16"/>
  <c r="I41" i="14" l="1"/>
  <c r="I18" i="14"/>
  <c r="I19" i="14" s="1"/>
  <c r="J3" i="14"/>
  <c r="I9" i="14"/>
  <c r="M6" i="14"/>
  <c r="K5" i="14"/>
  <c r="L5" i="14" s="1"/>
  <c r="I40" i="14" l="1"/>
  <c r="K14" i="14"/>
  <c r="L20" i="14"/>
  <c r="L12" i="14"/>
  <c r="L11" i="14" s="1"/>
  <c r="L14" i="14"/>
  <c r="L16" i="14" s="1"/>
  <c r="K17" i="14"/>
  <c r="N53" i="14" l="1"/>
  <c r="S49" i="14"/>
  <c r="S48" i="14"/>
  <c r="R49" i="14"/>
  <c r="R48" i="14"/>
  <c r="Q49" i="14"/>
  <c r="Q48" i="14"/>
  <c r="P48" i="14"/>
  <c r="P49" i="14"/>
  <c r="O49" i="14"/>
  <c r="O48" i="14"/>
  <c r="N49" i="14"/>
  <c r="N48" i="14"/>
  <c r="N56" i="14"/>
  <c r="N55" i="14"/>
  <c r="O52" i="14"/>
  <c r="O51" i="14"/>
  <c r="P58" i="14"/>
  <c r="O58" i="14"/>
  <c r="Q58" i="14" l="1"/>
  <c r="Q59" i="14"/>
  <c r="N33" i="14"/>
  <c r="M33" i="14" s="1"/>
  <c r="N32" i="14"/>
  <c r="I42" i="14"/>
  <c r="K3" i="14"/>
  <c r="L3" i="14" s="1"/>
  <c r="N31" i="14" l="1"/>
  <c r="I14" i="14" l="1"/>
  <c r="I45" i="14"/>
  <c r="I22" i="14" l="1"/>
  <c r="I48" i="14" l="1"/>
  <c r="P44" i="14"/>
  <c r="P42" i="14"/>
  <c r="P43" i="14" s="1"/>
  <c r="P33" i="14"/>
  <c r="Q33" i="14" s="1"/>
  <c r="C62" i="14" l="1"/>
  <c r="N19" i="14"/>
  <c r="M28" i="14"/>
  <c r="N27" i="14"/>
  <c r="O27" i="14" s="1"/>
  <c r="P27" i="14" s="1"/>
  <c r="O24" i="14"/>
  <c r="O25" i="14" s="1"/>
  <c r="N24" i="14"/>
  <c r="N25" i="14" s="1"/>
  <c r="O28" i="14" l="1"/>
  <c r="P24" i="14"/>
  <c r="N28" i="14"/>
  <c r="M19" i="14"/>
  <c r="P28" i="14" l="1"/>
  <c r="P25" i="14"/>
  <c r="M39" i="14"/>
  <c r="M25" i="14"/>
  <c r="I10" i="14" l="1"/>
  <c r="I20" i="14"/>
  <c r="J26" i="14" s="1"/>
  <c r="I26" i="14" l="1"/>
  <c r="C25" i="14" l="1"/>
  <c r="I16" i="14"/>
  <c r="K6" i="14"/>
  <c r="K8" i="14" l="1"/>
  <c r="I12" i="14"/>
  <c r="J29" i="14" l="1"/>
  <c r="K21" i="14" s="1"/>
  <c r="I29" i="14"/>
  <c r="J30" i="14"/>
  <c r="K12" i="14"/>
  <c r="I30" i="14"/>
  <c r="C16" i="14" l="1"/>
  <c r="C17" i="14" s="1"/>
  <c r="F40" i="14" l="1"/>
  <c r="F39" i="14"/>
  <c r="C15" i="14"/>
  <c r="C13" i="14"/>
  <c r="C36" i="14" l="1"/>
  <c r="AG5" i="14" s="1"/>
  <c r="AN25" i="14" l="1"/>
  <c r="AN47" i="14" s="1"/>
  <c r="AK76" i="14"/>
  <c r="AK66" i="14"/>
  <c r="AK68" i="14"/>
  <c r="AK69" i="14"/>
  <c r="AK70" i="14"/>
  <c r="AK71" i="14"/>
  <c r="AK72" i="14"/>
  <c r="AK73" i="14"/>
  <c r="AK74" i="14"/>
  <c r="AK75" i="14"/>
  <c r="AK67" i="14"/>
  <c r="F18" i="14"/>
  <c r="N95" i="14"/>
  <c r="Q95" i="14" s="1"/>
  <c r="K95" i="14"/>
  <c r="L95" i="14" s="1"/>
  <c r="C20" i="14"/>
  <c r="C21" i="14" s="1"/>
  <c r="C18" i="14"/>
  <c r="C19" i="14"/>
  <c r="B96" i="14"/>
  <c r="B97" i="14" s="1"/>
  <c r="B98" i="14" s="1"/>
  <c r="B99" i="14" s="1"/>
  <c r="B100" i="14" s="1"/>
  <c r="C27" i="14" l="1"/>
  <c r="C28" i="14" s="1"/>
  <c r="C29" i="14" s="1"/>
  <c r="C23" i="14"/>
  <c r="K25" i="14" s="1"/>
  <c r="AM69" i="14"/>
  <c r="AM66" i="14"/>
  <c r="AM74" i="14"/>
  <c r="F13" i="14"/>
  <c r="AM71" i="14"/>
  <c r="AM68" i="14"/>
  <c r="AM70" i="14"/>
  <c r="AM73" i="14"/>
  <c r="AM72" i="14"/>
  <c r="AM67" i="14"/>
  <c r="AM75" i="14"/>
  <c r="AM76" i="14"/>
  <c r="Q96" i="14"/>
  <c r="F95" i="14"/>
  <c r="P95" i="14"/>
  <c r="K29" i="14" l="1"/>
  <c r="K30" i="14"/>
  <c r="K26" i="14"/>
  <c r="AD17" i="14"/>
  <c r="AD58" i="14"/>
  <c r="AD8" i="14"/>
  <c r="AD7" i="14"/>
  <c r="AD24" i="14"/>
  <c r="AD5" i="14"/>
  <c r="AD66" i="14"/>
  <c r="AD13" i="14"/>
  <c r="AD12" i="14"/>
  <c r="AD71" i="14"/>
  <c r="AD11" i="14"/>
  <c r="AD20" i="14"/>
  <c r="AD75" i="14"/>
  <c r="AD80" i="14"/>
  <c r="AD18" i="14"/>
  <c r="AD15" i="14"/>
  <c r="AD67" i="14"/>
  <c r="AD48" i="14"/>
  <c r="AD74" i="14"/>
  <c r="AD79" i="14"/>
  <c r="AD73" i="14"/>
  <c r="AD76" i="14"/>
  <c r="AD16" i="14"/>
  <c r="AD69" i="14"/>
  <c r="AD72" i="14"/>
  <c r="AD14" i="14"/>
  <c r="AD65" i="14"/>
  <c r="AD22" i="14"/>
  <c r="AD77" i="14"/>
  <c r="AD9" i="14"/>
  <c r="AD25" i="14"/>
  <c r="AD70" i="14"/>
  <c r="AD10" i="14"/>
  <c r="AD21" i="14"/>
  <c r="AD68" i="14"/>
  <c r="AD26" i="14"/>
  <c r="AD6" i="14"/>
  <c r="AD78" i="14"/>
  <c r="AD19" i="14"/>
  <c r="AE19" i="14" s="1"/>
  <c r="AD23" i="14"/>
  <c r="F15" i="14"/>
  <c r="F17" i="14" s="1"/>
  <c r="F21" i="14"/>
  <c r="C46" i="14" l="1"/>
  <c r="C24" i="14" s="1"/>
  <c r="F26" i="14"/>
  <c r="F57" i="14" s="1"/>
  <c r="F19" i="14"/>
  <c r="F20" i="14"/>
  <c r="AE23" i="14"/>
  <c r="F25" i="14"/>
  <c r="F53" i="14" s="1"/>
  <c r="AE73" i="14"/>
  <c r="AE68" i="14"/>
  <c r="E95" i="14"/>
  <c r="AE78" i="14"/>
  <c r="AE10" i="14"/>
  <c r="AE76" i="14"/>
  <c r="AE13" i="14"/>
  <c r="AE25" i="14"/>
  <c r="AE74" i="14"/>
  <c r="AE18" i="14"/>
  <c r="AE75" i="14"/>
  <c r="AE72" i="14"/>
  <c r="AE48" i="14"/>
  <c r="AE71" i="14"/>
  <c r="AE79" i="14"/>
  <c r="AE7" i="14"/>
  <c r="AE65" i="14"/>
  <c r="AE11" i="14"/>
  <c r="AE70" i="14"/>
  <c r="AE67" i="14"/>
  <c r="AE77" i="14"/>
  <c r="AE69" i="14"/>
  <c r="AE16" i="14"/>
  <c r="AE21" i="14"/>
  <c r="AE15" i="14"/>
  <c r="AE80" i="14"/>
  <c r="AE6" i="14"/>
  <c r="AE58" i="14"/>
  <c r="AE8" i="14"/>
  <c r="AE24" i="14"/>
  <c r="AE26" i="14"/>
  <c r="AE12" i="14"/>
  <c r="AE9" i="14"/>
  <c r="AE20" i="14"/>
  <c r="AE17" i="14"/>
  <c r="AE14" i="14"/>
  <c r="AE66" i="14"/>
  <c r="AE22" i="14"/>
  <c r="F22" i="14"/>
  <c r="IU9" i="14"/>
  <c r="C51" i="14"/>
  <c r="D95" i="14"/>
  <c r="C47" i="14" l="1"/>
  <c r="C48" i="14"/>
  <c r="M46" i="16" s="1"/>
  <c r="K56" i="14"/>
  <c r="F31" i="14"/>
  <c r="F32" i="14" s="1"/>
  <c r="F58" i="14"/>
  <c r="G7" i="14"/>
  <c r="I55" i="14"/>
  <c r="I56" i="14" s="1"/>
  <c r="F29" i="14"/>
  <c r="E96" i="14"/>
  <c r="C96" i="14" s="1"/>
  <c r="C26" i="14"/>
  <c r="C31" i="14"/>
  <c r="C52" i="14"/>
  <c r="IU10" i="14"/>
  <c r="R10" i="14"/>
  <c r="R11" i="14" s="1"/>
  <c r="IV9" i="14"/>
  <c r="M55" i="16" l="1"/>
  <c r="M48" i="16"/>
  <c r="Q48" i="16" s="1"/>
  <c r="O48" i="16"/>
  <c r="O55" i="16"/>
  <c r="G95" i="14"/>
  <c r="M47" i="16"/>
  <c r="S66" i="16"/>
  <c r="I28" i="14"/>
  <c r="I32" i="14" s="1"/>
  <c r="N22" i="14"/>
  <c r="N29" i="14" s="1"/>
  <c r="K10" i="14"/>
  <c r="C49" i="14"/>
  <c r="J27" i="14" s="1"/>
  <c r="J31" i="14" s="1"/>
  <c r="J28" i="14"/>
  <c r="J32" i="14" s="1"/>
  <c r="J34" i="14" s="1"/>
  <c r="J36" i="14" s="1"/>
  <c r="I95" i="14"/>
  <c r="H95" i="14" s="1"/>
  <c r="K28" i="14"/>
  <c r="K32" i="14" s="1"/>
  <c r="F30" i="14"/>
  <c r="D96" i="14"/>
  <c r="F55" i="14"/>
  <c r="E97" i="14"/>
  <c r="D97" i="14" s="1"/>
  <c r="F59" i="14"/>
  <c r="F60" i="14" s="1"/>
  <c r="F54" i="14"/>
  <c r="C53" i="14"/>
  <c r="C33" i="14"/>
  <c r="M53" i="16" s="1"/>
  <c r="C32" i="14"/>
  <c r="C54" i="14"/>
  <c r="M41" i="16" s="1"/>
  <c r="K96" i="14"/>
  <c r="N96" i="14" s="1"/>
  <c r="J96" i="14"/>
  <c r="M96" i="14" s="1"/>
  <c r="P96" i="14" s="1"/>
  <c r="J100" i="14"/>
  <c r="J95" i="14"/>
  <c r="J98" i="14"/>
  <c r="J97" i="14"/>
  <c r="J99" i="14"/>
  <c r="M133" i="16" l="1"/>
  <c r="M135" i="16" s="1"/>
  <c r="M43" i="16"/>
  <c r="M68" i="16" s="1"/>
  <c r="K43" i="16"/>
  <c r="M128" i="16"/>
  <c r="M131" i="16" s="1"/>
  <c r="M42" i="16"/>
  <c r="J42" i="16" s="1"/>
  <c r="M136" i="16"/>
  <c r="O53" i="16"/>
  <c r="M60" i="16"/>
  <c r="M57" i="16"/>
  <c r="O46" i="16"/>
  <c r="O43" i="16"/>
  <c r="O60" i="16"/>
  <c r="O57" i="16"/>
  <c r="R48" i="16"/>
  <c r="P64" i="16"/>
  <c r="M54" i="16"/>
  <c r="O54" i="16" s="1"/>
  <c r="P53" i="16"/>
  <c r="Q53" i="16"/>
  <c r="I27" i="14"/>
  <c r="I31" i="14" s="1"/>
  <c r="Q43" i="16"/>
  <c r="P46" i="16"/>
  <c r="K27" i="14"/>
  <c r="M9" i="14" s="1"/>
  <c r="I34" i="14"/>
  <c r="I36" i="14" s="1"/>
  <c r="N26" i="14"/>
  <c r="N30" i="14" s="1"/>
  <c r="N23" i="14"/>
  <c r="M22" i="14"/>
  <c r="K37" i="14"/>
  <c r="J37" i="14"/>
  <c r="I37" i="14"/>
  <c r="C38" i="14"/>
  <c r="K34" i="14"/>
  <c r="K36" i="14" s="1"/>
  <c r="L9" i="14"/>
  <c r="M36" i="14"/>
  <c r="E98" i="14"/>
  <c r="D98" i="14" s="1"/>
  <c r="C97" i="14"/>
  <c r="O22" i="14"/>
  <c r="O19" i="14" s="1"/>
  <c r="M13" i="16"/>
  <c r="F56" i="14"/>
  <c r="C57" i="14"/>
  <c r="M45" i="16" s="1"/>
  <c r="M50" i="16" s="1"/>
  <c r="M34" i="14"/>
  <c r="M35" i="14" s="1"/>
  <c r="C34" i="14"/>
  <c r="C55" i="14"/>
  <c r="K38" i="14" s="1"/>
  <c r="R96" i="14"/>
  <c r="S96" i="14" s="1"/>
  <c r="L96" i="14"/>
  <c r="O96" i="14" s="1"/>
  <c r="Q97" i="14"/>
  <c r="F96" i="14"/>
  <c r="I96" i="14" s="1"/>
  <c r="O47" i="16" l="1"/>
  <c r="N140" i="16"/>
  <c r="M140" i="16"/>
  <c r="O56" i="16"/>
  <c r="M56" i="16"/>
  <c r="M69" i="16"/>
  <c r="O69" i="16"/>
  <c r="K54" i="16"/>
  <c r="K47" i="16"/>
  <c r="R47" i="16"/>
  <c r="P47" i="16"/>
  <c r="P50" i="16"/>
  <c r="M61" i="16"/>
  <c r="S67" i="16"/>
  <c r="R64" i="16"/>
  <c r="T64" i="16" s="1"/>
  <c r="O63" i="16"/>
  <c r="K9" i="14"/>
  <c r="M80" i="16"/>
  <c r="Q54" i="16"/>
  <c r="P54" i="16"/>
  <c r="P55" i="16"/>
  <c r="Q55" i="16"/>
  <c r="M52" i="16"/>
  <c r="M58" i="16" s="1"/>
  <c r="P43" i="16"/>
  <c r="K31" i="14"/>
  <c r="K33" i="14" s="1"/>
  <c r="I58" i="14"/>
  <c r="J38" i="14"/>
  <c r="I38" i="14"/>
  <c r="C59" i="14"/>
  <c r="K41" i="14"/>
  <c r="K40" i="14" s="1"/>
  <c r="O13" i="16"/>
  <c r="M9" i="16"/>
  <c r="O9" i="16" s="1"/>
  <c r="M42" i="14"/>
  <c r="K22" i="14"/>
  <c r="N15" i="14"/>
  <c r="O11" i="14" s="1"/>
  <c r="M37" i="14"/>
  <c r="C98" i="14"/>
  <c r="O26" i="14"/>
  <c r="O23" i="14"/>
  <c r="P22" i="14"/>
  <c r="P29" i="14" s="1"/>
  <c r="O29" i="14"/>
  <c r="I33" i="14"/>
  <c r="E99" i="14"/>
  <c r="M23" i="16"/>
  <c r="C58" i="14"/>
  <c r="M29" i="14"/>
  <c r="M23" i="14"/>
  <c r="M26" i="14"/>
  <c r="J33" i="14"/>
  <c r="J35" i="14" s="1"/>
  <c r="I49" i="14" s="1"/>
  <c r="I50" i="14" s="1"/>
  <c r="K50" i="14" s="1"/>
  <c r="C39" i="14"/>
  <c r="C40" i="14"/>
  <c r="M59" i="16" s="1"/>
  <c r="G96" i="14"/>
  <c r="P56" i="16" l="1"/>
  <c r="F65" i="16"/>
  <c r="G65" i="16" s="1"/>
  <c r="M144" i="16"/>
  <c r="O61" i="16"/>
  <c r="P61" i="16" s="1"/>
  <c r="Q61" i="16"/>
  <c r="O129" i="16"/>
  <c r="O58" i="16"/>
  <c r="M102" i="16"/>
  <c r="O102" i="16" s="1"/>
  <c r="P80" i="16"/>
  <c r="O85" i="16"/>
  <c r="O80" i="16"/>
  <c r="F69" i="16"/>
  <c r="M66" i="16"/>
  <c r="M79" i="16" s="1"/>
  <c r="V83" i="16"/>
  <c r="J63" i="16"/>
  <c r="I63" i="16" s="1"/>
  <c r="O40" i="16"/>
  <c r="M44" i="16"/>
  <c r="Q13" i="16"/>
  <c r="P13" i="16"/>
  <c r="C60" i="14"/>
  <c r="I57" i="14"/>
  <c r="O23" i="16"/>
  <c r="M18" i="16"/>
  <c r="O18" i="16" s="1"/>
  <c r="N14" i="14"/>
  <c r="N13" i="14" s="1"/>
  <c r="N12" i="14" s="1"/>
  <c r="N11" i="14" s="1"/>
  <c r="O30" i="14"/>
  <c r="P23" i="14"/>
  <c r="P26" i="14"/>
  <c r="P30" i="14" s="1"/>
  <c r="I35" i="14"/>
  <c r="E100" i="14"/>
  <c r="C99" i="14"/>
  <c r="D99" i="14"/>
  <c r="M30" i="14"/>
  <c r="K35" i="14"/>
  <c r="C41" i="14"/>
  <c r="C42" i="14"/>
  <c r="AG6" i="14"/>
  <c r="AG7" i="14" s="1"/>
  <c r="AG8" i="14" s="1"/>
  <c r="L97" i="14"/>
  <c r="O97" i="14" s="1"/>
  <c r="K97" i="14"/>
  <c r="M97" i="14"/>
  <c r="P97" i="14" s="1"/>
  <c r="T96" i="14"/>
  <c r="H96" i="14"/>
  <c r="U96" i="14"/>
  <c r="B66" i="14"/>
  <c r="G69" i="16" l="1"/>
  <c r="H69" i="16" s="1"/>
  <c r="F70" i="16"/>
  <c r="F71" i="16" s="1"/>
  <c r="G71" i="16" s="1"/>
  <c r="H71" i="16" s="1"/>
  <c r="P83" i="16"/>
  <c r="M101" i="16"/>
  <c r="M70" i="16" s="1"/>
  <c r="R70" i="16" s="1"/>
  <c r="M90" i="16"/>
  <c r="M92" i="16"/>
  <c r="M88" i="16"/>
  <c r="O83" i="16"/>
  <c r="M97" i="16"/>
  <c r="S97" i="16" s="1"/>
  <c r="M96" i="16"/>
  <c r="P23" i="16"/>
  <c r="Q17" i="16" s="1"/>
  <c r="P17" i="16"/>
  <c r="R13" i="16"/>
  <c r="Q8" i="16"/>
  <c r="R8" i="16" s="1"/>
  <c r="P8" i="16"/>
  <c r="S8" i="16" s="1"/>
  <c r="D100" i="14"/>
  <c r="C100" i="14"/>
  <c r="AG14" i="14"/>
  <c r="AG13" i="14"/>
  <c r="AG16" i="14"/>
  <c r="AG15" i="14"/>
  <c r="C44" i="14"/>
  <c r="C45" i="14" s="1"/>
  <c r="C43" i="14"/>
  <c r="N97" i="14"/>
  <c r="R97" i="14"/>
  <c r="S97" i="14" s="1"/>
  <c r="G70" i="16" l="1"/>
  <c r="H70" i="16" s="1"/>
  <c r="I59" i="14"/>
  <c r="M56" i="14"/>
  <c r="AI4" i="14"/>
  <c r="I51" i="14"/>
  <c r="I52" i="14" s="1"/>
  <c r="Q98" i="14"/>
  <c r="F97" i="14"/>
  <c r="I97" i="14" s="1"/>
  <c r="K52" i="14" l="1"/>
  <c r="L52" i="14"/>
  <c r="I60" i="14"/>
  <c r="AO4" i="14"/>
  <c r="AN4" i="14"/>
  <c r="AK4" i="14"/>
  <c r="AK8" i="14" s="1"/>
  <c r="AI5" i="14"/>
  <c r="AH4" i="14"/>
  <c r="I54" i="14"/>
  <c r="I53" i="14" s="1"/>
  <c r="I61" i="14"/>
  <c r="I62" i="14" s="1"/>
  <c r="G97" i="14"/>
  <c r="AI11" i="14" l="1"/>
  <c r="AI12" i="14" s="1"/>
  <c r="AJ14" i="14"/>
  <c r="AK14" i="14" s="1"/>
  <c r="AO5" i="14"/>
  <c r="AN5" i="14"/>
  <c r="AI6" i="14"/>
  <c r="AM4" i="14"/>
  <c r="AJ4" i="14" s="1"/>
  <c r="AH5" i="14"/>
  <c r="AL4" i="14"/>
  <c r="K98" i="14"/>
  <c r="M98" i="14"/>
  <c r="P98" i="14" s="1"/>
  <c r="L98" i="14"/>
  <c r="O98" i="14" s="1"/>
  <c r="H97" i="14"/>
  <c r="T97" i="14"/>
  <c r="AL11" i="14" l="1"/>
  <c r="AJ8" i="14"/>
  <c r="M27" i="16" s="1"/>
  <c r="AJ11" i="14"/>
  <c r="AK12" i="14" s="1"/>
  <c r="AH6" i="14"/>
  <c r="AL5" i="14"/>
  <c r="AM5" i="14"/>
  <c r="AO6" i="14"/>
  <c r="AI7" i="14"/>
  <c r="AN6" i="14"/>
  <c r="N98" i="14"/>
  <c r="R98" i="14"/>
  <c r="S98" i="14" s="1"/>
  <c r="O27" i="16" l="1"/>
  <c r="AO7" i="14"/>
  <c r="AI8" i="14"/>
  <c r="AN7" i="14"/>
  <c r="AL6" i="14"/>
  <c r="AH7" i="14"/>
  <c r="AM6" i="14"/>
  <c r="Q99" i="14"/>
  <c r="F98" i="14"/>
  <c r="I98" i="14" s="1"/>
  <c r="AO8" i="14" l="1"/>
  <c r="AN8" i="14"/>
  <c r="AM7" i="14"/>
  <c r="AH8" i="14"/>
  <c r="AL7" i="14"/>
  <c r="G98" i="14"/>
  <c r="AM8" i="14" l="1"/>
  <c r="AL8" i="14"/>
  <c r="H98" i="14"/>
  <c r="T98" i="14"/>
  <c r="K99" i="14"/>
  <c r="L99" i="14"/>
  <c r="O99" i="14" s="1"/>
  <c r="M99" i="14"/>
  <c r="P99" i="14" s="1"/>
  <c r="N99" i="14" l="1"/>
  <c r="R99" i="14"/>
  <c r="S99" i="14" s="1"/>
  <c r="F99" i="14" l="1"/>
  <c r="I99" i="14" s="1"/>
  <c r="Q100" i="14"/>
  <c r="G99" i="14" l="1"/>
  <c r="L100" i="14" l="1"/>
  <c r="O100" i="14" s="1"/>
  <c r="K100" i="14"/>
  <c r="M100" i="14"/>
  <c r="P100" i="14" s="1"/>
  <c r="H99" i="14"/>
  <c r="T99" i="14"/>
  <c r="N100" i="14" l="1"/>
  <c r="R100" i="14"/>
  <c r="S100" i="14" s="1"/>
  <c r="F100" i="14" l="1"/>
  <c r="I100" i="14" s="1"/>
  <c r="G100" i="14" l="1"/>
  <c r="H100" i="14" l="1"/>
  <c r="T100" i="14"/>
  <c r="D66" i="14" l="1"/>
  <c r="C66" i="14"/>
  <c r="E66" i="14"/>
  <c r="M40" i="14" l="1"/>
  <c r="M41" i="1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Graham.Sortino</author>
    <author>Graham</author>
    <author>asd2323r</author>
  </authors>
  <commentList>
    <comment ref="B8" authorId="0" shapeId="0" xr:uid="{00000000-0006-0000-0000-000001000000}">
      <text>
        <r>
          <rPr>
            <b/>
            <sz val="8"/>
            <color rgb="FF000000"/>
            <rFont val="Tahoma"/>
            <family val="2"/>
          </rPr>
          <t>Graham.Sortino:</t>
        </r>
        <r>
          <rPr>
            <sz val="8"/>
            <color rgb="FF000000"/>
            <rFont val="Tahoma"/>
            <family val="2"/>
          </rPr>
          <t xml:space="preserve">
</t>
        </r>
        <r>
          <rPr>
            <sz val="8"/>
            <color rgb="FF000000"/>
            <rFont val="Tahoma"/>
            <family val="2"/>
          </rPr>
          <t xml:space="preserve">see page 184 (table 5-5) for a list of specific heats for various propellants.
</t>
        </r>
        <r>
          <rPr>
            <sz val="8"/>
            <color rgb="FF000000"/>
            <rFont val="Tahoma"/>
            <family val="2"/>
          </rPr>
          <t xml:space="preserve">N.B.  1.24 is typically used for O2/RP-1
</t>
        </r>
        <r>
          <rPr>
            <sz val="8"/>
            <color rgb="FF000000"/>
            <rFont val="Tahoma"/>
            <family val="2"/>
          </rPr>
          <t xml:space="preserve">
</t>
        </r>
        <r>
          <rPr>
            <sz val="8"/>
            <color rgb="FF000000"/>
            <rFont val="Tahoma"/>
            <family val="2"/>
          </rPr>
          <t xml:space="preserve">Specific Heat Ratio k = Specific Heat at Constat Pressure / Specific Heat at Constant Volume
</t>
        </r>
        <r>
          <rPr>
            <sz val="8"/>
            <color rgb="FF000000"/>
            <rFont val="Tahoma"/>
            <family val="2"/>
          </rPr>
          <t xml:space="preserve">
</t>
        </r>
        <r>
          <rPr>
            <sz val="8"/>
            <color rgb="FF000000"/>
            <rFont val="Tahoma"/>
            <family val="2"/>
          </rPr>
          <t>see equation (3-5a) page 50.</t>
        </r>
      </text>
    </comment>
    <comment ref="E8" authorId="0" shapeId="0" xr:uid="{00000000-0006-0000-0000-000002000000}">
      <text>
        <r>
          <rPr>
            <b/>
            <sz val="8"/>
            <color indexed="81"/>
            <rFont val="Tahoma"/>
            <family val="2"/>
          </rPr>
          <t>Graham.Sortino:</t>
        </r>
        <r>
          <rPr>
            <sz val="8"/>
            <color indexed="81"/>
            <rFont val="Tahoma"/>
            <family val="2"/>
          </rPr>
          <t xml:space="preserve">
Initial Velocity on the Earth's surface is 465 m/sec. I believe this is on the equator though.</t>
        </r>
      </text>
    </comment>
    <comment ref="H8" authorId="0" shapeId="0" xr:uid="{00000000-0006-0000-0000-000003000000}">
      <text>
        <r>
          <rPr>
            <b/>
            <sz val="9"/>
            <color indexed="81"/>
            <rFont val="Tahoma"/>
            <family val="2"/>
          </rPr>
          <t>Graham.Sortino:</t>
        </r>
        <r>
          <rPr>
            <sz val="9"/>
            <color indexed="81"/>
            <rFont val="Tahoma"/>
            <family val="2"/>
          </rPr>
          <t xml:space="preserve">
Huzel sample-calc 4-3 (a) p887 says this is calculated from 1-32a and 1-41 but this looks to be for velocity not temp. So I will not calculate this for now but leave it up for the user to input a value. Also, see Huzel solution 4-1 (a) p70 for some examples of solving for the correction factor.
</t>
        </r>
      </text>
    </comment>
    <comment ref="Q8" authorId="0" shapeId="0" xr:uid="{00000000-0006-0000-0000-000004000000}">
      <text>
        <r>
          <rPr>
            <b/>
            <sz val="8"/>
            <color indexed="81"/>
            <rFont val="Tahoma"/>
            <family val="2"/>
          </rPr>
          <t>Graham.Sortino:</t>
        </r>
        <r>
          <rPr>
            <sz val="8"/>
            <color indexed="81"/>
            <rFont val="Tahoma"/>
            <family val="2"/>
          </rPr>
          <t xml:space="preserve">
this is the initial flight launch angle. For a plane based rocket this number is probably close to 0 and for a vertically launched rocket this number is close to 90 degrees.
This is the c value in the quadratc function</t>
        </r>
      </text>
    </comment>
    <comment ref="B9" authorId="0" shapeId="0" xr:uid="{00000000-0006-0000-0000-000005000000}">
      <text>
        <r>
          <rPr>
            <b/>
            <sz val="9"/>
            <color rgb="FF000000"/>
            <rFont val="Tahoma"/>
            <family val="2"/>
          </rPr>
          <t>Graham.Sortino:</t>
        </r>
        <r>
          <rPr>
            <sz val="9"/>
            <color rgb="FF000000"/>
            <rFont val="Tahoma"/>
            <family val="2"/>
          </rPr>
          <t xml:space="preserve">
</t>
        </r>
        <r>
          <rPr>
            <sz val="9"/>
            <color rgb="FF000000"/>
            <rFont val="Tahoma"/>
            <family val="2"/>
          </rPr>
          <t>take from RPA or a suitable resource. See gas constant (R) comments for more details.</t>
        </r>
      </text>
    </comment>
    <comment ref="E9" authorId="0" shapeId="0" xr:uid="{00000000-0006-0000-0000-000006000000}">
      <text>
        <r>
          <rPr>
            <b/>
            <sz val="8"/>
            <color indexed="81"/>
            <rFont val="Tahoma"/>
            <family val="2"/>
          </rPr>
          <t>Graham.Sortino:</t>
        </r>
        <r>
          <rPr>
            <sz val="8"/>
            <color indexed="81"/>
            <rFont val="Tahoma"/>
            <family val="2"/>
          </rPr>
          <t xml:space="preserve">
This parameter along with Force guides the choice of mass flow rate and that selects propellent mass.
This parameter is a guidance value only and is not guaranteed to equal cutoff velocity.</t>
        </r>
      </text>
    </comment>
    <comment ref="H9" authorId="0" shapeId="0" xr:uid="{00000000-0006-0000-0000-000007000000}">
      <text>
        <r>
          <rPr>
            <b/>
            <sz val="9"/>
            <color indexed="81"/>
            <rFont val="Tahoma"/>
            <family val="2"/>
          </rPr>
          <t>Graham.Sortino:</t>
        </r>
        <r>
          <rPr>
            <sz val="9"/>
            <color indexed="81"/>
            <rFont val="Tahoma"/>
            <family val="2"/>
          </rPr>
          <t xml:space="preserve">
see Sample calc 4-3  (a) (Huzel) p87</t>
        </r>
      </text>
    </comment>
    <comment ref="Q9" authorId="0" shapeId="0" xr:uid="{00000000-0006-0000-0000-000008000000}">
      <text>
        <r>
          <rPr>
            <b/>
            <sz val="8"/>
            <color indexed="81"/>
            <rFont val="Tahoma"/>
            <family val="2"/>
          </rPr>
          <t>Graham.Sortino:</t>
        </r>
        <r>
          <rPr>
            <sz val="8"/>
            <color indexed="81"/>
            <rFont val="Tahoma"/>
            <family val="2"/>
          </rPr>
          <t xml:space="preserve">
This is the maximum angle attained during flight.</t>
        </r>
      </text>
    </comment>
    <comment ref="B10" authorId="0" shapeId="0" xr:uid="{00000000-0006-0000-0000-000009000000}">
      <text>
        <r>
          <rPr>
            <b/>
            <sz val="8"/>
            <color rgb="FF000000"/>
            <rFont val="Tahoma"/>
            <family val="2"/>
          </rPr>
          <t>Graham.Sortino:</t>
        </r>
        <r>
          <rPr>
            <sz val="8"/>
            <color rgb="FF000000"/>
            <rFont val="Tahoma"/>
            <family val="2"/>
          </rPr>
          <t xml:space="preserve">
</t>
        </r>
        <r>
          <rPr>
            <sz val="8"/>
            <color rgb="FF000000"/>
            <rFont val="Tahoma"/>
            <family val="2"/>
          </rPr>
          <t xml:space="preserve">see p50 for info on gas constant. It is calculated as the Universal Gas Constant divided by the molecular mass of the propellant.
</t>
        </r>
        <r>
          <rPr>
            <sz val="8"/>
            <color rgb="FF000000"/>
            <rFont val="Tahoma"/>
            <family val="2"/>
          </rPr>
          <t xml:space="preserve">
</t>
        </r>
        <r>
          <rPr>
            <sz val="8"/>
            <color rgb="FF000000"/>
            <rFont val="Tahoma"/>
            <family val="2"/>
          </rPr>
          <t>Universal Gas Constant = 8,314.3 J/kg mol-K (or 1544 ft-lb/lb mol-</t>
        </r>
        <r>
          <rPr>
            <vertAlign val="superscript"/>
            <sz val="8"/>
            <color rgb="FF000000"/>
            <rFont val="Tahoma"/>
            <family val="2"/>
          </rPr>
          <t>o</t>
        </r>
        <r>
          <rPr>
            <sz val="8"/>
            <color rgb="FF000000"/>
            <rFont val="Tahoma"/>
            <family val="2"/>
          </rPr>
          <t xml:space="preserve">R)
</t>
        </r>
        <r>
          <rPr>
            <sz val="8"/>
            <color rgb="FF000000"/>
            <rFont val="Tahoma"/>
            <family val="2"/>
          </rPr>
          <t xml:space="preserve">
</t>
        </r>
        <r>
          <rPr>
            <sz val="8"/>
            <color rgb="FF000000"/>
            <rFont val="Tahoma"/>
            <family val="2"/>
          </rPr>
          <t xml:space="preserve">See p184 (table 5-5) for the molecular mass of common rocket propellants. 
</t>
        </r>
        <r>
          <rPr>
            <sz val="8"/>
            <color rgb="FF000000"/>
            <rFont val="Tahoma"/>
            <family val="2"/>
          </rPr>
          <t xml:space="preserve">
</t>
        </r>
        <r>
          <rPr>
            <sz val="8"/>
            <color rgb="FF000000"/>
            <rFont val="Tahoma"/>
            <family val="2"/>
          </rPr>
          <t xml:space="preserve">21.9 kg/mol  is the molecular mass of O2/RP-1. So
</t>
        </r>
        <r>
          <rPr>
            <sz val="8"/>
            <color rgb="FF000000"/>
            <rFont val="Tahoma"/>
            <family val="2"/>
          </rPr>
          <t>R = 8,314.3 / 21.9 = 379.6484</t>
        </r>
      </text>
    </comment>
    <comment ref="H10" authorId="0" shapeId="0" xr:uid="{00000000-0006-0000-0000-00000A000000}">
      <text>
        <r>
          <rPr>
            <b/>
            <sz val="9"/>
            <color indexed="81"/>
            <rFont val="Tahoma"/>
            <family val="2"/>
          </rPr>
          <t>Graham.Sortino:</t>
        </r>
        <r>
          <rPr>
            <sz val="9"/>
            <color indexed="81"/>
            <rFont val="Tahoma"/>
            <family val="2"/>
          </rPr>
          <t xml:space="preserve">
see Sample calc 4-3  (a) (Huzel) p87</t>
        </r>
      </text>
    </comment>
    <comment ref="Q10" authorId="0" shapeId="0" xr:uid="{00000000-0006-0000-0000-00000B000000}">
      <text>
        <r>
          <rPr>
            <b/>
            <sz val="8"/>
            <color indexed="81"/>
            <rFont val="Tahoma"/>
            <family val="2"/>
          </rPr>
          <t>Graham.Sortino:</t>
        </r>
        <r>
          <rPr>
            <sz val="8"/>
            <color indexed="81"/>
            <rFont val="Tahoma"/>
            <family val="2"/>
          </rPr>
          <t xml:space="preserve">
a value  in the quadratic function</t>
        </r>
      </text>
    </comment>
    <comment ref="B11" authorId="1" shapeId="0" xr:uid="{00000000-0006-0000-0000-00000C000000}">
      <text>
        <r>
          <rPr>
            <b/>
            <sz val="8"/>
            <color rgb="FF000000"/>
            <rFont val="Tahoma"/>
            <family val="2"/>
          </rPr>
          <t>Graham:</t>
        </r>
        <r>
          <rPr>
            <sz val="8"/>
            <color rgb="FF000000"/>
            <rFont val="Tahoma"/>
            <family val="2"/>
          </rPr>
          <t xml:space="preserve">
</t>
        </r>
        <r>
          <rPr>
            <sz val="8"/>
            <color rgb="FF000000"/>
            <rFont val="Tahoma"/>
            <family val="2"/>
          </rPr>
          <t xml:space="preserve">Temperature at the Nozzle inlet. 
</t>
        </r>
        <r>
          <rPr>
            <sz val="8"/>
            <color rgb="FF000000"/>
            <rFont val="Tahoma"/>
            <family val="2"/>
          </rPr>
          <t xml:space="preserve">See page 184 (table 5-5) for chamber temperatures for various propellents.
</t>
        </r>
        <r>
          <rPr>
            <sz val="8"/>
            <color rgb="FF000000"/>
            <rFont val="Tahoma"/>
            <family val="2"/>
          </rPr>
          <t xml:space="preserve">
</t>
        </r>
        <r>
          <rPr>
            <sz val="8"/>
            <color rgb="FF000000"/>
            <rFont val="Tahoma"/>
            <family val="2"/>
          </rPr>
          <t>N.B. 3571 is typically used for O2/RP1</t>
        </r>
      </text>
    </comment>
    <comment ref="H11" authorId="2" shapeId="0" xr:uid="{00000000-0006-0000-0000-00000D000000}">
      <text>
        <r>
          <rPr>
            <b/>
            <sz val="9"/>
            <color indexed="81"/>
            <rFont val="Tahoma"/>
            <family val="2"/>
          </rPr>
          <t>asd2323r:</t>
        </r>
        <r>
          <rPr>
            <sz val="9"/>
            <color indexed="81"/>
            <rFont val="Tahoma"/>
            <family val="2"/>
          </rPr>
          <t xml:space="preserve">
not sure how to calculate this but can be taken from RPA</t>
        </r>
      </text>
    </comment>
    <comment ref="Q11" authorId="0" shapeId="0" xr:uid="{00000000-0006-0000-0000-00000E000000}">
      <text>
        <r>
          <rPr>
            <b/>
            <sz val="8"/>
            <color indexed="81"/>
            <rFont val="Tahoma"/>
            <family val="2"/>
          </rPr>
          <t>Graham.Sortino:</t>
        </r>
        <r>
          <rPr>
            <sz val="8"/>
            <color indexed="81"/>
            <rFont val="Tahoma"/>
            <family val="2"/>
          </rPr>
          <t xml:space="preserve">
b value  in the quadratic function</t>
        </r>
      </text>
    </comment>
    <comment ref="B12" authorId="0" shapeId="0" xr:uid="{00000000-0006-0000-0000-00000F000000}">
      <text>
        <r>
          <rPr>
            <b/>
            <sz val="9"/>
            <color rgb="FF000000"/>
            <rFont val="Tahoma"/>
            <family val="2"/>
          </rPr>
          <t>Graham.Sortino:</t>
        </r>
        <r>
          <rPr>
            <sz val="9"/>
            <color rgb="FF000000"/>
            <rFont val="Tahoma"/>
            <family val="2"/>
          </rPr>
          <t xml:space="preserve">
</t>
        </r>
        <r>
          <rPr>
            <sz val="9"/>
            <color rgb="FF000000"/>
            <rFont val="Tahoma"/>
            <family val="2"/>
          </rPr>
          <t xml:space="preserve">select a p1 that provides maximum velocity within acceptable design limitations. 
</t>
        </r>
        <r>
          <rPr>
            <sz val="9"/>
            <color rgb="FF000000"/>
            <rFont val="Tahoma"/>
            <family val="2"/>
          </rPr>
          <t xml:space="preserve">
</t>
        </r>
        <r>
          <rPr>
            <sz val="9"/>
            <color rgb="FF000000"/>
            <rFont val="Tahoma"/>
            <family val="2"/>
          </rPr>
          <t xml:space="preserve">In otherwords don't choose an initial pressure so high that the engine is very difficult to build. 
</t>
        </r>
        <r>
          <rPr>
            <sz val="9"/>
            <color rgb="FF000000"/>
            <rFont val="Tahoma"/>
            <family val="2"/>
          </rPr>
          <t xml:space="preserve">
</t>
        </r>
        <r>
          <rPr>
            <sz val="9"/>
            <color rgb="FF000000"/>
            <rFont val="Tahoma"/>
            <family val="2"/>
          </rPr>
          <t>Favorable performance for O2/RP-1 has been seen with p1 between 100 and 3400 psia.</t>
        </r>
      </text>
    </comment>
    <comment ref="E12" authorId="0" shapeId="0" xr:uid="{00000000-0006-0000-0000-000010000000}">
      <text>
        <r>
          <rPr>
            <b/>
            <sz val="8"/>
            <color rgb="FF000000"/>
            <rFont val="Tahoma"/>
            <family val="2"/>
          </rPr>
          <t>Graham.Sortino:</t>
        </r>
        <r>
          <rPr>
            <sz val="8"/>
            <color rgb="FF000000"/>
            <rFont val="Tahoma"/>
            <family val="2"/>
          </rPr>
          <t xml:space="preserve">
</t>
        </r>
        <r>
          <rPr>
            <sz val="8"/>
            <color rgb="FF000000"/>
            <rFont val="Tahoma"/>
            <family val="2"/>
          </rPr>
          <t xml:space="preserve">This value represents the maximum allowable force. It is a mission parameter and depends chiefly on whether the flight is manned or un-manned.
</t>
        </r>
        <r>
          <rPr>
            <sz val="8"/>
            <color rgb="FF000000"/>
            <rFont val="Tahoma"/>
            <family val="2"/>
          </rPr>
          <t xml:space="preserve">
</t>
        </r>
        <r>
          <rPr>
            <sz val="8"/>
            <color rgb="FF000000"/>
            <rFont val="Tahoma"/>
            <family val="2"/>
          </rPr>
          <t>F</t>
        </r>
        <r>
          <rPr>
            <vertAlign val="subscript"/>
            <sz val="8"/>
            <color rgb="FF000000"/>
            <rFont val="Tahoma"/>
            <family val="2"/>
          </rPr>
          <t>max</t>
        </r>
        <r>
          <rPr>
            <sz val="8"/>
            <color rgb="FF000000"/>
            <rFont val="Tahoma"/>
            <family val="2"/>
          </rPr>
          <t xml:space="preserve"> = mf*a</t>
        </r>
      </text>
    </comment>
    <comment ref="H12" authorId="0" shapeId="0" xr:uid="{00000000-0006-0000-0000-000011000000}">
      <text>
        <r>
          <rPr>
            <b/>
            <sz val="9"/>
            <color indexed="81"/>
            <rFont val="Tahoma"/>
            <family val="2"/>
          </rPr>
          <t>Graham.Sortino:</t>
        </r>
        <r>
          <rPr>
            <sz val="9"/>
            <color indexed="81"/>
            <rFont val="Tahoma"/>
            <family val="2"/>
          </rPr>
          <t xml:space="preserve">
see huzel equation 4-15 (p86)
Note - a better estimation can be found by using the method from http://en.wikipedia.org/wiki/Prandtl_number.
Or simply take from RPA</t>
        </r>
      </text>
    </comment>
    <comment ref="E13" authorId="0" shapeId="0" xr:uid="{00000000-0006-0000-0000-000012000000}">
      <text>
        <r>
          <rPr>
            <b/>
            <sz val="8"/>
            <color rgb="FF000000"/>
            <rFont val="Tahoma"/>
            <family val="2"/>
          </rPr>
          <t>Graham.Sortino:</t>
        </r>
        <r>
          <rPr>
            <sz val="8"/>
            <color rgb="FF000000"/>
            <rFont val="Tahoma"/>
            <family val="2"/>
          </rPr>
          <t xml:space="preserve">
</t>
        </r>
        <r>
          <rPr>
            <sz val="8"/>
            <color rgb="FF000000"/>
            <rFont val="Tahoma"/>
            <family val="2"/>
          </rPr>
          <t xml:space="preserve">This value represents the maximum allowable force. It is a mission parameter and depends chiefly on whether the flight is manned or un-manned.
</t>
        </r>
        <r>
          <rPr>
            <sz val="8"/>
            <color rgb="FF000000"/>
            <rFont val="Tahoma"/>
            <family val="2"/>
          </rPr>
          <t xml:space="preserve">
</t>
        </r>
        <r>
          <rPr>
            <sz val="8"/>
            <color rgb="FF000000"/>
            <rFont val="Tahoma"/>
            <family val="2"/>
          </rPr>
          <t>F</t>
        </r>
        <r>
          <rPr>
            <vertAlign val="subscript"/>
            <sz val="8"/>
            <color rgb="FF000000"/>
            <rFont val="Tahoma"/>
            <family val="2"/>
          </rPr>
          <t>max</t>
        </r>
        <r>
          <rPr>
            <sz val="8"/>
            <color rgb="FF000000"/>
            <rFont val="Tahoma"/>
            <family val="2"/>
          </rPr>
          <t xml:space="preserve"> = mf*a</t>
        </r>
      </text>
    </comment>
    <comment ref="H13" authorId="0" shapeId="0" xr:uid="{00000000-0006-0000-0000-000013000000}">
      <text>
        <r>
          <rPr>
            <b/>
            <sz val="9"/>
            <color indexed="81"/>
            <rFont val="Tahoma"/>
            <family val="2"/>
          </rPr>
          <t>Graham.Sortino:</t>
        </r>
        <r>
          <rPr>
            <sz val="9"/>
            <color indexed="81"/>
            <rFont val="Tahoma"/>
            <family val="2"/>
          </rPr>
          <t xml:space="preserve">
This is a desired temperature based on the properties of the wall material + an allowable tolerence.
Some references:
Aluminum 6061: http://asm.matweb.com/search/SpecificMaterial.asp?bassnum=MA6061t6</t>
        </r>
      </text>
    </comment>
    <comment ref="B14" authorId="0" shapeId="0" xr:uid="{00000000-0006-0000-0000-000014000000}">
      <text>
        <r>
          <rPr>
            <b/>
            <sz val="9"/>
            <color rgb="FF000000"/>
            <rFont val="Tahoma"/>
            <family val="2"/>
          </rPr>
          <t>Graham.Sortino:</t>
        </r>
        <r>
          <rPr>
            <sz val="9"/>
            <color rgb="FF000000"/>
            <rFont val="Tahoma"/>
            <family val="2"/>
          </rPr>
          <t xml:space="preserve">
</t>
        </r>
        <r>
          <rPr>
            <sz val="9"/>
            <color rgb="FF000000"/>
            <rFont val="Tahoma"/>
            <family val="2"/>
          </rPr>
          <t>p2 can easily be selected based upon the mission of the rocket. Optimum expansion is when p2 = p3. So select a value based on this condition see "Properties of Atmosphere" tab for pressures at various altitudes.</t>
        </r>
      </text>
    </comment>
    <comment ref="H14" authorId="0" shapeId="0" xr:uid="{00000000-0006-0000-0000-000015000000}">
      <text>
        <r>
          <rPr>
            <b/>
            <sz val="9"/>
            <color indexed="81"/>
            <rFont val="Tahoma"/>
            <family val="2"/>
          </rPr>
          <t>Graham.Sortino:</t>
        </r>
        <r>
          <rPr>
            <sz val="9"/>
            <color indexed="81"/>
            <rFont val="Tahoma"/>
            <family val="2"/>
          </rPr>
          <t xml:space="preserve">
This is a desired temperature based on the properties of the wall material + an allowable tolerence.
Some references:
Aluminum 6061: http://asm.matweb.com/search/SpecificMaterial.asp?bassnum=MA6061t6</t>
        </r>
      </text>
    </comment>
    <comment ref="E15" authorId="0" shapeId="0" xr:uid="{00000000-0006-0000-0000-000016000000}">
      <text>
        <r>
          <rPr>
            <b/>
            <sz val="8"/>
            <color rgb="FF000000"/>
            <rFont val="Tahoma"/>
            <family val="2"/>
          </rPr>
          <t>Graham.Sortino:</t>
        </r>
        <r>
          <rPr>
            <sz val="8"/>
            <color rgb="FF000000"/>
            <rFont val="Tahoma"/>
            <family val="2"/>
          </rPr>
          <t xml:space="preserve">
</t>
        </r>
        <r>
          <rPr>
            <sz val="8"/>
            <color rgb="FF000000"/>
            <rFont val="Tahoma"/>
            <family val="2"/>
          </rPr>
          <t xml:space="preserve">Solving for mp given mf. See equation 4-8 for an example.
</t>
        </r>
        <r>
          <rPr>
            <sz val="8"/>
            <color rgb="FF000000"/>
            <rFont val="Tahoma"/>
            <family val="2"/>
          </rPr>
          <t xml:space="preserve">
</t>
        </r>
        <r>
          <rPr>
            <sz val="8"/>
            <color rgb="FF000000"/>
            <rFont val="Tahoma"/>
            <family val="2"/>
          </rPr>
          <t>An alternative is to use  a reballancing of equation 4-7 where we solve for mp. See p331 for an example.</t>
        </r>
      </text>
    </comment>
    <comment ref="H15" authorId="0" shapeId="0" xr:uid="{00000000-0006-0000-0000-000017000000}">
      <text>
        <r>
          <rPr>
            <b/>
            <sz val="9"/>
            <color indexed="81"/>
            <rFont val="Tahoma"/>
            <family val="2"/>
          </rPr>
          <t>Graham.Sortino:</t>
        </r>
        <r>
          <rPr>
            <sz val="9"/>
            <color indexed="81"/>
            <rFont val="Tahoma"/>
            <family val="2"/>
          </rPr>
          <t xml:space="preserve">
Estimated from .9 to .98 (see p85) of Huzel
typically .923 is used as an estimated value.</t>
        </r>
      </text>
    </comment>
    <comment ref="I15" authorId="2" shapeId="0" xr:uid="{00000000-0006-0000-0000-000018000000}">
      <text>
        <r>
          <rPr>
            <b/>
            <sz val="9"/>
            <color indexed="81"/>
            <rFont val="Tahoma"/>
            <family val="2"/>
          </rPr>
          <t>asd2323r:</t>
        </r>
        <r>
          <rPr>
            <sz val="9"/>
            <color indexed="81"/>
            <rFont val="Tahoma"/>
            <family val="2"/>
          </rPr>
          <t xml:space="preserve">
this is not currently used as its been replaced by the calculated stagnation recovery factor. See calcuation of Adiabatic Wall Temp (Taw) for details.</t>
        </r>
      </text>
    </comment>
    <comment ref="B16" authorId="0" shapeId="0" xr:uid="{00000000-0006-0000-0000-000019000000}">
      <text>
        <r>
          <rPr>
            <b/>
            <sz val="9"/>
            <color rgb="FF000000"/>
            <rFont val="Tahoma"/>
            <family val="2"/>
          </rPr>
          <t>Graham.Sortino:</t>
        </r>
        <r>
          <rPr>
            <sz val="9"/>
            <color rgb="FF000000"/>
            <rFont val="Tahoma"/>
            <family val="2"/>
          </rPr>
          <t xml:space="preserve">
</t>
        </r>
        <r>
          <rPr>
            <sz val="9"/>
            <color rgb="FF000000"/>
            <rFont val="Tahoma"/>
            <family val="2"/>
          </rPr>
          <t>Typically this will be optimum expansion where p2 = p3.</t>
        </r>
      </text>
    </comment>
    <comment ref="E16" authorId="0" shapeId="0" xr:uid="{00000000-0006-0000-0000-00001A000000}">
      <text>
        <r>
          <rPr>
            <b/>
            <sz val="8"/>
            <color rgb="FF000000"/>
            <rFont val="Tahoma"/>
            <family val="2"/>
          </rPr>
          <t>Graham.Sortino:</t>
        </r>
        <r>
          <rPr>
            <sz val="8"/>
            <color rgb="FF000000"/>
            <rFont val="Tahoma"/>
            <family val="2"/>
          </rPr>
          <t xml:space="preserve">
</t>
        </r>
        <r>
          <rPr>
            <sz val="8"/>
            <color rgb="FF000000"/>
            <rFont val="Tahoma"/>
            <family val="2"/>
          </rPr>
          <t xml:space="preserve">inert hardware includes: tanks, gas, generator, turbopumps, etc…
</t>
        </r>
        <r>
          <rPr>
            <sz val="8"/>
            <color rgb="FF000000"/>
            <rFont val="Tahoma"/>
            <family val="2"/>
          </rPr>
          <t xml:space="preserve">
</t>
        </r>
        <r>
          <rPr>
            <sz val="8"/>
            <color rgb="FF000000"/>
            <rFont val="Tahoma"/>
            <family val="2"/>
          </rPr>
          <t>Typical value is 7% of propellent mass</t>
        </r>
      </text>
    </comment>
    <comment ref="H16" authorId="2" shapeId="0" xr:uid="{00000000-0006-0000-0000-00001B000000}">
      <text>
        <r>
          <rPr>
            <b/>
            <sz val="9"/>
            <color indexed="81"/>
            <rFont val="Tahoma"/>
            <family val="2"/>
          </rPr>
          <t>asd2323r:</t>
        </r>
        <r>
          <rPr>
            <sz val="9"/>
            <color indexed="81"/>
            <rFont val="Tahoma"/>
            <family val="2"/>
          </rPr>
          <t xml:space="preserve">
see sample calculation 4-3 (a) from Huzel and Huang (top of p87) for details</t>
        </r>
      </text>
    </comment>
    <comment ref="H17" authorId="0" shapeId="0" xr:uid="{00000000-0006-0000-0000-00001C000000}">
      <text>
        <r>
          <rPr>
            <b/>
            <sz val="9"/>
            <color indexed="81"/>
            <rFont val="Tahoma"/>
            <family val="2"/>
          </rPr>
          <t>Graham.Sortino:</t>
        </r>
        <r>
          <rPr>
            <sz val="9"/>
            <color indexed="81"/>
            <rFont val="Tahoma"/>
            <family val="2"/>
          </rPr>
          <t xml:space="preserve">
according to the following linke the conversion factor is: 0.0002388458966275. We also multiply the metric value by 1000 to go from kj to joule.
http://metricsystemconversion.info/British-thermal-unitIT-per-pound-degree-Rankine-BtuIT-lb-%B7-%BAR-to-joule-per-kilogram-kelvin-J-kg-%B7-K.html?func=detail</t>
        </r>
      </text>
    </comment>
    <comment ref="H18" authorId="2" shapeId="0" xr:uid="{00000000-0006-0000-0000-00001D000000}">
      <text>
        <r>
          <rPr>
            <b/>
            <sz val="9"/>
            <color indexed="81"/>
            <rFont val="Tahoma"/>
            <family val="2"/>
          </rPr>
          <t>asd2323r:</t>
        </r>
        <r>
          <rPr>
            <sz val="9"/>
            <color indexed="81"/>
            <rFont val="Tahoma"/>
            <family val="2"/>
          </rPr>
          <t xml:space="preserve">
This can be taken from 4-16 in huzel and huang. However, its also available in RPA so I'm taking it from there instead.</t>
        </r>
      </text>
    </comment>
    <comment ref="E19" authorId="0" shapeId="0" xr:uid="{00000000-0006-0000-0000-00001E000000}">
      <text>
        <r>
          <rPr>
            <b/>
            <sz val="8"/>
            <color rgb="FF000000"/>
            <rFont val="Tahoma"/>
            <family val="2"/>
          </rPr>
          <t>Graham.Sortino:</t>
        </r>
        <r>
          <rPr>
            <sz val="8"/>
            <color rgb="FF000000"/>
            <rFont val="Tahoma"/>
            <family val="2"/>
          </rPr>
          <t xml:space="preserve">
</t>
        </r>
        <r>
          <rPr>
            <sz val="8"/>
            <color rgb="FF000000"/>
            <rFont val="Tahoma"/>
            <family val="2"/>
          </rPr>
          <t>Final Mass / Initial Mass</t>
        </r>
      </text>
    </comment>
    <comment ref="H19" authorId="0" shapeId="0" xr:uid="{00000000-0006-0000-0000-00001F000000}">
      <text>
        <r>
          <rPr>
            <b/>
            <sz val="9"/>
            <color indexed="81"/>
            <rFont val="Tahoma"/>
            <family val="2"/>
          </rPr>
          <t>Graham.Sortino:</t>
        </r>
        <r>
          <rPr>
            <sz val="9"/>
            <color indexed="81"/>
            <rFont val="Tahoma"/>
            <family val="2"/>
          </rPr>
          <t xml:space="preserve">
See equation 4-16 Huzel (p86). If actual data is available then it can be substituted in.</t>
        </r>
      </text>
    </comment>
    <comment ref="B20" authorId="0" shapeId="0" xr:uid="{00000000-0006-0000-0000-000020000000}">
      <text>
        <r>
          <rPr>
            <b/>
            <sz val="8"/>
            <color rgb="FF000000"/>
            <rFont val="Tahoma"/>
            <family val="2"/>
          </rPr>
          <t>Graham.Sortino:</t>
        </r>
        <r>
          <rPr>
            <sz val="8"/>
            <color rgb="FF000000"/>
            <rFont val="Tahoma"/>
            <family val="2"/>
          </rPr>
          <t xml:space="preserve">
</t>
        </r>
        <r>
          <rPr>
            <sz val="8"/>
            <color rgb="FF000000"/>
            <rFont val="Tahoma"/>
            <family val="2"/>
          </rPr>
          <t>calculated from 3-20</t>
        </r>
      </text>
    </comment>
    <comment ref="E20" authorId="0" shapeId="0" xr:uid="{00000000-0006-0000-0000-000021000000}">
      <text>
        <r>
          <rPr>
            <b/>
            <sz val="8"/>
            <color rgb="FF000000"/>
            <rFont val="Tahoma"/>
            <family val="2"/>
          </rPr>
          <t>Graham.Sortino:</t>
        </r>
        <r>
          <rPr>
            <sz val="8"/>
            <color rgb="FF000000"/>
            <rFont val="Tahoma"/>
            <family val="2"/>
          </rPr>
          <t xml:space="preserve">
</t>
        </r>
        <r>
          <rPr>
            <sz val="8"/>
            <color rgb="FF000000"/>
            <rFont val="Tahoma"/>
            <family val="2"/>
          </rPr>
          <t xml:space="preserve">Initial Mass / Final Mass
</t>
        </r>
        <r>
          <rPr>
            <sz val="8"/>
            <color rgb="FF000000"/>
            <rFont val="Tahoma"/>
            <family val="2"/>
          </rPr>
          <t xml:space="preserve">
</t>
        </r>
        <r>
          <rPr>
            <sz val="8"/>
            <color rgb="FF000000"/>
            <rFont val="Tahoma"/>
            <family val="2"/>
          </rPr>
          <t>See figure 4-2 for charted values in a gravity free environment</t>
        </r>
      </text>
    </comment>
    <comment ref="H20" authorId="0" shapeId="0" xr:uid="{00000000-0006-0000-0000-000022000000}">
      <text>
        <r>
          <rPr>
            <b/>
            <sz val="9"/>
            <color indexed="81"/>
            <rFont val="Tahoma"/>
            <family val="2"/>
          </rPr>
          <t>Graham.Sortino:</t>
        </r>
        <r>
          <rPr>
            <sz val="9"/>
            <color indexed="81"/>
            <rFont val="Tahoma"/>
            <family val="2"/>
          </rPr>
          <t xml:space="preserve">
I'm still not sure exactly what this is but I think it assumes some sort of hypothetical scenario where the wall temp aproaches it's limit.
It seems that this has a strong correlation with sigma and thus it affects the gas side heat coefficient. A value closer to 1 decreases the heat coefficient.
See fig 4-28 page 86 of Huzel and sample calc 4-3 (a) p87 for more information on this value.</t>
        </r>
      </text>
    </comment>
    <comment ref="B21" authorId="0" shapeId="0" xr:uid="{00000000-0006-0000-0000-000023000000}">
      <text>
        <r>
          <rPr>
            <b/>
            <sz val="8"/>
            <color rgb="FF000000"/>
            <rFont val="Tahoma"/>
            <family val="2"/>
          </rPr>
          <t>Graham.Sortino:</t>
        </r>
        <r>
          <rPr>
            <sz val="8"/>
            <color rgb="FF000000"/>
            <rFont val="Tahoma"/>
            <family val="2"/>
          </rPr>
          <t xml:space="preserve">
</t>
        </r>
        <r>
          <rPr>
            <sz val="8"/>
            <color rgb="FF000000"/>
            <rFont val="Tahoma"/>
            <family val="2"/>
          </rPr>
          <t>calculated from 3-20</t>
        </r>
      </text>
    </comment>
    <comment ref="E21" authorId="0" shapeId="0" xr:uid="{00000000-0006-0000-0000-000024000000}">
      <text>
        <r>
          <rPr>
            <b/>
            <sz val="8"/>
            <color rgb="FF000000"/>
            <rFont val="Tahoma"/>
            <family val="2"/>
          </rPr>
          <t>Graham.Sortino:</t>
        </r>
        <r>
          <rPr>
            <sz val="8"/>
            <color rgb="FF000000"/>
            <rFont val="Tahoma"/>
            <family val="2"/>
          </rPr>
          <t xml:space="preserve">
</t>
        </r>
        <r>
          <rPr>
            <sz val="8"/>
            <color rgb="FF000000"/>
            <rFont val="Tahoma"/>
            <family val="2"/>
          </rPr>
          <t xml:space="preserve">&lt;--- Represents the amount of propellent used per second
</t>
        </r>
        <r>
          <rPr>
            <sz val="8"/>
            <color rgb="FF000000"/>
            <rFont val="Tahoma"/>
            <family val="2"/>
          </rPr>
          <t xml:space="preserve">
</t>
        </r>
        <r>
          <rPr>
            <sz val="8"/>
            <color rgb="FF000000"/>
            <rFont val="Tahoma"/>
            <family val="2"/>
          </rPr>
          <t xml:space="preserve">
</t>
        </r>
        <r>
          <rPr>
            <sz val="8"/>
            <color rgb="FF000000"/>
            <rFont val="Tahoma"/>
            <family val="2"/>
          </rPr>
          <t>Mass flow rate may be very simply calculated by taking the usable propellant mass and dividing it by the burn time. This of course assumes equal burn.</t>
        </r>
      </text>
    </comment>
    <comment ref="H21" authorId="0" shapeId="0" xr:uid="{00000000-0006-0000-0000-000025000000}">
      <text>
        <r>
          <rPr>
            <b/>
            <sz val="9"/>
            <color indexed="81"/>
            <rFont val="Tahoma"/>
            <family val="2"/>
          </rPr>
          <t>Graham.Sortino:</t>
        </r>
        <r>
          <rPr>
            <sz val="9"/>
            <color indexed="81"/>
            <rFont val="Tahoma"/>
            <family val="2"/>
          </rPr>
          <t xml:space="preserve">
look this up in material data sheets. Thermal conductivity is dependent on temperature so keep that in mind when researching this value.</t>
        </r>
      </text>
    </comment>
    <comment ref="B22" authorId="1" shapeId="0" xr:uid="{00000000-0006-0000-0000-000026000000}">
      <text>
        <r>
          <rPr>
            <b/>
            <sz val="8"/>
            <color indexed="81"/>
            <rFont val="Tahoma"/>
            <family val="2"/>
          </rPr>
          <t>Graham:</t>
        </r>
        <r>
          <rPr>
            <sz val="8"/>
            <color indexed="81"/>
            <rFont val="Tahoma"/>
            <family val="2"/>
          </rPr>
          <t xml:space="preserve">
Used to calculate the effective percentage loss in Ideal Velocity due to drag forces. Typical Values are between 5 and 10%. 
See bottom of page 108 for more details.</t>
        </r>
      </text>
    </comment>
    <comment ref="H22" authorId="0" shapeId="0" xr:uid="{00000000-0006-0000-0000-000027000000}">
      <text>
        <r>
          <rPr>
            <b/>
            <sz val="9"/>
            <color indexed="81"/>
            <rFont val="Tahoma"/>
            <family val="2"/>
          </rPr>
          <t>Graham.Sortino:</t>
        </r>
        <r>
          <rPr>
            <sz val="9"/>
            <color indexed="81"/>
            <rFont val="Tahoma"/>
            <family val="2"/>
          </rPr>
          <t xml:space="preserve">
look this up in material data sheets. Thermal conductivity is dependent on temperature so keep that in mind when researching this value.</t>
        </r>
      </text>
    </comment>
    <comment ref="I22" authorId="2" shapeId="0" xr:uid="{00000000-0006-0000-0000-000028000000}">
      <text>
        <r>
          <rPr>
            <b/>
            <sz val="9"/>
            <color indexed="81"/>
            <rFont val="Tahoma"/>
            <family val="2"/>
          </rPr>
          <t>asd2323r:</t>
        </r>
        <r>
          <rPr>
            <sz val="9"/>
            <color indexed="81"/>
            <rFont val="Tahoma"/>
            <family val="2"/>
          </rPr>
          <t xml:space="preserve">
this conversion is mashed up from taking the 1 W/m/k = 0.001925964 BTU (IT) in/sec/ft^2/oF found here: http://www.unitconversion.org/unit_converter/thermal-conductivity.html and dividing by 144 to convert from square feet to square inches.</t>
        </r>
      </text>
    </comment>
    <comment ref="B23" authorId="0" shapeId="0" xr:uid="{00000000-0006-0000-0000-000029000000}">
      <text>
        <r>
          <rPr>
            <b/>
            <sz val="8"/>
            <color rgb="FF000000"/>
            <rFont val="Tahoma"/>
            <family val="2"/>
          </rPr>
          <t>Graham.Sortino:</t>
        </r>
        <r>
          <rPr>
            <sz val="8"/>
            <color rgb="FF000000"/>
            <rFont val="Tahoma"/>
            <family val="2"/>
          </rPr>
          <t xml:space="preserve">
</t>
        </r>
        <r>
          <rPr>
            <sz val="8"/>
            <color rgb="FF000000"/>
            <rFont val="Tahoma"/>
            <family val="2"/>
          </rPr>
          <t>calculated from 3-16</t>
        </r>
      </text>
    </comment>
    <comment ref="B24" authorId="0" shapeId="0" xr:uid="{00000000-0006-0000-0000-00002A000000}">
      <text>
        <r>
          <rPr>
            <b/>
            <sz val="9"/>
            <color rgb="FF000000"/>
            <rFont val="Tahoma"/>
            <family val="2"/>
          </rPr>
          <t>Graham.Sortino:</t>
        </r>
        <r>
          <rPr>
            <sz val="9"/>
            <color rgb="FF000000"/>
            <rFont val="Tahoma"/>
            <family val="2"/>
          </rPr>
          <t xml:space="preserve">
</t>
        </r>
        <r>
          <rPr>
            <sz val="9"/>
            <color rgb="FF000000"/>
            <rFont val="Tahoma"/>
            <family val="2"/>
          </rPr>
          <t>Determined from 3-32 (Sutton) p68. Actual Equation (left most equation)</t>
        </r>
      </text>
    </comment>
    <comment ref="B25" authorId="0" shapeId="0" xr:uid="{00000000-0006-0000-0000-00002B000000}">
      <text>
        <r>
          <rPr>
            <b/>
            <sz val="9"/>
            <color rgb="FF000000"/>
            <rFont val="Tahoma"/>
            <family val="2"/>
          </rPr>
          <t>Graham.Sortino:</t>
        </r>
        <r>
          <rPr>
            <sz val="9"/>
            <color rgb="FF000000"/>
            <rFont val="Tahoma"/>
            <family val="2"/>
          </rPr>
          <t xml:space="preserve">
</t>
        </r>
        <r>
          <rPr>
            <sz val="9"/>
            <color rgb="FF000000"/>
            <rFont val="Tahoma"/>
            <family val="2"/>
          </rPr>
          <t>Determined from 3-32 (Sutton) p68. Actual Equation (right most equation).</t>
        </r>
      </text>
    </comment>
    <comment ref="E25" authorId="0" shapeId="0" xr:uid="{00000000-0006-0000-0000-00002C000000}">
      <text>
        <r>
          <rPr>
            <b/>
            <sz val="8"/>
            <color rgb="FF000000"/>
            <rFont val="Tahoma"/>
            <family val="2"/>
          </rPr>
          <t>Graham.Sortino:</t>
        </r>
        <r>
          <rPr>
            <sz val="8"/>
            <color rgb="FF000000"/>
            <rFont val="Tahoma"/>
            <family val="2"/>
          </rPr>
          <t xml:space="preserve">
</t>
        </r>
        <r>
          <rPr>
            <sz val="8"/>
            <color rgb="FF000000"/>
            <rFont val="Tahoma"/>
            <family val="2"/>
          </rPr>
          <t xml:space="preserve">&lt;--- Represents the amount of propellent used per second
</t>
        </r>
        <r>
          <rPr>
            <sz val="8"/>
            <color rgb="FF000000"/>
            <rFont val="Tahoma"/>
            <family val="2"/>
          </rPr>
          <t xml:space="preserve">
</t>
        </r>
        <r>
          <rPr>
            <sz val="8"/>
            <color rgb="FF000000"/>
            <rFont val="Tahoma"/>
            <family val="2"/>
          </rPr>
          <t xml:space="preserve">
</t>
        </r>
        <r>
          <rPr>
            <sz val="8"/>
            <color rgb="FF000000"/>
            <rFont val="Tahoma"/>
            <family val="2"/>
          </rPr>
          <t>Mass flow rate may be very simply calculated by taking the usable propellant mass and dividing it by the burn time. This of course assumes equal burn.</t>
        </r>
      </text>
    </comment>
    <comment ref="H25" authorId="0" shapeId="0" xr:uid="{00000000-0006-0000-0000-00002D000000}">
      <text>
        <r>
          <rPr>
            <b/>
            <sz val="9"/>
            <color indexed="81"/>
            <rFont val="Tahoma"/>
            <family val="2"/>
          </rPr>
          <t>Graham.Sortino:</t>
        </r>
        <r>
          <rPr>
            <sz val="9"/>
            <color indexed="81"/>
            <rFont val="Tahoma"/>
            <family val="2"/>
          </rPr>
          <t xml:space="preserve">
calculatedv via 3-11 (Sutton) p51. Throat will always be 1 and I'm not sure how to calculate chamber because I don't know how to obtain chamber velocity.</t>
        </r>
      </text>
    </comment>
    <comment ref="I25" authorId="0" shapeId="0" xr:uid="{00000000-0006-0000-0000-00002E000000}">
      <text>
        <r>
          <rPr>
            <b/>
            <sz val="9"/>
            <color indexed="81"/>
            <rFont val="Tahoma"/>
            <family val="2"/>
          </rPr>
          <t>Graham.Sortino:</t>
        </r>
        <r>
          <rPr>
            <sz val="9"/>
            <color indexed="81"/>
            <rFont val="Tahoma"/>
            <family val="2"/>
          </rPr>
          <t xml:space="preserve">
guess for now?</t>
        </r>
      </text>
    </comment>
    <comment ref="E26" authorId="0" shapeId="0" xr:uid="{00000000-0006-0000-0000-00002F000000}">
      <text>
        <r>
          <rPr>
            <b/>
            <sz val="8"/>
            <color indexed="81"/>
            <rFont val="Tahoma"/>
            <family val="2"/>
          </rPr>
          <t>Graham.Sortino:</t>
        </r>
        <r>
          <rPr>
            <sz val="8"/>
            <color indexed="81"/>
            <rFont val="Tahoma"/>
            <family val="2"/>
          </rPr>
          <t xml:space="preserve">
&lt;--- Represents the amount of propellent used per second
Mass flow rate may be very simply calculated by taking the usable propellant mass and dividing it by the burn time. This of course assumes equal burn.</t>
        </r>
      </text>
    </comment>
    <comment ref="H26" authorId="0" shapeId="0" xr:uid="{00000000-0006-0000-0000-000030000000}">
      <text>
        <r>
          <rPr>
            <b/>
            <sz val="9"/>
            <color indexed="81"/>
            <rFont val="Tahoma"/>
            <family val="2"/>
          </rPr>
          <t>Graham.Sortino:</t>
        </r>
        <r>
          <rPr>
            <sz val="9"/>
            <color indexed="81"/>
            <rFont val="Tahoma"/>
            <family val="2"/>
          </rPr>
          <t xml:space="preserve">
Calculated from 4-14 Huzel p86</t>
        </r>
      </text>
    </comment>
    <comment ref="E27" authorId="0" shapeId="0" xr:uid="{00000000-0006-0000-0000-000031000000}">
      <text>
        <r>
          <rPr>
            <b/>
            <sz val="9"/>
            <color indexed="81"/>
            <rFont val="Tahoma"/>
            <family val="2"/>
          </rPr>
          <t>Graham.Sortino:</t>
        </r>
        <r>
          <rPr>
            <sz val="9"/>
            <color indexed="81"/>
            <rFont val="Tahoma"/>
            <family val="2"/>
          </rPr>
          <t xml:space="preserve">
This field is special. Either enter the known value (typlically for liquids) or paste in the below equation:
pressure/(compressability-factor*(gas-constant/molecular-mass)*temp)
=(F38*6894.75729)/(F36*((8314.4621)/F43)*F45)
to calculate values: http://yeroc.us/calculators/gas-density.php</t>
        </r>
      </text>
    </comment>
    <comment ref="H27" authorId="0" shapeId="0" xr:uid="{00000000-0006-0000-0000-000032000000}">
      <text>
        <r>
          <rPr>
            <b/>
            <sz val="9"/>
            <color indexed="81"/>
            <rFont val="Tahoma"/>
            <family val="2"/>
          </rPr>
          <t>Graham.Sortino:</t>
        </r>
        <r>
          <rPr>
            <sz val="9"/>
            <color indexed="81"/>
            <rFont val="Tahoma"/>
            <family val="2"/>
          </rPr>
          <t xml:space="preserve">
solved via 4-13 Huzel  p86. Does not include a correction factor for thermal deposits</t>
        </r>
      </text>
    </comment>
    <comment ref="E28" authorId="0" shapeId="0" xr:uid="{00000000-0006-0000-0000-000033000000}">
      <text>
        <r>
          <rPr>
            <b/>
            <sz val="9"/>
            <color rgb="FF000000"/>
            <rFont val="Tahoma"/>
            <family val="2"/>
          </rPr>
          <t>Graham.Sortino:</t>
        </r>
        <r>
          <rPr>
            <sz val="9"/>
            <color rgb="FF000000"/>
            <rFont val="Tahoma"/>
            <family val="2"/>
          </rPr>
          <t xml:space="preserve">
</t>
        </r>
        <r>
          <rPr>
            <sz val="9"/>
            <color rgb="FF000000"/>
            <rFont val="Tahoma"/>
            <family val="2"/>
          </rPr>
          <t xml:space="preserve">This field is special. Either enter the known value (typlically for liquids) or paste in the below equation:
</t>
        </r>
        <r>
          <rPr>
            <sz val="9"/>
            <color rgb="FF000000"/>
            <rFont val="Tahoma"/>
            <family val="2"/>
          </rPr>
          <t xml:space="preserve">
</t>
        </r>
        <r>
          <rPr>
            <sz val="9"/>
            <color rgb="FF000000"/>
            <rFont val="Tahoma"/>
            <family val="2"/>
          </rPr>
          <t xml:space="preserve">pressure/(compressability-factor*(gas-constant/molecular-mass)*temp)
</t>
        </r>
        <r>
          <rPr>
            <sz val="9"/>
            <color rgb="FF000000"/>
            <rFont val="Tahoma"/>
            <family val="2"/>
          </rPr>
          <t xml:space="preserve">
</t>
        </r>
        <r>
          <rPr>
            <sz val="9"/>
            <color rgb="FF000000"/>
            <rFont val="Tahoma"/>
            <family val="2"/>
          </rPr>
          <t xml:space="preserve">=(F38*6894.75729)/(F36*((8314.4621)/F43)*F45)
</t>
        </r>
        <r>
          <rPr>
            <sz val="9"/>
            <color rgb="FF000000"/>
            <rFont val="Tahoma"/>
            <family val="2"/>
          </rPr>
          <t xml:space="preserve">
</t>
        </r>
        <r>
          <rPr>
            <sz val="9"/>
            <color rgb="FF000000"/>
            <rFont val="Tahoma"/>
            <family val="2"/>
          </rPr>
          <t>to calculate values: http://yeroc.us/calculators/gas-density.php</t>
        </r>
      </text>
    </comment>
    <comment ref="H28" authorId="2" shapeId="0" xr:uid="{00000000-0006-0000-0000-000034000000}">
      <text>
        <r>
          <rPr>
            <b/>
            <sz val="9"/>
            <color indexed="81"/>
            <rFont val="Tahoma"/>
            <family val="2"/>
          </rPr>
          <t>asd2323r:</t>
        </r>
        <r>
          <rPr>
            <sz val="9"/>
            <color indexed="81"/>
            <rFont val="Tahoma"/>
            <family val="2"/>
          </rPr>
          <t xml:space="preserve">
for some reason in the metric equicalent of this function the gravity constant is removed according to; http://www.propulsion-analysis.com/downloads/2/docs/RPA_ThermalAnalysis.pdf Bartz Method (p7)</t>
        </r>
      </text>
    </comment>
    <comment ref="L28" authorId="2" shapeId="0" xr:uid="{00000000-0006-0000-0000-000035000000}">
      <text>
        <r>
          <rPr>
            <b/>
            <sz val="9"/>
            <color indexed="81"/>
            <rFont val="Tahoma"/>
            <family val="2"/>
          </rPr>
          <t>asd2323r:</t>
        </r>
        <r>
          <rPr>
            <sz val="9"/>
            <color indexed="81"/>
            <rFont val="Tahoma"/>
            <family val="2"/>
          </rPr>
          <t xml:space="preserve">
The converstion seems to be: *144*60*60*3.1525/1000 and the conversion between Btu/ft^2 h to W/m^2 = 3.1525</t>
        </r>
      </text>
    </comment>
    <comment ref="B29" authorId="0" shapeId="0" xr:uid="{00000000-0006-0000-0000-000036000000}">
      <text>
        <r>
          <rPr>
            <b/>
            <sz val="9"/>
            <color rgb="FF000000"/>
            <rFont val="Tahoma"/>
            <family val="2"/>
          </rPr>
          <t>Graham.Sortino:</t>
        </r>
        <r>
          <rPr>
            <sz val="9"/>
            <color rgb="FF000000"/>
            <rFont val="Tahoma"/>
            <family val="2"/>
          </rPr>
          <t xml:space="preserve">
</t>
        </r>
        <r>
          <rPr>
            <sz val="9"/>
            <color rgb="FF000000"/>
            <rFont val="Tahoma"/>
            <family val="2"/>
          </rPr>
          <t>From Equation 3-30</t>
        </r>
      </text>
    </comment>
    <comment ref="H29" authorId="0" shapeId="0" xr:uid="{00000000-0006-0000-0000-000037000000}">
      <text>
        <r>
          <rPr>
            <b/>
            <sz val="9"/>
            <color indexed="81"/>
            <rFont val="Tahoma"/>
            <family val="2"/>
          </rPr>
          <t>Graham.Sortino:</t>
        </r>
        <r>
          <rPr>
            <sz val="9"/>
            <color indexed="81"/>
            <rFont val="Tahoma"/>
            <family val="2"/>
          </rPr>
          <t xml:space="preserve">
Throat value Calculated from Formula 4-10-a (Huzel) p85.
Chamber and Exit Values taken from © Robert Watzlavick (rocket@watzlavick.com) Rocket Design Spreadsheet.
</t>
        </r>
      </text>
    </comment>
    <comment ref="B30" authorId="1" shapeId="0" xr:uid="{00000000-0006-0000-0000-000038000000}">
      <text>
        <r>
          <rPr>
            <b/>
            <sz val="8"/>
            <color rgb="FF000000"/>
            <rFont val="Tahoma"/>
            <family val="2"/>
          </rPr>
          <t>Graham:</t>
        </r>
        <r>
          <rPr>
            <sz val="8"/>
            <color rgb="FF000000"/>
            <rFont val="Tahoma"/>
            <family val="2"/>
          </rPr>
          <t xml:space="preserve">
</t>
        </r>
        <r>
          <rPr>
            <sz val="8"/>
            <color rgb="FF000000"/>
            <rFont val="Tahoma"/>
            <family val="2"/>
          </rPr>
          <t xml:space="preserve">see table 3-2 (p75). This should be 4 to prevent losses.
</t>
        </r>
        <r>
          <rPr>
            <sz val="8"/>
            <color rgb="FF000000"/>
            <rFont val="Tahoma"/>
            <family val="2"/>
          </rPr>
          <t xml:space="preserve">
</t>
        </r>
        <r>
          <rPr>
            <sz val="8"/>
            <color rgb="FF000000"/>
            <rFont val="Tahoma"/>
            <family val="2"/>
          </rPr>
          <t>Additional info in formula 8-8 (p286)</t>
        </r>
      </text>
    </comment>
    <comment ref="H30" authorId="0" shapeId="0" xr:uid="{00000000-0006-0000-0000-000039000000}">
      <text>
        <r>
          <rPr>
            <b/>
            <sz val="9"/>
            <color indexed="81"/>
            <rFont val="Tahoma"/>
            <family val="2"/>
          </rPr>
          <t>Graham.Sortino:</t>
        </r>
        <r>
          <rPr>
            <sz val="9"/>
            <color indexed="81"/>
            <rFont val="Tahoma"/>
            <family val="2"/>
          </rPr>
          <t xml:space="preserve">
Throat value Calculated from Formula 4-10-a (Huzel) p85.
Chamber and Exit Values taken from © Robert Watzlavick (rocket@watzlavick.com) Rocket Design Spreadsheet.
</t>
        </r>
      </text>
    </comment>
    <comment ref="B31" authorId="0" shapeId="0" xr:uid="{00000000-0006-0000-0000-00003A000000}">
      <text>
        <r>
          <rPr>
            <b/>
            <sz val="8"/>
            <color rgb="FF000000"/>
            <rFont val="Tahoma"/>
            <family val="2"/>
          </rPr>
          <t>Graham.Sortino:</t>
        </r>
        <r>
          <rPr>
            <sz val="8"/>
            <color rgb="FF000000"/>
            <rFont val="Tahoma"/>
            <family val="2"/>
          </rPr>
          <t xml:space="preserve">
</t>
        </r>
        <r>
          <rPr>
            <sz val="8"/>
            <color rgb="FF000000"/>
            <rFont val="Tahoma"/>
            <family val="2"/>
          </rPr>
          <t>Calculated from Chamber Contraction Ration and Throat Area</t>
        </r>
      </text>
    </comment>
    <comment ref="H31" authorId="0" shapeId="0" xr:uid="{00000000-0006-0000-0000-00003B000000}">
      <text>
        <r>
          <rPr>
            <b/>
            <sz val="9"/>
            <color indexed="81"/>
            <rFont val="Tahoma"/>
            <family val="2"/>
          </rPr>
          <t>Graham.Sortino:</t>
        </r>
        <r>
          <rPr>
            <sz val="9"/>
            <color indexed="81"/>
            <rFont val="Tahoma"/>
            <family val="2"/>
          </rPr>
          <t xml:space="preserve">
equation 4-10 (Huzel) p85
</t>
        </r>
      </text>
    </comment>
    <comment ref="L32" authorId="2" shapeId="0" xr:uid="{00000000-0006-0000-0000-00003C000000}">
      <text>
        <r>
          <rPr>
            <b/>
            <sz val="9"/>
            <color indexed="81"/>
            <rFont val="Tahoma"/>
            <family val="2"/>
          </rPr>
          <t>asd2323r:</t>
        </r>
        <r>
          <rPr>
            <sz val="9"/>
            <color indexed="81"/>
            <rFont val="Tahoma"/>
            <family val="2"/>
          </rPr>
          <t xml:space="preserve">
I am very much un-clear on this conversion factor so be careful when using these SI values.</t>
        </r>
      </text>
    </comment>
    <comment ref="E33" authorId="0" shapeId="0" xr:uid="{00000000-0006-0000-0000-00003D000000}">
      <text>
        <r>
          <rPr>
            <b/>
            <sz val="8"/>
            <color rgb="FF000000"/>
            <rFont val="Tahoma"/>
            <family val="2"/>
          </rPr>
          <t>Graham.Sortino:</t>
        </r>
        <r>
          <rPr>
            <sz val="8"/>
            <color rgb="FF000000"/>
            <rFont val="Tahoma"/>
            <family val="2"/>
          </rPr>
          <t xml:space="preserve">
</t>
        </r>
        <r>
          <rPr>
            <sz val="8"/>
            <color rgb="FF000000"/>
            <rFont val="Tahoma"/>
            <family val="2"/>
          </rPr>
          <t xml:space="preserve">**ONLY FILL THIS OUT IF FUEL IS GASEOUS. OTHERWISE LEAVE BLANK** 
</t>
        </r>
        <r>
          <rPr>
            <sz val="8"/>
            <color rgb="FF000000"/>
            <rFont val="Tahoma"/>
            <family val="2"/>
          </rPr>
          <t xml:space="preserve">
</t>
        </r>
        <r>
          <rPr>
            <sz val="8"/>
            <color rgb="FF000000"/>
            <rFont val="Tahoma"/>
            <family val="2"/>
          </rPr>
          <t xml:space="preserve">see page 184 (table 5-5) for a list of specific heats for various propellants.
</t>
        </r>
        <r>
          <rPr>
            <sz val="8"/>
            <color rgb="FF000000"/>
            <rFont val="Tahoma"/>
            <family val="2"/>
          </rPr>
          <t xml:space="preserve">N.B.  1.24 is typically used for O2/RP-1
</t>
        </r>
        <r>
          <rPr>
            <sz val="8"/>
            <color rgb="FF000000"/>
            <rFont val="Tahoma"/>
            <family val="2"/>
          </rPr>
          <t xml:space="preserve">
</t>
        </r>
        <r>
          <rPr>
            <sz val="8"/>
            <color rgb="FF000000"/>
            <rFont val="Tahoma"/>
            <family val="2"/>
          </rPr>
          <t xml:space="preserve">Specific Heat Ratio k = Specific Heat at Constat Pressure / Specific Heat at Constant Volume
</t>
        </r>
        <r>
          <rPr>
            <sz val="8"/>
            <color rgb="FF000000"/>
            <rFont val="Tahoma"/>
            <family val="2"/>
          </rPr>
          <t xml:space="preserve">
</t>
        </r>
        <r>
          <rPr>
            <sz val="8"/>
            <color rgb="FF000000"/>
            <rFont val="Tahoma"/>
            <family val="2"/>
          </rPr>
          <t>see equation (3-5a) page 50.</t>
        </r>
      </text>
    </comment>
    <comment ref="H33" authorId="0" shapeId="0" xr:uid="{00000000-0006-0000-0000-00003E000000}">
      <text>
        <r>
          <rPr>
            <b/>
            <sz val="9"/>
            <color indexed="81"/>
            <rFont val="Tahoma"/>
            <family val="2"/>
          </rPr>
          <t>Graham.Sortino:</t>
        </r>
        <r>
          <rPr>
            <sz val="9"/>
            <color indexed="81"/>
            <rFont val="Tahoma"/>
            <family val="2"/>
          </rPr>
          <t xml:space="preserve">
Reballancing right side of 4-19 (Huzel) p89 to solve for Twc</t>
        </r>
      </text>
    </comment>
    <comment ref="E34" authorId="0" shapeId="0" xr:uid="{00000000-0006-0000-0000-00003F000000}">
      <text>
        <r>
          <rPr>
            <b/>
            <sz val="8"/>
            <color indexed="81"/>
            <rFont val="Tahoma"/>
            <family val="2"/>
          </rPr>
          <t>Graham.Sortino:</t>
        </r>
        <r>
          <rPr>
            <sz val="8"/>
            <color indexed="81"/>
            <rFont val="Tahoma"/>
            <family val="2"/>
          </rPr>
          <t xml:space="preserve">
**ONLY FILL THIS OUT IF OXIDIZER IS GASEOUS. OTHERWISE LEAVE BLANK** 
see page 184 (table 5-5) for a list of specific heats for various propellants.
N.B.  1.24 is typically used for O2/RP-1
Specific Heat Ratio k = Specific Heat at Constat Pressure / Specific Heat at Constant Volume
see equation (3-5a) page 50.</t>
        </r>
      </text>
    </comment>
    <comment ref="B35" authorId="0" shapeId="0" xr:uid="{00000000-0006-0000-0000-000040000000}">
      <text>
        <r>
          <rPr>
            <b/>
            <sz val="9"/>
            <color rgb="FF000000"/>
            <rFont val="Tahoma"/>
            <family val="2"/>
          </rPr>
          <t>Graham.Sortino:</t>
        </r>
        <r>
          <rPr>
            <sz val="9"/>
            <color rgb="FF000000"/>
            <rFont val="Tahoma"/>
            <family val="2"/>
          </rPr>
          <t xml:space="preserve">
</t>
        </r>
        <r>
          <rPr>
            <sz val="9"/>
            <color rgb="FF000000"/>
            <rFont val="Tahoma"/>
            <family val="2"/>
          </rPr>
          <t xml:space="preserve">this value is user defined (for now at least). It's not terribly important but it should be long enough to ensure full mixing of propellants. A longer chamber spreads heat more evenly across walls but also adds to weight.
</t>
        </r>
        <r>
          <rPr>
            <sz val="9"/>
            <color rgb="FF000000"/>
            <rFont val="Tahoma"/>
            <family val="2"/>
          </rPr>
          <t>See section 8.2 for more details (p285)</t>
        </r>
      </text>
    </comment>
    <comment ref="E35" authorId="0" shapeId="0" xr:uid="{00000000-0006-0000-0000-000041000000}">
      <text>
        <r>
          <rPr>
            <b/>
            <sz val="9"/>
            <color indexed="81"/>
            <rFont val="Tahoma"/>
            <family val="2"/>
          </rPr>
          <t>Graham.Sortino:</t>
        </r>
        <r>
          <rPr>
            <sz val="9"/>
            <color indexed="81"/>
            <rFont val="Tahoma"/>
            <family val="2"/>
          </rPr>
          <t xml:space="preserve">
*ONLY FILL THIS OUT IF FUEL IS GASSEOUS. OTHERWISE LEAVE BLANK*
The compressibility factor (Z), also known as the compression factor, is a useful thermodynamic property for modifying the ideal gas law to account for the real gas behavior.
For empirical values for air see: http://en.wikipedia.org/wiki/Compressibility_factor#Compressibility_of_air
For a complex calculator see: http://www.ceb.cam.ac.uk/thermo/pure.html</t>
        </r>
      </text>
    </comment>
    <comment ref="E36" authorId="0" shapeId="0" xr:uid="{00000000-0006-0000-0000-000042000000}">
      <text>
        <r>
          <rPr>
            <b/>
            <sz val="9"/>
            <color rgb="FF000000"/>
            <rFont val="Tahoma"/>
            <family val="2"/>
          </rPr>
          <t>Graham.Sortino:</t>
        </r>
        <r>
          <rPr>
            <sz val="9"/>
            <color rgb="FF000000"/>
            <rFont val="Tahoma"/>
            <family val="2"/>
          </rPr>
          <t xml:space="preserve">
</t>
        </r>
        <r>
          <rPr>
            <sz val="9"/>
            <color rgb="FF000000"/>
            <rFont val="Tahoma"/>
            <family val="2"/>
          </rPr>
          <t xml:space="preserve">*ONLY FILL THIS OUT IF OXIDIZER IS GASSEOUS. OTHERWISE LEAVE BLANK*
</t>
        </r>
        <r>
          <rPr>
            <sz val="9"/>
            <color rgb="FF000000"/>
            <rFont val="Tahoma"/>
            <family val="2"/>
          </rPr>
          <t xml:space="preserve">
</t>
        </r>
        <r>
          <rPr>
            <sz val="9"/>
            <color rgb="FF000000"/>
            <rFont val="Tahoma"/>
            <family val="2"/>
          </rPr>
          <t xml:space="preserve">
</t>
        </r>
        <r>
          <rPr>
            <sz val="9"/>
            <color rgb="FF000000"/>
            <rFont val="Tahoma"/>
            <family val="2"/>
          </rPr>
          <t xml:space="preserve">The compressibility factor (Z), also known as the compression factor, is a useful thermodynamic property for modifying the ideal gas law to account for the real gas behavior.
</t>
        </r>
        <r>
          <rPr>
            <sz val="9"/>
            <color rgb="FF000000"/>
            <rFont val="Tahoma"/>
            <family val="2"/>
          </rPr>
          <t xml:space="preserve">
</t>
        </r>
        <r>
          <rPr>
            <sz val="9"/>
            <color rgb="FF000000"/>
            <rFont val="Tahoma"/>
            <family val="2"/>
          </rPr>
          <t xml:space="preserve">For empirical values for air see: http://en.wikipedia.org/wiki/Compressibility_factor#Compressibility_of_air
</t>
        </r>
        <r>
          <rPr>
            <sz val="9"/>
            <color rgb="FF000000"/>
            <rFont val="Tahoma"/>
            <family val="2"/>
          </rPr>
          <t xml:space="preserve">
</t>
        </r>
        <r>
          <rPr>
            <sz val="9"/>
            <color rgb="FF000000"/>
            <rFont val="Tahoma"/>
            <family val="2"/>
          </rPr>
          <t>For a complex calculator see: http://www.ceb.cam.ac.uk/thermo/pure.html</t>
        </r>
      </text>
    </comment>
    <comment ref="B37" authorId="1" shapeId="0" xr:uid="{00000000-0006-0000-0000-000043000000}">
      <text>
        <r>
          <rPr>
            <b/>
            <sz val="8"/>
            <color rgb="FF000000"/>
            <rFont val="Tahoma"/>
            <family val="2"/>
          </rPr>
          <t>Graham:</t>
        </r>
        <r>
          <rPr>
            <sz val="8"/>
            <color rgb="FF000000"/>
            <rFont val="Tahoma"/>
            <family val="2"/>
          </rPr>
          <t xml:space="preserve">
</t>
        </r>
        <r>
          <rPr>
            <sz val="8"/>
            <color rgb="FF000000"/>
            <rFont val="Tahoma"/>
            <family val="2"/>
          </rPr>
          <t xml:space="preserve">simmilar to the diverging angle this is used to calculate the conical fostrum length of the divergent section. I haven't found much data indicating this is an important parameter so I've left it the same as the divergent angle.
</t>
        </r>
        <r>
          <rPr>
            <sz val="8"/>
            <color rgb="FF000000"/>
            <rFont val="Tahoma"/>
            <family val="2"/>
          </rPr>
          <t xml:space="preserve">
</t>
        </r>
        <r>
          <rPr>
            <sz val="8"/>
            <color rgb="FF000000"/>
            <rFont val="Tahoma"/>
            <family val="2"/>
          </rPr>
          <t>See top of p286 for a further discussion</t>
        </r>
      </text>
    </comment>
    <comment ref="H37" authorId="2" shapeId="0" xr:uid="{00000000-0006-0000-0000-000044000000}">
      <text>
        <r>
          <rPr>
            <b/>
            <sz val="9"/>
            <color indexed="81"/>
            <rFont val="Tahoma"/>
            <family val="2"/>
          </rPr>
          <t>asd2323r:</t>
        </r>
        <r>
          <rPr>
            <sz val="9"/>
            <color indexed="81"/>
            <rFont val="Tahoma"/>
            <family val="2"/>
          </rPr>
          <t xml:space="preserve">
Matt aproximation taken from © Robert Watzlavick (rocket@watzlavick.com) computation spreadsheet.</t>
        </r>
      </text>
    </comment>
    <comment ref="B38" authorId="0" shapeId="0" xr:uid="{00000000-0006-0000-0000-000045000000}">
      <text>
        <r>
          <rPr>
            <b/>
            <sz val="9"/>
            <color rgb="FF000000"/>
            <rFont val="Tahoma"/>
            <family val="2"/>
          </rPr>
          <t>Graham.Sortino:</t>
        </r>
        <r>
          <rPr>
            <sz val="9"/>
            <color rgb="FF000000"/>
            <rFont val="Tahoma"/>
            <family val="2"/>
          </rPr>
          <t xml:space="preserve">
</t>
        </r>
        <r>
          <rPr>
            <sz val="9"/>
            <color rgb="FF000000"/>
            <rFont val="Tahoma"/>
            <family val="2"/>
          </rPr>
          <t xml:space="preserve">equation 8-8 p286
</t>
        </r>
      </text>
    </comment>
    <comment ref="H39" authorId="0" shapeId="0" xr:uid="{00000000-0006-0000-0000-000046000000}">
      <text>
        <r>
          <rPr>
            <b/>
            <sz val="9"/>
            <color indexed="81"/>
            <rFont val="Tahoma"/>
            <family val="2"/>
          </rPr>
          <t>Graham.Sortino:</t>
        </r>
        <r>
          <rPr>
            <sz val="9"/>
            <color indexed="81"/>
            <rFont val="Tahoma"/>
            <family val="2"/>
          </rPr>
          <t xml:space="preserve">
taken from sample calc 4-4 (b) Huzel p94. I still don't fully understand how this calculation derives it's result so I may need to play with it a bit more. Especially where does that .8 come from???
Obviously this number will need to be rounded to a whole number and it will depend significantly on the manufacturing process.</t>
        </r>
      </text>
    </comment>
    <comment ref="B40" authorId="0" shapeId="0" xr:uid="{00000000-0006-0000-0000-000047000000}">
      <text>
        <r>
          <rPr>
            <b/>
            <sz val="9"/>
            <color rgb="FF000000"/>
            <rFont val="Tahoma"/>
            <family val="2"/>
          </rPr>
          <t>Graham.Sortino:</t>
        </r>
        <r>
          <rPr>
            <sz val="9"/>
            <color rgb="FF000000"/>
            <rFont val="Tahoma"/>
            <family val="2"/>
          </rPr>
          <t xml:space="preserve">
</t>
        </r>
        <r>
          <rPr>
            <sz val="9"/>
            <color rgb="FF000000"/>
            <rFont val="Tahoma"/>
            <family val="2"/>
          </rPr>
          <t>calculated from nozzle length and convergence half angle using basic trig: cos(alpha) = Adj / Hyp</t>
        </r>
      </text>
    </comment>
    <comment ref="H40" authorId="0" shapeId="0" xr:uid="{00000000-0006-0000-0000-000048000000}">
      <text>
        <r>
          <rPr>
            <b/>
            <sz val="9"/>
            <color indexed="81"/>
            <rFont val="Tahoma"/>
            <family val="2"/>
          </rPr>
          <t>Graham.Sortino:</t>
        </r>
        <r>
          <rPr>
            <sz val="9"/>
            <color indexed="81"/>
            <rFont val="Tahoma"/>
            <family val="2"/>
          </rPr>
          <t xml:space="preserve">
selected based on temperature of coolent when entering coolent jacket for first pass. 520 R is aproximately 60 F.</t>
        </r>
      </text>
    </comment>
    <comment ref="H41" authorId="0" shapeId="0" xr:uid="{00000000-0006-0000-0000-000049000000}">
      <text>
        <r>
          <rPr>
            <b/>
            <sz val="9"/>
            <color indexed="81"/>
            <rFont val="Tahoma"/>
            <family val="2"/>
          </rPr>
          <t>Graham.Sortino:</t>
        </r>
        <r>
          <rPr>
            <sz val="9"/>
            <color indexed="81"/>
            <rFont val="Tahoma"/>
            <family val="2"/>
          </rPr>
          <t xml:space="preserve">
Critical temperature is the value for at which a fluid cannot be turned from a gas to a liquid no matter how much pressure is applied. This value is looked up in a chemical/thermodynamics database.</t>
        </r>
      </text>
    </comment>
    <comment ref="B42" authorId="0" shapeId="0" xr:uid="{00000000-0006-0000-0000-00004A000000}">
      <text>
        <r>
          <rPr>
            <b/>
            <sz val="9"/>
            <color rgb="FF000000"/>
            <rFont val="Tahoma"/>
            <family val="2"/>
          </rPr>
          <t>Graham.Sortino:</t>
        </r>
        <r>
          <rPr>
            <sz val="9"/>
            <color rgb="FF000000"/>
            <rFont val="Tahoma"/>
            <family val="2"/>
          </rPr>
          <t xml:space="preserve">
</t>
        </r>
        <r>
          <rPr>
            <sz val="9"/>
            <color rgb="FF000000"/>
            <rFont val="Tahoma"/>
            <family val="2"/>
          </rPr>
          <t xml:space="preserve">equation 8-8 p286
</t>
        </r>
        <r>
          <rPr>
            <sz val="9"/>
            <color rgb="FF000000"/>
            <rFont val="Tahoma"/>
            <family val="2"/>
          </rPr>
          <t>defined as the volume from the injector up to the throat</t>
        </r>
      </text>
    </comment>
    <comment ref="H42" authorId="0" shapeId="0" xr:uid="{00000000-0006-0000-0000-00004B000000}">
      <text>
        <r>
          <rPr>
            <b/>
            <sz val="9"/>
            <color indexed="81"/>
            <rFont val="Tahoma"/>
            <family val="2"/>
          </rPr>
          <t>Graham.Sortino:</t>
        </r>
        <r>
          <rPr>
            <sz val="9"/>
            <color indexed="81"/>
            <rFont val="Tahoma"/>
            <family val="2"/>
          </rPr>
          <t xml:space="preserve">
experimental. Based on fluid properties. This assumes the fuel is the coolent but it could be changed if needed.</t>
        </r>
      </text>
    </comment>
    <comment ref="E43" authorId="2" shapeId="0" xr:uid="{00000000-0006-0000-0000-00004C000000}">
      <text>
        <r>
          <rPr>
            <b/>
            <sz val="9"/>
            <color rgb="FF000000"/>
            <rFont val="Tahoma"/>
            <family val="2"/>
          </rPr>
          <t>asd2323r:</t>
        </r>
        <r>
          <rPr>
            <sz val="9"/>
            <color rgb="FF000000"/>
            <rFont val="Tahoma"/>
            <family val="2"/>
          </rPr>
          <t xml:space="preserve">
</t>
        </r>
        <r>
          <rPr>
            <sz val="9"/>
            <color rgb="FF000000"/>
            <rFont val="Tahoma"/>
            <family val="2"/>
          </rPr>
          <t>this is the minimum value that choked flow will occur at. Above this value flow is non-choked.</t>
        </r>
      </text>
    </comment>
    <comment ref="H43" authorId="0" shapeId="0" xr:uid="{00000000-0006-0000-0000-00004D000000}">
      <text>
        <r>
          <rPr>
            <b/>
            <sz val="9"/>
            <color indexed="81"/>
            <rFont val="Tahoma"/>
            <family val="2"/>
          </rPr>
          <t>Graham.Sortino:</t>
        </r>
        <r>
          <rPr>
            <sz val="9"/>
            <color indexed="81"/>
            <rFont val="Tahoma"/>
            <family val="2"/>
          </rPr>
          <t xml:space="preserve">
constant C1 (different values for various propellants). I need to figure out what this is and where to get these values.</t>
        </r>
      </text>
    </comment>
    <comment ref="B44" authorId="0" shapeId="0" xr:uid="{00000000-0006-0000-0000-00004E000000}">
      <text>
        <r>
          <rPr>
            <b/>
            <sz val="9"/>
            <color rgb="FF000000"/>
            <rFont val="Tahoma"/>
            <family val="2"/>
          </rPr>
          <t>Graham.Sortino:</t>
        </r>
        <r>
          <rPr>
            <sz val="9"/>
            <color rgb="FF000000"/>
            <rFont val="Tahoma"/>
            <family val="2"/>
          </rPr>
          <t xml:space="preserve">
</t>
        </r>
        <r>
          <rPr>
            <sz val="9"/>
            <color rgb="FF000000"/>
            <rFont val="Tahoma"/>
            <family val="2"/>
          </rPr>
          <t>Characteristic Length (Pronounced cee-star). Equation 8-9 on p267. Typical values are between .8 and 3.0 for many bipropellants.</t>
        </r>
      </text>
    </comment>
    <comment ref="H44" authorId="0" shapeId="0" xr:uid="{00000000-0006-0000-0000-00004F000000}">
      <text>
        <r>
          <rPr>
            <b/>
            <sz val="9"/>
            <color indexed="81"/>
            <rFont val="Tahoma"/>
            <family val="2"/>
          </rPr>
          <t>Graham.Sortino:</t>
        </r>
        <r>
          <rPr>
            <sz val="9"/>
            <color indexed="81"/>
            <rFont val="Tahoma"/>
            <family val="2"/>
          </rPr>
          <t xml:space="preserve">
this needs experimental data. </t>
        </r>
      </text>
    </comment>
    <comment ref="B45" authorId="0" shapeId="0" xr:uid="{00000000-0006-0000-0000-000050000000}">
      <text>
        <r>
          <rPr>
            <b/>
            <sz val="9"/>
            <color rgb="FF000000"/>
            <rFont val="Tahoma"/>
            <family val="2"/>
          </rPr>
          <t>Graham.Sortino:</t>
        </r>
        <r>
          <rPr>
            <sz val="9"/>
            <color rgb="FF000000"/>
            <rFont val="Tahoma"/>
            <family val="2"/>
          </rPr>
          <t xml:space="preserve">
</t>
        </r>
        <r>
          <rPr>
            <sz val="9"/>
            <color rgb="FF000000"/>
            <rFont val="Tahoma"/>
            <family val="2"/>
          </rPr>
          <t>it is loosely recommended not to choose a value below 20 inches for an igniter.</t>
        </r>
      </text>
    </comment>
    <comment ref="H45" authorId="0" shapeId="0" xr:uid="{00000000-0006-0000-0000-000051000000}">
      <text>
        <r>
          <rPr>
            <b/>
            <sz val="9"/>
            <color indexed="81"/>
            <rFont val="Tahoma"/>
            <family val="2"/>
          </rPr>
          <t>Graham.Sortino:</t>
        </r>
        <r>
          <rPr>
            <sz val="9"/>
            <color indexed="81"/>
            <rFont val="Tahoma"/>
            <family val="2"/>
          </rPr>
          <t xml:space="preserve">
this needs experimental data. </t>
        </r>
      </text>
    </comment>
    <comment ref="B46" authorId="0" shapeId="0" xr:uid="{00000000-0006-0000-0000-000052000000}">
      <text>
        <r>
          <rPr>
            <b/>
            <sz val="8"/>
            <color rgb="FF000000"/>
            <rFont val="Tahoma"/>
            <family val="2"/>
          </rPr>
          <t>Graham.Sortino:</t>
        </r>
        <r>
          <rPr>
            <sz val="8"/>
            <color rgb="FF000000"/>
            <rFont val="Tahoma"/>
            <family val="2"/>
          </rPr>
          <t xml:space="preserve">
</t>
        </r>
        <r>
          <rPr>
            <sz val="8"/>
            <color rgb="FF000000"/>
            <rFont val="Tahoma"/>
            <family val="2"/>
          </rPr>
          <t xml:space="preserve">This is equation 3-24 but solving for Throat Area instead of mass flow (see p63 for an example). In order to do this the mass flow rate must already be known, which is usually the case.
</t>
        </r>
        <r>
          <rPr>
            <sz val="8"/>
            <color rgb="FF000000"/>
            <rFont val="Tahoma"/>
            <family val="2"/>
          </rPr>
          <t xml:space="preserve">
</t>
        </r>
        <r>
          <rPr>
            <sz val="8"/>
            <color rgb="FF000000"/>
            <rFont val="Tahoma"/>
            <family val="2"/>
          </rPr>
          <t>Nozzle Throat Area is an important property because once it is known along with the nozzle area ratio the actual dimensions of the nozzle may then be calculated.</t>
        </r>
      </text>
    </comment>
    <comment ref="B47" authorId="0" shapeId="0" xr:uid="{00000000-0006-0000-0000-000053000000}">
      <text>
        <r>
          <rPr>
            <b/>
            <sz val="8"/>
            <color rgb="FF000000"/>
            <rFont val="Tahoma"/>
            <family val="2"/>
          </rPr>
          <t>Graham.Sortino:</t>
        </r>
        <r>
          <rPr>
            <sz val="8"/>
            <color rgb="FF000000"/>
            <rFont val="Tahoma"/>
            <family val="2"/>
          </rPr>
          <t xml:space="preserve">
</t>
        </r>
        <r>
          <rPr>
            <sz val="8"/>
            <color rgb="FF000000"/>
            <rFont val="Tahoma"/>
            <family val="2"/>
          </rPr>
          <t xml:space="preserve">This is equation 3-24 but solving for Throat Area instead of mass flow (see p63 for an example). In order to do this the mass flow rate must already be known, which is usually the case.
</t>
        </r>
        <r>
          <rPr>
            <sz val="8"/>
            <color rgb="FF000000"/>
            <rFont val="Tahoma"/>
            <family val="2"/>
          </rPr>
          <t xml:space="preserve">
</t>
        </r>
        <r>
          <rPr>
            <sz val="8"/>
            <color rgb="FF000000"/>
            <rFont val="Tahoma"/>
            <family val="2"/>
          </rPr>
          <t>Nozzle Throat Area is an important property because once it is known along with the nozzle area ratio the actual dimensions of the nozzle may then be calculated.</t>
        </r>
      </text>
    </comment>
    <comment ref="E47" authorId="0" shapeId="0" xr:uid="{00000000-0006-0000-0000-000054000000}">
      <text>
        <r>
          <rPr>
            <b/>
            <sz val="9"/>
            <color rgb="FF000000"/>
            <rFont val="Tahoma"/>
            <family val="2"/>
          </rPr>
          <t>Graham.Sortino:</t>
        </r>
        <r>
          <rPr>
            <sz val="9"/>
            <color rgb="FF000000"/>
            <rFont val="Tahoma"/>
            <family val="2"/>
          </rPr>
          <t xml:space="preserve">
</t>
        </r>
        <r>
          <rPr>
            <sz val="9"/>
            <color rgb="FF000000"/>
            <rFont val="Tahoma"/>
            <family val="2"/>
          </rPr>
          <t>This is a measure of the loss in flow efficiency due to an imperfect design. 1 would be perfect. Note it is possible to calculate this as a function of the reynolds number, however, for rough approximations, the flow coefficient may be assumed to be between 0.60 and 0.75. For a first approximation, a flow coefficient of 0.62 can be used as this approximates to fully developed flow.</t>
        </r>
      </text>
    </comment>
    <comment ref="E48" authorId="0" shapeId="0" xr:uid="{00000000-0006-0000-0000-000055000000}">
      <text>
        <r>
          <rPr>
            <b/>
            <sz val="9"/>
            <color rgb="FF000000"/>
            <rFont val="Tahoma"/>
            <family val="2"/>
          </rPr>
          <t>Graham.Sortino:</t>
        </r>
        <r>
          <rPr>
            <sz val="9"/>
            <color rgb="FF000000"/>
            <rFont val="Tahoma"/>
            <family val="2"/>
          </rPr>
          <t xml:space="preserve">
</t>
        </r>
        <r>
          <rPr>
            <sz val="9"/>
            <color rgb="FF000000"/>
            <rFont val="Tahoma"/>
            <family val="2"/>
          </rPr>
          <t>This is a measure of the loss in flow efficiency due to an imperfect design. 1 would be perfect. Note it is possible to calculate this as a function of the reynolds number, however, for rough approximations, the flow coefficient may be assumed to be between 0.60 and 0.75. For a first approximation, a flow coefficient of 0.62 can be used as this approximates to fully developed flow.</t>
        </r>
      </text>
    </comment>
    <comment ref="E49" authorId="0" shapeId="0" xr:uid="{00000000-0006-0000-0000-000056000000}">
      <text>
        <r>
          <rPr>
            <b/>
            <sz val="9"/>
            <color indexed="81"/>
            <rFont val="Tahoma"/>
            <family val="2"/>
          </rPr>
          <t>Graham.Sortino:</t>
        </r>
        <r>
          <rPr>
            <sz val="9"/>
            <color indexed="81"/>
            <rFont val="Tahoma"/>
            <family val="2"/>
          </rPr>
          <t xml:space="preserve">
*ONLY FILL THIS OUT IF FUEL IS GASSEOUS. OTHERWISE LEAVE BLANK*
</t>
        </r>
      </text>
    </comment>
    <comment ref="H49" authorId="0" shapeId="0" xr:uid="{00000000-0006-0000-0000-000057000000}">
      <text>
        <r>
          <rPr>
            <b/>
            <sz val="9"/>
            <color indexed="81"/>
            <rFont val="Tahoma"/>
            <family val="2"/>
          </rPr>
          <t>Graham.Sortino:</t>
        </r>
        <r>
          <rPr>
            <sz val="9"/>
            <color indexed="81"/>
            <rFont val="Tahoma"/>
            <family val="2"/>
          </rPr>
          <t xml:space="preserve">
taken from Huzel 4-26 (p91).  The value of q should be comfortably below Qc inorder for the coolenet to successfully handle the heat flux.</t>
        </r>
      </text>
    </comment>
    <comment ref="S49" authorId="2" shapeId="0" xr:uid="{00000000-0006-0000-0000-000058000000}">
      <text>
        <r>
          <rPr>
            <b/>
            <sz val="9"/>
            <color indexed="81"/>
            <rFont val="Tahoma"/>
            <family val="2"/>
          </rPr>
          <t>asd2323r:</t>
        </r>
        <r>
          <rPr>
            <sz val="9"/>
            <color indexed="81"/>
            <rFont val="Tahoma"/>
            <family val="2"/>
          </rPr>
          <t xml:space="preserve">
this is also very important. It is a balancing of equation (d) from H&amp;H p94</t>
        </r>
      </text>
    </comment>
    <comment ref="B50" authorId="0" shapeId="0" xr:uid="{00000000-0006-0000-0000-000059000000}">
      <text>
        <r>
          <rPr>
            <b/>
            <sz val="9"/>
            <color rgb="FF000000"/>
            <rFont val="Tahoma"/>
            <family val="2"/>
          </rPr>
          <t>Graham.Sortino:</t>
        </r>
        <r>
          <rPr>
            <sz val="9"/>
            <color rgb="FF000000"/>
            <rFont val="Tahoma"/>
            <family val="2"/>
          </rPr>
          <t xml:space="preserve">
</t>
        </r>
        <r>
          <rPr>
            <sz val="9"/>
            <color rgb="FF000000"/>
            <rFont val="Tahoma"/>
            <family val="2"/>
          </rPr>
          <t>this is the length of the nozzle (ie between the convergent and divergent sections. I don't have a lot of data on this so I'm recomending for now to set it the same as Nozzle Radius</t>
        </r>
      </text>
    </comment>
    <comment ref="E50" authorId="0" shapeId="0" xr:uid="{00000000-0006-0000-0000-00005A000000}">
      <text>
        <r>
          <rPr>
            <b/>
            <sz val="9"/>
            <color indexed="81"/>
            <rFont val="Tahoma"/>
            <family val="2"/>
          </rPr>
          <t>Graham.Sortino:</t>
        </r>
        <r>
          <rPr>
            <sz val="9"/>
            <color indexed="81"/>
            <rFont val="Tahoma"/>
            <family val="2"/>
          </rPr>
          <t xml:space="preserve">
*ONLY FILL THIS OUT IF OXIDIZER IS GASSEOUS. OTHERWISE LEAVE BLANK*</t>
        </r>
      </text>
    </comment>
    <comment ref="H50" authorId="0" shapeId="0" xr:uid="{00000000-0006-0000-0000-00005B000000}">
      <text>
        <r>
          <rPr>
            <b/>
            <sz val="9"/>
            <color indexed="81"/>
            <rFont val="Tahoma"/>
            <family val="2"/>
          </rPr>
          <t>Graham.Sortino:</t>
        </r>
        <r>
          <rPr>
            <sz val="9"/>
            <color indexed="81"/>
            <rFont val="Tahoma"/>
            <family val="2"/>
          </rPr>
          <t xml:space="preserve">
taken from Huzel 4-26 (p91).  The value of q should be comfortably below Qc inorder for the coolenet to successfully handle the heat flux.</t>
        </r>
      </text>
    </comment>
    <comment ref="E51" authorId="0" shapeId="0" xr:uid="{00000000-0006-0000-0000-00005C000000}">
      <text>
        <r>
          <rPr>
            <b/>
            <sz val="9"/>
            <color indexed="81"/>
            <rFont val="Tahoma"/>
            <family val="2"/>
          </rPr>
          <t>Graham.Sortino:</t>
        </r>
        <r>
          <rPr>
            <sz val="9"/>
            <color indexed="81"/>
            <rFont val="Tahoma"/>
            <family val="2"/>
          </rPr>
          <t xml:space="preserve">
*ONLY FILL THIS OUT IF FUEL IS GASSEOUS. OTHERWISE LEAVE BLANK*
60 degrees farenheight (STP imperial units) is 288.705556 kelvin</t>
        </r>
      </text>
    </comment>
    <comment ref="H51" authorId="2" shapeId="0" xr:uid="{00000000-0006-0000-0000-00005D000000}">
      <text>
        <r>
          <rPr>
            <b/>
            <sz val="9"/>
            <color indexed="81"/>
            <rFont val="Tahoma"/>
            <family val="2"/>
          </rPr>
          <t>asd2323r:</t>
        </r>
        <r>
          <rPr>
            <sz val="9"/>
            <color indexed="81"/>
            <rFont val="Tahoma"/>
            <family val="2"/>
          </rPr>
          <t xml:space="preserve">
per tube</t>
        </r>
      </text>
    </comment>
    <comment ref="E52" authorId="0" shapeId="0" xr:uid="{00000000-0006-0000-0000-00005E000000}">
      <text>
        <r>
          <rPr>
            <b/>
            <sz val="9"/>
            <color indexed="81"/>
            <rFont val="Tahoma"/>
            <family val="2"/>
          </rPr>
          <t>Graham.Sortino:</t>
        </r>
        <r>
          <rPr>
            <sz val="9"/>
            <color indexed="81"/>
            <rFont val="Tahoma"/>
            <family val="2"/>
          </rPr>
          <t xml:space="preserve">
*ONLY FILL THIS OUT IF OXIDIZER IS GASSEOUS. OTHERWISE LEAVE BLANK*
60 degrees farenheight (STP imperial units) is 288.705556 kelvin</t>
        </r>
      </text>
    </comment>
    <comment ref="E53" authorId="2" shapeId="0" xr:uid="{00000000-0006-0000-0000-00005F000000}">
      <text>
        <r>
          <rPr>
            <b/>
            <sz val="9"/>
            <color indexed="81"/>
            <rFont val="Tahoma"/>
            <family val="2"/>
          </rPr>
          <t>asd2323r:</t>
        </r>
        <r>
          <rPr>
            <sz val="9"/>
            <color indexed="81"/>
            <rFont val="Tahoma"/>
            <family val="2"/>
          </rPr>
          <t xml:space="preserve">
3 different equations are used depending on the type of flow:
(1) incompressible
(2) compressible choked
(3) compressible non-choked</t>
        </r>
      </text>
    </comment>
    <comment ref="H53" authorId="2" shapeId="0" xr:uid="{00000000-0006-0000-0000-000060000000}">
      <text>
        <r>
          <rPr>
            <b/>
            <sz val="9"/>
            <color indexed="81"/>
            <rFont val="Tahoma"/>
            <family val="2"/>
          </rPr>
          <t>asd2323r:</t>
        </r>
        <r>
          <rPr>
            <sz val="9"/>
            <color indexed="81"/>
            <rFont val="Tahoma"/>
            <family val="2"/>
          </rPr>
          <t xml:space="preserve">
I used to use this function from H&amp;H: =((F25*2.20462)*4)/(PI()*I23*I20^2*(I26/1728))/12
but I've since replaced it with a simple flow rate / area function</t>
        </r>
      </text>
    </comment>
    <comment ref="N53" authorId="2" shapeId="0" xr:uid="{00000000-0006-0000-0000-000061000000}">
      <text>
        <r>
          <rPr>
            <b/>
            <sz val="9"/>
            <color indexed="81"/>
            <rFont val="Tahoma"/>
            <family val="2"/>
          </rPr>
          <t>asd2323r:</t>
        </r>
        <r>
          <rPr>
            <sz val="9"/>
            <color indexed="81"/>
            <rFont val="Tahoma"/>
            <family val="2"/>
          </rPr>
          <t xml:space="preserve">
this is the partial solution (d)  on p94 of H&amp;H. do Not delete.</t>
        </r>
      </text>
    </comment>
    <comment ref="H54" authorId="2" shapeId="0" xr:uid="{00000000-0006-0000-0000-000062000000}">
      <text>
        <r>
          <rPr>
            <b/>
            <sz val="9"/>
            <color indexed="81"/>
            <rFont val="Tahoma"/>
            <family val="2"/>
          </rPr>
          <t>asd2323r:</t>
        </r>
        <r>
          <rPr>
            <sz val="9"/>
            <color indexed="81"/>
            <rFont val="Tahoma"/>
            <family val="2"/>
          </rPr>
          <t xml:space="preserve">
this is simply flow-rate/area</t>
        </r>
      </text>
    </comment>
    <comment ref="H55" authorId="0" shapeId="0" xr:uid="{00000000-0006-0000-0000-000063000000}">
      <text>
        <r>
          <rPr>
            <b/>
            <sz val="9"/>
            <color indexed="81"/>
            <rFont val="Tahoma"/>
            <family val="2"/>
          </rPr>
          <t>Graham.Sortino:</t>
        </r>
        <r>
          <rPr>
            <sz val="9"/>
            <color indexed="81"/>
            <rFont val="Tahoma"/>
            <family val="2"/>
          </rPr>
          <t xml:space="preserve">
taken from Huzel 4-26 (p91).  The value of q should be comfortably below Qc inorder for the coolenet to successfully handle the heat flux.</t>
        </r>
      </text>
    </comment>
    <comment ref="B56" authorId="1" shapeId="0" xr:uid="{00000000-0006-0000-0000-000064000000}">
      <text>
        <r>
          <rPr>
            <b/>
            <sz val="8"/>
            <color rgb="FF000000"/>
            <rFont val="Tahoma"/>
            <family val="2"/>
          </rPr>
          <t>Graham:</t>
        </r>
        <r>
          <rPr>
            <sz val="8"/>
            <color rgb="FF000000"/>
            <rFont val="Tahoma"/>
            <family val="2"/>
          </rPr>
          <t xml:space="preserve">
</t>
        </r>
        <r>
          <rPr>
            <sz val="8"/>
            <color rgb="FF000000"/>
            <rFont val="Tahoma"/>
            <family val="2"/>
          </rPr>
          <t xml:space="preserve">Used to calculate the effective percentage loss in Ideal Velocity due to drag forces. Typical Values are between 5 and 10%. 
</t>
        </r>
        <r>
          <rPr>
            <sz val="8"/>
            <color rgb="FF000000"/>
            <rFont val="Tahoma"/>
            <family val="2"/>
          </rPr>
          <t xml:space="preserve">
</t>
        </r>
        <r>
          <rPr>
            <sz val="8"/>
            <color rgb="FF000000"/>
            <rFont val="Tahoma"/>
            <family val="2"/>
          </rPr>
          <t>See bottom of page 108 for more details.</t>
        </r>
      </text>
    </comment>
    <comment ref="B57" authorId="0" shapeId="0" xr:uid="{00000000-0006-0000-0000-000065000000}">
      <text>
        <r>
          <rPr>
            <b/>
            <sz val="9"/>
            <color rgb="FF000000"/>
            <rFont val="Tahoma"/>
            <family val="2"/>
          </rPr>
          <t>Graham.Sortino:</t>
        </r>
        <r>
          <rPr>
            <sz val="9"/>
            <color rgb="FF000000"/>
            <rFont val="Tahoma"/>
            <family val="2"/>
          </rPr>
          <t xml:space="preserve">
</t>
        </r>
        <r>
          <rPr>
            <sz val="9"/>
            <color rgb="FF000000"/>
            <rFont val="Tahoma"/>
            <family val="2"/>
          </rPr>
          <t xml:space="preserve">Calculated from Fig 3-14 (p80)
</t>
        </r>
        <r>
          <rPr>
            <sz val="9"/>
            <color rgb="FF000000"/>
            <rFont val="Tahoma"/>
            <family val="2"/>
          </rPr>
          <t xml:space="preserve">
</t>
        </r>
        <r>
          <rPr>
            <sz val="9"/>
            <color rgb="FF000000"/>
            <rFont val="Tahoma"/>
            <family val="2"/>
          </rPr>
          <t>Lcone = (r2 - rt) / tan(alpha)</t>
        </r>
      </text>
    </comment>
    <comment ref="E57" authorId="2" shapeId="0" xr:uid="{00000000-0006-0000-0000-000066000000}">
      <text>
        <r>
          <rPr>
            <b/>
            <sz val="9"/>
            <color rgb="FF000000"/>
            <rFont val="Tahoma"/>
            <family val="2"/>
          </rPr>
          <t>asd2323r:</t>
        </r>
        <r>
          <rPr>
            <sz val="9"/>
            <color rgb="FF000000"/>
            <rFont val="Tahoma"/>
            <family val="2"/>
          </rPr>
          <t xml:space="preserve">
</t>
        </r>
        <r>
          <rPr>
            <sz val="9"/>
            <color rgb="FF000000"/>
            <rFont val="Tahoma"/>
            <family val="2"/>
          </rPr>
          <t xml:space="preserve">3 different equations are used depending on the type of flow:
</t>
        </r>
        <r>
          <rPr>
            <sz val="9"/>
            <color rgb="FF000000"/>
            <rFont val="Tahoma"/>
            <family val="2"/>
          </rPr>
          <t xml:space="preserve">(1) incompressible
</t>
        </r>
        <r>
          <rPr>
            <sz val="9"/>
            <color rgb="FF000000"/>
            <rFont val="Tahoma"/>
            <family val="2"/>
          </rPr>
          <t xml:space="preserve">(2) compressible choked
</t>
        </r>
        <r>
          <rPr>
            <sz val="9"/>
            <color rgb="FF000000"/>
            <rFont val="Tahoma"/>
            <family val="2"/>
          </rPr>
          <t>(3) compressible non-choked</t>
        </r>
      </text>
    </comment>
    <comment ref="H57" authorId="0" shapeId="0" xr:uid="{00000000-0006-0000-0000-000067000000}">
      <text>
        <r>
          <rPr>
            <b/>
            <sz val="9"/>
            <color indexed="81"/>
            <rFont val="Tahoma"/>
            <family val="2"/>
          </rPr>
          <t>Graham.Sortino:</t>
        </r>
        <r>
          <rPr>
            <sz val="9"/>
            <color indexed="81"/>
            <rFont val="Tahoma"/>
            <family val="2"/>
          </rPr>
          <t xml:space="preserve">
Matt aproximation taken from © Robert Watzlavick (rocket@watzlavick.com) computation spreadsheet.</t>
        </r>
      </text>
    </comment>
    <comment ref="B59" authorId="0" shapeId="0" xr:uid="{00000000-0006-0000-0000-000068000000}">
      <text>
        <r>
          <rPr>
            <b/>
            <sz val="9"/>
            <color rgb="FF000000"/>
            <rFont val="Tahoma"/>
            <family val="2"/>
          </rPr>
          <t>Graham.Sortino:</t>
        </r>
        <r>
          <rPr>
            <sz val="9"/>
            <color rgb="FF000000"/>
            <rFont val="Tahoma"/>
            <family val="2"/>
          </rPr>
          <t xml:space="preserve">
</t>
        </r>
        <r>
          <rPr>
            <sz val="9"/>
            <color rgb="FF000000"/>
            <rFont val="Tahoma"/>
            <family val="2"/>
          </rPr>
          <t>calculated from nozzle length and divergence half angle using basic trig: cos(alpha) = Adj / Hyp</t>
        </r>
      </text>
    </comment>
    <comment ref="B61" authorId="0" shapeId="0" xr:uid="{00000000-0006-0000-0000-000069000000}">
      <text>
        <r>
          <rPr>
            <b/>
            <sz val="8"/>
            <color rgb="FF000000"/>
            <rFont val="Tahoma"/>
            <family val="2"/>
          </rPr>
          <t>Graham.Sortino:</t>
        </r>
        <r>
          <rPr>
            <sz val="8"/>
            <color rgb="FF000000"/>
            <rFont val="Tahoma"/>
            <family val="2"/>
          </rPr>
          <t xml:space="preserve">
</t>
        </r>
        <r>
          <rPr>
            <sz val="8"/>
            <color rgb="FF000000"/>
            <rFont val="Tahoma"/>
            <family val="2"/>
          </rPr>
          <t>currently this is just a user defined number but eventually we could get more sophisticated with materials and heat distribution, etc...</t>
        </r>
      </text>
    </comment>
    <comment ref="G94" authorId="0" shapeId="0" xr:uid="{00000000-0006-0000-0000-00006A000000}">
      <text>
        <r>
          <rPr>
            <b/>
            <sz val="8"/>
            <color indexed="81"/>
            <rFont val="Tahoma"/>
            <family val="2"/>
          </rPr>
          <t>Graham.Sortino:</t>
        </r>
        <r>
          <rPr>
            <sz val="8"/>
            <color indexed="81"/>
            <rFont val="Tahoma"/>
            <family val="2"/>
          </rPr>
          <t xml:space="preserve">
Calculated from (4-16)
c = v2 + (p2 - p3)*(A2/m)</t>
        </r>
      </text>
    </comment>
    <comment ref="H94" authorId="0" shapeId="0" xr:uid="{00000000-0006-0000-0000-00006B000000}">
      <text>
        <r>
          <rPr>
            <b/>
            <sz val="8"/>
            <color indexed="81"/>
            <rFont val="Tahoma"/>
            <family val="2"/>
          </rPr>
          <t>Graham.Sortino:</t>
        </r>
        <r>
          <rPr>
            <sz val="8"/>
            <color indexed="81"/>
            <rFont val="Tahoma"/>
            <family val="2"/>
          </rPr>
          <t xml:space="preserve">
Because Specific impulse is always calculated over a change in time of 1 we simply use:
Is = F / m</t>
        </r>
      </text>
    </comment>
    <comment ref="K94" authorId="0" shapeId="0" xr:uid="{00000000-0006-0000-0000-00006C000000}">
      <text>
        <r>
          <rPr>
            <b/>
            <sz val="8"/>
            <color indexed="81"/>
            <rFont val="Tahoma"/>
            <family val="2"/>
          </rPr>
          <t>Graham.Sortino:</t>
        </r>
        <r>
          <rPr>
            <sz val="8"/>
            <color indexed="81"/>
            <rFont val="Tahoma"/>
            <family val="2"/>
          </rPr>
          <t xml:space="preserve">
calculated from 4-16 (up = -ċ*ln(1-ξ) - ġtp - ((BCdA)/m0) + u0)</t>
        </r>
      </text>
    </comment>
    <comment ref="L94" authorId="0" shapeId="0" xr:uid="{00000000-0006-0000-0000-00006D000000}">
      <text>
        <r>
          <rPr>
            <b/>
            <sz val="8"/>
            <color indexed="81"/>
            <rFont val="Tahoma"/>
            <family val="2"/>
          </rPr>
          <t>Graham.Sortino:</t>
        </r>
        <r>
          <rPr>
            <sz val="8"/>
            <color indexed="81"/>
            <rFont val="Tahoma"/>
            <family val="2"/>
          </rPr>
          <t xml:space="preserve">
'X' Velocity represents the horizontal velocity of a rocket propulsion device. Gravity is not considered for 'X' Trajectories.
calculated from 4-16. See example 4-1 for calculating X Velocity.
 (up = -ċ*ln(1-ξ) - ġtp - ((BCdA)/m0) + u0)</t>
        </r>
      </text>
    </comment>
    <comment ref="M94" authorId="0" shapeId="0" xr:uid="{00000000-0006-0000-0000-00006E000000}">
      <text>
        <r>
          <rPr>
            <b/>
            <sz val="8"/>
            <color indexed="81"/>
            <rFont val="Tahoma"/>
            <family val="2"/>
          </rPr>
          <t>Graham.Sortino:</t>
        </r>
        <r>
          <rPr>
            <sz val="8"/>
            <color indexed="81"/>
            <rFont val="Tahoma"/>
            <family val="2"/>
          </rPr>
          <t xml:space="preserve">
The 'Y' Velocity Vector represents the verictal speed of the vehicle. Gravity is considered here.
calculated from 4-16. See example 4-1 for calculating Y Velocity.
 (up = -ċ*ln(1-ξ) - ġtp - ((BCdA)/m0) + u0)</t>
        </r>
      </text>
    </comment>
    <comment ref="Q94" authorId="0" shapeId="0" xr:uid="{00000000-0006-0000-0000-00006F000000}">
      <text>
        <r>
          <rPr>
            <b/>
            <sz val="8"/>
            <color indexed="81"/>
            <rFont val="Tahoma"/>
            <family val="2"/>
          </rPr>
          <t>Graham.Sortino:</t>
        </r>
        <r>
          <rPr>
            <sz val="8"/>
            <color indexed="81"/>
            <rFont val="Tahoma"/>
            <family val="2"/>
          </rPr>
          <t xml:space="preserve">
Forces of Gravity Acting Upon a Craft (4-12)
g =g0 (R0/(R0 + h))2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asd2323r</author>
  </authors>
  <commentList>
    <comment ref="M5" authorId="0" shapeId="0" xr:uid="{00000000-0006-0000-0100-000001000000}">
      <text>
        <r>
          <rPr>
            <b/>
            <sz val="9"/>
            <color indexed="81"/>
            <rFont val="Tahoma"/>
            <family val="2"/>
          </rPr>
          <t>asd2323r:</t>
        </r>
        <r>
          <rPr>
            <sz val="9"/>
            <color indexed="81"/>
            <rFont val="Tahoma"/>
            <family val="2"/>
          </rPr>
          <t xml:space="preserve">
due to a mistake I was forced to make a 7/16" -20 thread instead. A proper design should be a 1/2-20 thread. Note because of this I was also forced to change the thread on the igniter as well.</t>
        </r>
      </text>
    </comment>
    <comment ref="N28" authorId="0" shapeId="0" xr:uid="{00000000-0006-0000-0100-000002000000}">
      <text>
        <r>
          <rPr>
            <b/>
            <sz val="9"/>
            <color indexed="81"/>
            <rFont val="Tahoma"/>
            <family val="2"/>
          </rPr>
          <t>asd2323r:</t>
        </r>
        <r>
          <rPr>
            <sz val="9"/>
            <color indexed="81"/>
            <rFont val="Tahoma"/>
            <family val="2"/>
          </rPr>
          <t xml:space="preserve">
actually I believe the product # is  9464K311 but we can review this in further detail later</t>
        </r>
      </text>
    </comment>
  </commentList>
</comments>
</file>

<file path=xl/sharedStrings.xml><?xml version="1.0" encoding="utf-8"?>
<sst xmlns="http://schemas.openxmlformats.org/spreadsheetml/2006/main" count="617" uniqueCount="412">
  <si>
    <t>Specific Impulse</t>
  </si>
  <si>
    <t>kg</t>
  </si>
  <si>
    <t>x</t>
  </si>
  <si>
    <r>
      <t>Propellant Mass Fraction (</t>
    </r>
    <r>
      <rPr>
        <i/>
        <sz val="10"/>
        <rFont val="Arial"/>
        <family val="2"/>
      </rPr>
      <t>ξ</t>
    </r>
    <r>
      <rPr>
        <sz val="10"/>
        <rFont val="Arial"/>
        <family val="2"/>
      </rPr>
      <t>) =</t>
    </r>
  </si>
  <si>
    <r>
      <t>Initial Velocity (</t>
    </r>
    <r>
      <rPr>
        <i/>
        <sz val="10"/>
        <rFont val="Arial"/>
        <family val="2"/>
      </rPr>
      <t>u</t>
    </r>
    <r>
      <rPr>
        <i/>
        <vertAlign val="subscript"/>
        <sz val="10"/>
        <rFont val="Arial"/>
        <family val="2"/>
      </rPr>
      <t>0</t>
    </r>
    <r>
      <rPr>
        <sz val="10"/>
        <rFont val="Arial"/>
        <family val="2"/>
      </rPr>
      <t>)</t>
    </r>
  </si>
  <si>
    <r>
      <t>Initial Height (</t>
    </r>
    <r>
      <rPr>
        <i/>
        <sz val="10"/>
        <rFont val="Arial"/>
        <family val="2"/>
      </rPr>
      <t>h</t>
    </r>
    <r>
      <rPr>
        <i/>
        <vertAlign val="subscript"/>
        <sz val="10"/>
        <rFont val="Arial"/>
        <family val="2"/>
      </rPr>
      <t>0</t>
    </r>
    <r>
      <rPr>
        <sz val="10"/>
        <rFont val="Arial"/>
        <family val="2"/>
      </rPr>
      <t>)</t>
    </r>
  </si>
  <si>
    <r>
      <t>Propellant Mass Fraction (</t>
    </r>
    <r>
      <rPr>
        <b/>
        <i/>
        <sz val="10"/>
        <rFont val="Arial"/>
        <family val="2"/>
      </rPr>
      <t>ξ</t>
    </r>
    <r>
      <rPr>
        <b/>
        <sz val="10"/>
        <rFont val="Arial"/>
        <family val="2"/>
      </rPr>
      <t>) =</t>
    </r>
  </si>
  <si>
    <t>Remaining Propellant Mass</t>
  </si>
  <si>
    <t>Remaining Vehicle Mass</t>
  </si>
  <si>
    <t>Time (Seconds)</t>
  </si>
  <si>
    <t>Characteristics of a Vehicle in Motion</t>
  </si>
  <si>
    <t>sec</t>
  </si>
  <si>
    <r>
      <t>gravity (m/sec</t>
    </r>
    <r>
      <rPr>
        <b/>
        <vertAlign val="superscript"/>
        <sz val="10"/>
        <rFont val="Arial"/>
        <family val="2"/>
      </rPr>
      <t>2</t>
    </r>
    <r>
      <rPr>
        <b/>
        <sz val="10"/>
        <rFont val="Arial"/>
        <family val="2"/>
      </rPr>
      <t>)</t>
    </r>
  </si>
  <si>
    <t>m/sec</t>
  </si>
  <si>
    <t>m</t>
  </si>
  <si>
    <t>kg/sec</t>
  </si>
  <si>
    <r>
      <t>Final Velocity at Cutoff (</t>
    </r>
    <r>
      <rPr>
        <b/>
        <i/>
        <sz val="10"/>
        <rFont val="Arial"/>
        <family val="2"/>
      </rPr>
      <t>m/sec)</t>
    </r>
    <r>
      <rPr>
        <b/>
        <sz val="10"/>
        <rFont val="Arial"/>
        <family val="2"/>
      </rPr>
      <t>=</t>
    </r>
  </si>
  <si>
    <t>Final Distance at Cutoff (km) =</t>
  </si>
  <si>
    <t>kelvin</t>
  </si>
  <si>
    <t>j/Kg-K</t>
  </si>
  <si>
    <r>
      <t>Nozzle Exit Pressure (</t>
    </r>
    <r>
      <rPr>
        <i/>
        <sz val="10"/>
        <rFont val="Arial"/>
        <family val="2"/>
      </rPr>
      <t>p</t>
    </r>
    <r>
      <rPr>
        <i/>
        <vertAlign val="subscript"/>
        <sz val="10"/>
        <rFont val="Arial"/>
        <family val="2"/>
      </rPr>
      <t>2</t>
    </r>
    <r>
      <rPr>
        <sz val="10"/>
        <rFont val="Arial"/>
        <family val="2"/>
      </rPr>
      <t>) =</t>
    </r>
  </si>
  <si>
    <r>
      <t>Nozzle Inlet/Chamber Pressure (</t>
    </r>
    <r>
      <rPr>
        <i/>
        <sz val="10"/>
        <rFont val="Arial"/>
        <family val="2"/>
      </rPr>
      <t>p</t>
    </r>
    <r>
      <rPr>
        <i/>
        <vertAlign val="subscript"/>
        <sz val="10"/>
        <rFont val="Arial"/>
        <family val="2"/>
      </rPr>
      <t>1</t>
    </r>
    <r>
      <rPr>
        <sz val="10"/>
        <rFont val="Arial"/>
        <family val="2"/>
      </rPr>
      <t>) =</t>
    </r>
  </si>
  <si>
    <t>Pascal (MPa)</t>
  </si>
  <si>
    <r>
      <t>Nozzle Throat Pressure (</t>
    </r>
    <r>
      <rPr>
        <i/>
        <sz val="10"/>
        <rFont val="Arial"/>
        <family val="2"/>
      </rPr>
      <t>p</t>
    </r>
    <r>
      <rPr>
        <i/>
        <vertAlign val="subscript"/>
        <sz val="10"/>
        <rFont val="Arial"/>
        <family val="2"/>
      </rPr>
      <t>t</t>
    </r>
    <r>
      <rPr>
        <sz val="10"/>
        <rFont val="Arial"/>
        <family val="2"/>
      </rPr>
      <t>)=</t>
    </r>
  </si>
  <si>
    <r>
      <t>Nozzle Area Ratio (</t>
    </r>
    <r>
      <rPr>
        <i/>
        <sz val="10"/>
        <rFont val="Arial"/>
        <family val="2"/>
      </rPr>
      <t>A</t>
    </r>
    <r>
      <rPr>
        <i/>
        <vertAlign val="subscript"/>
        <sz val="10"/>
        <rFont val="Arial"/>
        <family val="2"/>
      </rPr>
      <t>2</t>
    </r>
    <r>
      <rPr>
        <i/>
        <sz val="10"/>
        <rFont val="Arial"/>
        <family val="2"/>
      </rPr>
      <t>/A</t>
    </r>
    <r>
      <rPr>
        <i/>
        <vertAlign val="subscript"/>
        <sz val="10"/>
        <rFont val="Arial"/>
        <family val="2"/>
      </rPr>
      <t>t</t>
    </r>
    <r>
      <rPr>
        <sz val="10"/>
        <rFont val="Arial"/>
        <family val="2"/>
      </rPr>
      <t>) =</t>
    </r>
  </si>
  <si>
    <t>meters</t>
  </si>
  <si>
    <r>
      <t>Exhaust Velocity (</t>
    </r>
    <r>
      <rPr>
        <i/>
        <sz val="10"/>
        <rFont val="Arial"/>
        <family val="2"/>
      </rPr>
      <t>v</t>
    </r>
    <r>
      <rPr>
        <i/>
        <vertAlign val="subscript"/>
        <sz val="10"/>
        <rFont val="Arial"/>
        <family val="2"/>
      </rPr>
      <t>2</t>
    </r>
    <r>
      <rPr>
        <sz val="10"/>
        <rFont val="Arial"/>
        <family val="2"/>
      </rPr>
      <t>) =</t>
    </r>
  </si>
  <si>
    <r>
      <t>Pressure Ratio (</t>
    </r>
    <r>
      <rPr>
        <i/>
        <sz val="10"/>
        <rFont val="Arial"/>
        <family val="2"/>
      </rPr>
      <t>p</t>
    </r>
    <r>
      <rPr>
        <i/>
        <vertAlign val="subscript"/>
        <sz val="10"/>
        <rFont val="Arial"/>
        <family val="2"/>
      </rPr>
      <t>1</t>
    </r>
    <r>
      <rPr>
        <i/>
        <sz val="10"/>
        <rFont val="Arial"/>
        <family val="2"/>
      </rPr>
      <t>/p</t>
    </r>
    <r>
      <rPr>
        <i/>
        <vertAlign val="subscript"/>
        <sz val="10"/>
        <rFont val="Arial"/>
        <family val="2"/>
      </rPr>
      <t>2</t>
    </r>
    <r>
      <rPr>
        <sz val="10"/>
        <rFont val="Arial"/>
        <family val="2"/>
      </rPr>
      <t>) =</t>
    </r>
  </si>
  <si>
    <r>
      <t>Pressure Ratio (</t>
    </r>
    <r>
      <rPr>
        <i/>
        <sz val="10"/>
        <rFont val="Arial"/>
        <family val="2"/>
      </rPr>
      <t>p</t>
    </r>
    <r>
      <rPr>
        <i/>
        <vertAlign val="subscript"/>
        <sz val="10"/>
        <rFont val="Arial"/>
        <family val="2"/>
      </rPr>
      <t>2</t>
    </r>
    <r>
      <rPr>
        <i/>
        <sz val="10"/>
        <rFont val="Arial"/>
        <family val="2"/>
      </rPr>
      <t>/p</t>
    </r>
    <r>
      <rPr>
        <i/>
        <vertAlign val="subscript"/>
        <sz val="10"/>
        <rFont val="Arial"/>
        <family val="2"/>
      </rPr>
      <t>1</t>
    </r>
    <r>
      <rPr>
        <sz val="10"/>
        <rFont val="Arial"/>
        <family val="2"/>
      </rPr>
      <t>) =</t>
    </r>
  </si>
  <si>
    <t>Payload Mass =</t>
  </si>
  <si>
    <t>Propellent Mass =</t>
  </si>
  <si>
    <t>Inert hardware Mass</t>
  </si>
  <si>
    <t>Nozzle Throat Area =</t>
  </si>
  <si>
    <t>Nozzle Exit Area =</t>
  </si>
  <si>
    <t>Nozzle Length =</t>
  </si>
  <si>
    <t>Mixture Ratio (Oxidizer/Fuel) =</t>
  </si>
  <si>
    <t>G-Forces</t>
  </si>
  <si>
    <r>
      <t>Force Max (</t>
    </r>
    <r>
      <rPr>
        <i/>
        <sz val="10"/>
        <rFont val="Arial"/>
        <family val="2"/>
      </rPr>
      <t>F</t>
    </r>
    <r>
      <rPr>
        <i/>
        <vertAlign val="subscript"/>
        <sz val="10"/>
        <rFont val="Arial"/>
        <family val="2"/>
      </rPr>
      <t>max</t>
    </r>
    <r>
      <rPr>
        <sz val="10"/>
        <rFont val="Arial"/>
        <family val="2"/>
      </rPr>
      <t>) =</t>
    </r>
  </si>
  <si>
    <t>Max Acceleration =</t>
  </si>
  <si>
    <t>Max Burn Time</t>
  </si>
  <si>
    <t>Newtons</t>
  </si>
  <si>
    <r>
      <t>Initial Mass (</t>
    </r>
    <r>
      <rPr>
        <i/>
        <sz val="10"/>
        <rFont val="Arial"/>
        <family val="2"/>
      </rPr>
      <t>m</t>
    </r>
    <r>
      <rPr>
        <i/>
        <vertAlign val="subscript"/>
        <sz val="10"/>
        <rFont val="Arial"/>
        <family val="2"/>
      </rPr>
      <t>o</t>
    </r>
    <r>
      <rPr>
        <sz val="10"/>
        <rFont val="Arial"/>
        <family val="2"/>
      </rPr>
      <t>)</t>
    </r>
  </si>
  <si>
    <r>
      <t>Final Mass (</t>
    </r>
    <r>
      <rPr>
        <i/>
        <sz val="10"/>
        <rFont val="Arial"/>
        <family val="2"/>
      </rPr>
      <t>m</t>
    </r>
    <r>
      <rPr>
        <i/>
        <vertAlign val="subscript"/>
        <sz val="10"/>
        <rFont val="Arial"/>
        <family val="2"/>
      </rPr>
      <t>f</t>
    </r>
    <r>
      <rPr>
        <sz val="10"/>
        <rFont val="Arial"/>
        <family val="2"/>
      </rPr>
      <t>)</t>
    </r>
  </si>
  <si>
    <r>
      <t>Critical Pressure Ratio (</t>
    </r>
    <r>
      <rPr>
        <i/>
        <sz val="10"/>
        <rFont val="Arial"/>
        <family val="2"/>
      </rPr>
      <t>p</t>
    </r>
    <r>
      <rPr>
        <i/>
        <vertAlign val="subscript"/>
        <sz val="10"/>
        <rFont val="Arial"/>
        <family val="2"/>
      </rPr>
      <t>t</t>
    </r>
    <r>
      <rPr>
        <i/>
        <sz val="10"/>
        <rFont val="Arial"/>
        <family val="2"/>
      </rPr>
      <t>/p</t>
    </r>
    <r>
      <rPr>
        <i/>
        <vertAlign val="subscript"/>
        <sz val="10"/>
        <rFont val="Arial"/>
        <family val="2"/>
      </rPr>
      <t>1</t>
    </r>
    <r>
      <rPr>
        <sz val="10"/>
        <rFont val="Arial"/>
        <family val="2"/>
      </rPr>
      <t>) =</t>
    </r>
  </si>
  <si>
    <t>Nozzle Throat Diameter =</t>
  </si>
  <si>
    <t>Nozzle Exit Diameter =</t>
  </si>
  <si>
    <r>
      <t>Desired Velocity Increment (</t>
    </r>
    <r>
      <rPr>
        <i/>
        <sz val="10"/>
        <rFont val="Arial"/>
        <family val="2"/>
      </rPr>
      <t>v</t>
    </r>
    <r>
      <rPr>
        <i/>
        <vertAlign val="subscript"/>
        <sz val="10"/>
        <rFont val="Arial"/>
        <family val="2"/>
      </rPr>
      <t>f</t>
    </r>
    <r>
      <rPr>
        <sz val="10"/>
        <rFont val="Arial"/>
        <family val="2"/>
      </rPr>
      <t>)</t>
    </r>
  </si>
  <si>
    <r>
      <t>Mass Ratio (</t>
    </r>
    <r>
      <rPr>
        <b/>
        <sz val="10"/>
        <rFont val="Arial"/>
        <family val="2"/>
      </rPr>
      <t>MR</t>
    </r>
    <r>
      <rPr>
        <sz val="10"/>
        <rFont val="Arial"/>
        <family val="2"/>
      </rPr>
      <t>) =</t>
    </r>
  </si>
  <si>
    <t>Force</t>
  </si>
  <si>
    <r>
      <t>Effective Exhaust Velocity (</t>
    </r>
    <r>
      <rPr>
        <b/>
        <i/>
        <sz val="10"/>
        <rFont val="Arial"/>
        <family val="2"/>
      </rPr>
      <t>c</t>
    </r>
    <r>
      <rPr>
        <b/>
        <sz val="10"/>
        <rFont val="Arial"/>
        <family val="2"/>
      </rPr>
      <t>) m/sec</t>
    </r>
  </si>
  <si>
    <r>
      <t>External Pressure (</t>
    </r>
    <r>
      <rPr>
        <b/>
        <i/>
        <sz val="10"/>
        <rFont val="Arial"/>
        <family val="2"/>
      </rPr>
      <t>Mpa</t>
    </r>
    <r>
      <rPr>
        <b/>
        <sz val="10"/>
        <rFont val="Arial"/>
        <family val="2"/>
      </rPr>
      <t>)</t>
    </r>
  </si>
  <si>
    <r>
      <t>Average Specific Impulse (</t>
    </r>
    <r>
      <rPr>
        <b/>
        <i/>
        <sz val="10"/>
        <rFont val="Arial"/>
        <family val="2"/>
      </rPr>
      <t>I</t>
    </r>
    <r>
      <rPr>
        <b/>
        <i/>
        <vertAlign val="subscript"/>
        <sz val="10"/>
        <rFont val="Arial"/>
        <family val="2"/>
      </rPr>
      <t>s-avg</t>
    </r>
    <r>
      <rPr>
        <b/>
        <sz val="10"/>
        <rFont val="Arial"/>
        <family val="2"/>
      </rPr>
      <t>)=</t>
    </r>
  </si>
  <si>
    <r>
      <t>Total Impulse (</t>
    </r>
    <r>
      <rPr>
        <b/>
        <i/>
        <sz val="10"/>
        <rFont val="Arial"/>
        <family val="2"/>
      </rPr>
      <t>I</t>
    </r>
    <r>
      <rPr>
        <b/>
        <i/>
        <vertAlign val="subscript"/>
        <sz val="10"/>
        <rFont val="Arial"/>
        <family val="2"/>
      </rPr>
      <t>t</t>
    </r>
    <r>
      <rPr>
        <b/>
        <sz val="10"/>
        <rFont val="Arial"/>
        <family val="2"/>
      </rPr>
      <t>)=</t>
    </r>
  </si>
  <si>
    <t>Propellent Mass Budget Analysis for Change in Velocity Increment</t>
  </si>
  <si>
    <t>Velocity Increase (m/sec)</t>
  </si>
  <si>
    <t>Propellent Mass (kg)</t>
  </si>
  <si>
    <t>Change in Propellent Mass (kg)</t>
  </si>
  <si>
    <r>
      <t>1 / Mass Ratio (1/</t>
    </r>
    <r>
      <rPr>
        <b/>
        <sz val="10"/>
        <rFont val="Arial"/>
        <family val="2"/>
      </rPr>
      <t>MR</t>
    </r>
    <r>
      <rPr>
        <sz val="10"/>
        <rFont val="Arial"/>
        <family val="2"/>
      </rPr>
      <t>) =</t>
    </r>
  </si>
  <si>
    <t>Drag Loss Correction Factor</t>
  </si>
  <si>
    <t>b=</t>
  </si>
  <si>
    <t>angle (y)</t>
  </si>
  <si>
    <t>angle (initial)</t>
  </si>
  <si>
    <t>angle (final)</t>
  </si>
  <si>
    <t>angle (mid)</t>
  </si>
  <si>
    <t>quadratic</t>
  </si>
  <si>
    <t>initial angle (c)=</t>
  </si>
  <si>
    <t>angle (mid) =</t>
  </si>
  <si>
    <t xml:space="preserve">initial flight trajectory angle (c) </t>
  </si>
  <si>
    <t>degrees</t>
  </si>
  <si>
    <t>max flight angle</t>
  </si>
  <si>
    <t>(a)</t>
  </si>
  <si>
    <t>(b)</t>
  </si>
  <si>
    <r>
      <t>x acceleration (m/sec</t>
    </r>
    <r>
      <rPr>
        <b/>
        <vertAlign val="superscript"/>
        <sz val="10"/>
        <rFont val="Arial"/>
        <family val="2"/>
      </rPr>
      <t>2</t>
    </r>
    <r>
      <rPr>
        <b/>
        <sz val="10"/>
        <rFont val="Arial"/>
        <family val="2"/>
      </rPr>
      <t>)</t>
    </r>
  </si>
  <si>
    <t>x acceleration (gforces)</t>
  </si>
  <si>
    <r>
      <t>y acceleration (m/sec</t>
    </r>
    <r>
      <rPr>
        <b/>
        <vertAlign val="superscript"/>
        <sz val="10"/>
        <rFont val="Arial"/>
        <family val="2"/>
      </rPr>
      <t>2</t>
    </r>
    <r>
      <rPr>
        <b/>
        <sz val="10"/>
        <rFont val="Arial"/>
        <family val="2"/>
      </rPr>
      <t>)</t>
    </r>
  </si>
  <si>
    <t>y acceleration (gforces)</t>
  </si>
  <si>
    <t>Velocity Vector (m/sec)</t>
  </si>
  <si>
    <t>Flight Angle Vector</t>
  </si>
  <si>
    <t>X Velocity (m/sec)</t>
  </si>
  <si>
    <t>Y Velocity (m/sec)</t>
  </si>
  <si>
    <t>Distance Vector (m)</t>
  </si>
  <si>
    <t>X Distance (m)</t>
  </si>
  <si>
    <t>Y Distance (m)</t>
  </si>
  <si>
    <t xml:space="preserve"> </t>
  </si>
  <si>
    <t>inches</t>
  </si>
  <si>
    <r>
      <t>meters</t>
    </r>
    <r>
      <rPr>
        <vertAlign val="superscript"/>
        <sz val="10"/>
        <rFont val="Arial"/>
        <family val="2"/>
      </rPr>
      <t>2</t>
    </r>
  </si>
  <si>
    <r>
      <t>inches</t>
    </r>
    <r>
      <rPr>
        <vertAlign val="superscript"/>
        <sz val="10"/>
        <rFont val="Arial"/>
        <family val="2"/>
      </rPr>
      <t>2</t>
    </r>
  </si>
  <si>
    <r>
      <t xml:space="preserve">Nozzle Cone Diverence Half Angle </t>
    </r>
    <r>
      <rPr>
        <i/>
        <sz val="10"/>
        <rFont val="Arial"/>
        <family val="2"/>
      </rPr>
      <t>(α)</t>
    </r>
    <r>
      <rPr>
        <sz val="10"/>
        <rFont val="Arial"/>
        <family val="2"/>
      </rPr>
      <t xml:space="preserve"> =</t>
    </r>
  </si>
  <si>
    <t>y-top</t>
  </si>
  <si>
    <t>y-bottom</t>
  </si>
  <si>
    <t>Chamber Cross Sectional Area =</t>
  </si>
  <si>
    <t>Chamber Diameter =</t>
  </si>
  <si>
    <r>
      <t xml:space="preserve">Chamber Contraction Ratio  </t>
    </r>
    <r>
      <rPr>
        <i/>
        <sz val="10"/>
        <rFont val="Arial"/>
        <family val="2"/>
      </rPr>
      <t>(A</t>
    </r>
    <r>
      <rPr>
        <i/>
        <vertAlign val="subscript"/>
        <sz val="10"/>
        <rFont val="Arial"/>
        <family val="2"/>
      </rPr>
      <t>1</t>
    </r>
    <r>
      <rPr>
        <i/>
        <sz val="10"/>
        <rFont val="Arial"/>
        <family val="2"/>
      </rPr>
      <t>/A</t>
    </r>
    <r>
      <rPr>
        <i/>
        <vertAlign val="subscript"/>
        <sz val="10"/>
        <rFont val="Arial"/>
        <family val="2"/>
      </rPr>
      <t>t</t>
    </r>
    <r>
      <rPr>
        <i/>
        <sz val="10"/>
        <rFont val="Arial"/>
        <family val="2"/>
      </rPr>
      <t>) =</t>
    </r>
  </si>
  <si>
    <t>Chamber Length =</t>
  </si>
  <si>
    <r>
      <t>Conical Frustum Length (</t>
    </r>
    <r>
      <rPr>
        <i/>
        <sz val="10"/>
        <rFont val="Arial"/>
        <family val="2"/>
      </rPr>
      <t>L</t>
    </r>
    <r>
      <rPr>
        <i/>
        <vertAlign val="subscript"/>
        <sz val="10"/>
        <rFont val="Arial"/>
        <family val="2"/>
      </rPr>
      <t>c</t>
    </r>
    <r>
      <rPr>
        <sz val="10"/>
        <rFont val="Arial"/>
        <family val="2"/>
      </rPr>
      <t>) =</t>
    </r>
  </si>
  <si>
    <r>
      <t xml:space="preserve">Chamber Volume </t>
    </r>
    <r>
      <rPr>
        <i/>
        <sz val="10"/>
        <rFont val="Arial"/>
        <family val="2"/>
      </rPr>
      <t>(V</t>
    </r>
    <r>
      <rPr>
        <i/>
        <vertAlign val="subscript"/>
        <sz val="10"/>
        <rFont val="Arial"/>
        <family val="2"/>
      </rPr>
      <t>c</t>
    </r>
    <r>
      <rPr>
        <i/>
        <sz val="10"/>
        <rFont val="Arial"/>
        <family val="2"/>
      </rPr>
      <t>)</t>
    </r>
    <r>
      <rPr>
        <sz val="10"/>
        <rFont val="Arial"/>
        <family val="2"/>
      </rPr>
      <t>=</t>
    </r>
  </si>
  <si>
    <r>
      <t xml:space="preserve">Chamber Length </t>
    </r>
    <r>
      <rPr>
        <i/>
        <sz val="10"/>
        <rFont val="Arial"/>
        <family val="2"/>
      </rPr>
      <t>(L</t>
    </r>
    <r>
      <rPr>
        <i/>
        <vertAlign val="subscript"/>
        <sz val="10"/>
        <rFont val="Arial"/>
        <family val="2"/>
      </rPr>
      <t>1</t>
    </r>
    <r>
      <rPr>
        <i/>
        <sz val="10"/>
        <rFont val="Arial"/>
        <family val="2"/>
      </rPr>
      <t>)</t>
    </r>
    <r>
      <rPr>
        <sz val="10"/>
        <rFont val="Arial"/>
        <family val="2"/>
      </rPr>
      <t>=</t>
    </r>
  </si>
  <si>
    <r>
      <t>meters</t>
    </r>
    <r>
      <rPr>
        <vertAlign val="superscript"/>
        <sz val="10"/>
        <rFont val="Arial"/>
        <family val="2"/>
      </rPr>
      <t>3</t>
    </r>
  </si>
  <si>
    <r>
      <t>inches</t>
    </r>
    <r>
      <rPr>
        <vertAlign val="superscript"/>
        <sz val="10"/>
        <rFont val="Arial"/>
        <family val="2"/>
      </rPr>
      <t>3</t>
    </r>
  </si>
  <si>
    <r>
      <t xml:space="preserve">Convergence Length </t>
    </r>
    <r>
      <rPr>
        <sz val="10"/>
        <rFont val="Arial"/>
        <family val="2"/>
      </rPr>
      <t xml:space="preserve"> =</t>
    </r>
  </si>
  <si>
    <r>
      <t xml:space="preserve">Nozzle Frustm Length </t>
    </r>
    <r>
      <rPr>
        <i/>
        <sz val="10"/>
        <rFont val="Arial"/>
        <family val="2"/>
      </rPr>
      <t>(N</t>
    </r>
    <r>
      <rPr>
        <i/>
        <vertAlign val="subscript"/>
        <sz val="10"/>
        <rFont val="Arial"/>
        <family val="2"/>
      </rPr>
      <t>c</t>
    </r>
    <r>
      <rPr>
        <i/>
        <sz val="10"/>
        <rFont val="Arial"/>
        <family val="2"/>
      </rPr>
      <t>)</t>
    </r>
    <r>
      <rPr>
        <sz val="10"/>
        <rFont val="Arial"/>
        <family val="2"/>
      </rPr>
      <t xml:space="preserve"> =</t>
    </r>
  </si>
  <si>
    <t>Chamber Wall Thickness =</t>
  </si>
  <si>
    <r>
      <t xml:space="preserve">Chamber Characteristic Length </t>
    </r>
    <r>
      <rPr>
        <i/>
        <sz val="10"/>
        <rFont val="Arial"/>
        <family val="2"/>
      </rPr>
      <t>(L*)</t>
    </r>
    <r>
      <rPr>
        <sz val="10"/>
        <rFont val="Arial"/>
        <family val="2"/>
      </rPr>
      <t xml:space="preserve"> =</t>
    </r>
  </si>
  <si>
    <t>Nozzle Throat Length =</t>
  </si>
  <si>
    <t>y-top-outer</t>
  </si>
  <si>
    <t>Chamber &amp; Nozzle Measurements For Graph</t>
  </si>
  <si>
    <t>y-bottom-outer</t>
  </si>
  <si>
    <t>Convergence Length  =</t>
  </si>
  <si>
    <r>
      <t>m</t>
    </r>
    <r>
      <rPr>
        <vertAlign val="superscript"/>
        <sz val="10"/>
        <rFont val="Arial"/>
        <family val="2"/>
      </rPr>
      <t>3</t>
    </r>
    <r>
      <rPr>
        <sz val="10"/>
        <rFont val="Arial"/>
        <family val="2"/>
      </rPr>
      <t>/sec</t>
    </r>
  </si>
  <si>
    <r>
      <t>kg/m</t>
    </r>
    <r>
      <rPr>
        <vertAlign val="superscript"/>
        <sz val="10"/>
        <rFont val="Arial"/>
        <family val="2"/>
      </rPr>
      <t>3</t>
    </r>
  </si>
  <si>
    <r>
      <t xml:space="preserve">Nozzle Cone Convergence Half Angle </t>
    </r>
    <r>
      <rPr>
        <i/>
        <sz val="10"/>
        <rFont val="Arial"/>
        <family val="2"/>
      </rPr>
      <t>(α)</t>
    </r>
    <r>
      <rPr>
        <sz val="10"/>
        <rFont val="Arial"/>
        <family val="2"/>
      </rPr>
      <t xml:space="preserve"> =</t>
    </r>
  </si>
  <si>
    <t>gallons/min</t>
  </si>
  <si>
    <r>
      <t>Propellent Mass Flow Rate Oxidizer (</t>
    </r>
    <r>
      <rPr>
        <i/>
        <sz val="10"/>
        <rFont val="Arial"/>
        <family val="2"/>
      </rPr>
      <t>m</t>
    </r>
    <r>
      <rPr>
        <i/>
        <vertAlign val="subscript"/>
        <sz val="10"/>
        <rFont val="Arial"/>
        <family val="2"/>
      </rPr>
      <t>o</t>
    </r>
    <r>
      <rPr>
        <sz val="10"/>
        <rFont val="Arial"/>
        <family val="2"/>
      </rPr>
      <t>) =</t>
    </r>
  </si>
  <si>
    <r>
      <t>m</t>
    </r>
    <r>
      <rPr>
        <vertAlign val="superscript"/>
        <sz val="10"/>
        <rFont val="Arial"/>
        <family val="2"/>
      </rPr>
      <t>2</t>
    </r>
    <r>
      <rPr>
        <sz val="10"/>
        <rFont val="Arial"/>
        <family val="2"/>
      </rPr>
      <t/>
    </r>
  </si>
  <si>
    <r>
      <t>m</t>
    </r>
    <r>
      <rPr>
        <i/>
        <vertAlign val="superscript"/>
        <sz val="10"/>
        <rFont val="Arial"/>
        <family val="2"/>
      </rPr>
      <t>2</t>
    </r>
  </si>
  <si>
    <t>in</t>
  </si>
  <si>
    <t>dimensionless</t>
  </si>
  <si>
    <t>lbs (Pounds Force)</t>
  </si>
  <si>
    <r>
      <t xml:space="preserve">Fuel Change in Feed vs Chamber Pressure </t>
    </r>
    <r>
      <rPr>
        <i/>
        <sz val="10"/>
        <rFont val="Arial"/>
        <family val="2"/>
      </rPr>
      <t>(Δp</t>
    </r>
    <r>
      <rPr>
        <i/>
        <vertAlign val="subscript"/>
        <sz val="10"/>
        <rFont val="Arial"/>
        <family val="2"/>
      </rPr>
      <t>f</t>
    </r>
    <r>
      <rPr>
        <i/>
        <sz val="10"/>
        <rFont val="Arial"/>
        <family val="2"/>
      </rPr>
      <t>)</t>
    </r>
    <r>
      <rPr>
        <sz val="10"/>
        <rFont val="Arial"/>
        <family val="2"/>
      </rPr>
      <t xml:space="preserve"> =</t>
    </r>
  </si>
  <si>
    <r>
      <t>Oxidizer Change in Feed vs Chamber Pressure (</t>
    </r>
    <r>
      <rPr>
        <i/>
        <sz val="10"/>
        <rFont val="Arial"/>
        <family val="2"/>
      </rPr>
      <t>Δp</t>
    </r>
    <r>
      <rPr>
        <i/>
        <vertAlign val="subscript"/>
        <sz val="10"/>
        <rFont val="Arial"/>
        <family val="2"/>
      </rPr>
      <t>o</t>
    </r>
    <r>
      <rPr>
        <sz val="10"/>
        <rFont val="Arial"/>
        <family val="2"/>
      </rPr>
      <t>)=</t>
    </r>
  </si>
  <si>
    <r>
      <t>Propellent Mass Flow Rate (</t>
    </r>
    <r>
      <rPr>
        <i/>
        <sz val="10"/>
        <rFont val="Arial"/>
        <family val="2"/>
      </rPr>
      <t>m</t>
    </r>
    <r>
      <rPr>
        <sz val="10"/>
        <rFont val="Arial"/>
        <family val="2"/>
      </rPr>
      <t>) **Needed** =</t>
    </r>
  </si>
  <si>
    <r>
      <t xml:space="preserve">Thrust Coefficient </t>
    </r>
    <r>
      <rPr>
        <i/>
        <sz val="10"/>
        <rFont val="Arial"/>
        <family val="2"/>
      </rPr>
      <t>(C</t>
    </r>
    <r>
      <rPr>
        <i/>
        <vertAlign val="subscript"/>
        <sz val="10"/>
        <rFont val="Arial"/>
        <family val="2"/>
      </rPr>
      <t>F</t>
    </r>
    <r>
      <rPr>
        <i/>
        <sz val="10"/>
        <rFont val="Arial"/>
        <family val="2"/>
      </rPr>
      <t>)</t>
    </r>
    <r>
      <rPr>
        <sz val="10"/>
        <rFont val="Arial"/>
        <family val="2"/>
      </rPr>
      <t xml:space="preserve"> =</t>
    </r>
  </si>
  <si>
    <r>
      <t>Atomospheric Pressure  (</t>
    </r>
    <r>
      <rPr>
        <i/>
        <sz val="10"/>
        <rFont val="Arial"/>
        <family val="2"/>
      </rPr>
      <t>p</t>
    </r>
    <r>
      <rPr>
        <i/>
        <vertAlign val="subscript"/>
        <sz val="10"/>
        <rFont val="Arial"/>
        <family val="2"/>
      </rPr>
      <t>3</t>
    </r>
    <r>
      <rPr>
        <sz val="10"/>
        <rFont val="Arial"/>
        <family val="2"/>
      </rPr>
      <t>) =</t>
    </r>
  </si>
  <si>
    <r>
      <t xml:space="preserve">Atomospheric Pressure </t>
    </r>
    <r>
      <rPr>
        <i/>
        <sz val="10"/>
        <rFont val="Arial"/>
        <family val="2"/>
      </rPr>
      <t xml:space="preserve"> (p</t>
    </r>
    <r>
      <rPr>
        <i/>
        <vertAlign val="subscript"/>
        <sz val="10"/>
        <rFont val="Arial"/>
        <family val="2"/>
      </rPr>
      <t>3</t>
    </r>
    <r>
      <rPr>
        <i/>
        <sz val="10"/>
        <rFont val="Arial"/>
        <family val="2"/>
      </rPr>
      <t>)</t>
    </r>
    <r>
      <rPr>
        <sz val="10"/>
        <rFont val="Arial"/>
        <family val="2"/>
      </rPr>
      <t xml:space="preserve"> =</t>
    </r>
  </si>
  <si>
    <t>overall depth =</t>
  </si>
  <si>
    <r>
      <t>in</t>
    </r>
    <r>
      <rPr>
        <vertAlign val="superscript"/>
        <sz val="10"/>
        <rFont val="Arial"/>
        <family val="2"/>
      </rPr>
      <t>2</t>
    </r>
    <r>
      <rPr>
        <sz val="10"/>
        <rFont val="Arial"/>
        <family val="2"/>
      </rPr>
      <t/>
    </r>
  </si>
  <si>
    <r>
      <t>m</t>
    </r>
    <r>
      <rPr>
        <sz val="10"/>
        <rFont val="Arial"/>
        <family val="2"/>
      </rPr>
      <t/>
    </r>
  </si>
  <si>
    <r>
      <t>in</t>
    </r>
    <r>
      <rPr>
        <sz val="10"/>
        <rFont val="Arial"/>
        <family val="2"/>
      </rPr>
      <t/>
    </r>
  </si>
  <si>
    <t>mol</t>
  </si>
  <si>
    <r>
      <rPr>
        <i/>
        <u/>
        <sz val="10"/>
        <color indexed="12"/>
        <rFont val="Arial"/>
        <family val="2"/>
      </rPr>
      <t xml:space="preserve">**Gas Only** </t>
    </r>
    <r>
      <rPr>
        <u/>
        <sz val="10"/>
        <color indexed="12"/>
        <rFont val="Arial"/>
        <family val="2"/>
      </rPr>
      <t>Fuel Specific Heat Ratio (</t>
    </r>
    <r>
      <rPr>
        <i/>
        <u/>
        <sz val="10"/>
        <color indexed="12"/>
        <rFont val="Arial"/>
        <family val="2"/>
      </rPr>
      <t>k</t>
    </r>
    <r>
      <rPr>
        <u/>
        <sz val="10"/>
        <color indexed="12"/>
        <rFont val="Arial"/>
        <family val="2"/>
      </rPr>
      <t>)</t>
    </r>
  </si>
  <si>
    <r>
      <t>**Gas Only** Oxidizer Specific Heat Ratio (</t>
    </r>
    <r>
      <rPr>
        <i/>
        <u/>
        <sz val="10"/>
        <color indexed="12"/>
        <rFont val="Arial"/>
        <family val="2"/>
      </rPr>
      <t>k</t>
    </r>
    <r>
      <rPr>
        <u/>
        <sz val="10"/>
        <color indexed="12"/>
        <rFont val="Arial"/>
        <family val="2"/>
      </rPr>
      <t>)</t>
    </r>
  </si>
  <si>
    <r>
      <t xml:space="preserve">Fuel Feed Pressure </t>
    </r>
    <r>
      <rPr>
        <i/>
        <sz val="10"/>
        <rFont val="Arial"/>
        <family val="2"/>
      </rPr>
      <t>(p</t>
    </r>
    <r>
      <rPr>
        <i/>
        <vertAlign val="subscript"/>
        <sz val="10"/>
        <rFont val="Arial"/>
        <family val="2"/>
      </rPr>
      <t>f</t>
    </r>
    <r>
      <rPr>
        <i/>
        <sz val="10"/>
        <rFont val="Arial"/>
        <family val="2"/>
      </rPr>
      <t>)</t>
    </r>
    <r>
      <rPr>
        <sz val="10"/>
        <rFont val="Arial"/>
        <family val="2"/>
      </rPr>
      <t xml:space="preserve"> =</t>
    </r>
  </si>
  <si>
    <r>
      <t xml:space="preserve">Oxidizer Feed Pressure </t>
    </r>
    <r>
      <rPr>
        <i/>
        <sz val="10"/>
        <rFont val="Arial"/>
        <family val="2"/>
      </rPr>
      <t>(p</t>
    </r>
    <r>
      <rPr>
        <i/>
        <vertAlign val="subscript"/>
        <sz val="10"/>
        <rFont val="Arial"/>
        <family val="2"/>
      </rPr>
      <t>o</t>
    </r>
    <r>
      <rPr>
        <i/>
        <sz val="10"/>
        <rFont val="Arial"/>
        <family val="2"/>
      </rPr>
      <t>)</t>
    </r>
    <r>
      <rPr>
        <sz val="10"/>
        <rFont val="Arial"/>
        <family val="2"/>
      </rPr>
      <t xml:space="preserve"> =</t>
    </r>
  </si>
  <si>
    <r>
      <rPr>
        <i/>
        <sz val="10"/>
        <rFont val="Arial"/>
        <family val="2"/>
      </rPr>
      <t>**Gas Only**</t>
    </r>
    <r>
      <rPr>
        <sz val="10"/>
        <rFont val="Arial"/>
        <family val="2"/>
      </rPr>
      <t xml:space="preserve"> Fuel Molecular Mass </t>
    </r>
    <r>
      <rPr>
        <i/>
        <sz val="10"/>
        <rFont val="Arial"/>
        <family val="2"/>
      </rPr>
      <t>(M</t>
    </r>
    <r>
      <rPr>
        <i/>
        <vertAlign val="subscript"/>
        <sz val="10"/>
        <rFont val="Arial"/>
        <family val="2"/>
      </rPr>
      <t>f</t>
    </r>
    <r>
      <rPr>
        <i/>
        <sz val="10"/>
        <rFont val="Arial"/>
        <family val="2"/>
      </rPr>
      <t>)</t>
    </r>
    <r>
      <rPr>
        <sz val="10"/>
        <rFont val="Arial"/>
        <family val="2"/>
      </rPr>
      <t>=</t>
    </r>
  </si>
  <si>
    <r>
      <t>Fuel Orifice Area (</t>
    </r>
    <r>
      <rPr>
        <i/>
        <sz val="10"/>
        <rFont val="Arial"/>
        <family val="2"/>
      </rPr>
      <t>A</t>
    </r>
    <r>
      <rPr>
        <i/>
        <vertAlign val="subscript"/>
        <sz val="10"/>
        <rFont val="Arial"/>
        <family val="2"/>
      </rPr>
      <t>f</t>
    </r>
    <r>
      <rPr>
        <sz val="10"/>
        <rFont val="Arial"/>
        <family val="2"/>
      </rPr>
      <t xml:space="preserve">) = </t>
    </r>
  </si>
  <si>
    <r>
      <t xml:space="preserve">Fuel Orifice Diameter </t>
    </r>
    <r>
      <rPr>
        <sz val="10"/>
        <rFont val="Arial"/>
        <family val="2"/>
      </rPr>
      <t xml:space="preserve">= </t>
    </r>
  </si>
  <si>
    <r>
      <t>Oxidizer Orifice Area (</t>
    </r>
    <r>
      <rPr>
        <i/>
        <sz val="10"/>
        <rFont val="Arial"/>
        <family val="2"/>
      </rPr>
      <t>A</t>
    </r>
    <r>
      <rPr>
        <i/>
        <vertAlign val="subscript"/>
        <sz val="10"/>
        <rFont val="Arial"/>
        <family val="2"/>
      </rPr>
      <t>o</t>
    </r>
    <r>
      <rPr>
        <sz val="10"/>
        <rFont val="Arial"/>
        <family val="2"/>
      </rPr>
      <t xml:space="preserve">) = </t>
    </r>
  </si>
  <si>
    <t xml:space="preserve">Oxidizer Orifice Diameter = </t>
  </si>
  <si>
    <r>
      <rPr>
        <i/>
        <sz val="10"/>
        <rFont val="Arial"/>
        <family val="2"/>
      </rPr>
      <t xml:space="preserve">**Gas Only** </t>
    </r>
    <r>
      <rPr>
        <sz val="10"/>
        <rFont val="Arial"/>
        <family val="2"/>
      </rPr>
      <t xml:space="preserve">Oxidizer Molecular Mass </t>
    </r>
    <r>
      <rPr>
        <i/>
        <sz val="10"/>
        <rFont val="Arial"/>
        <family val="2"/>
      </rPr>
      <t>(M</t>
    </r>
    <r>
      <rPr>
        <i/>
        <vertAlign val="subscript"/>
        <sz val="10"/>
        <rFont val="Arial"/>
        <family val="2"/>
      </rPr>
      <t>o</t>
    </r>
    <r>
      <rPr>
        <i/>
        <sz val="10"/>
        <rFont val="Arial"/>
        <family val="2"/>
      </rPr>
      <t>)</t>
    </r>
    <r>
      <rPr>
        <sz val="10"/>
        <rFont val="Arial"/>
        <family val="2"/>
      </rPr>
      <t xml:space="preserve"> =</t>
    </r>
  </si>
  <si>
    <r>
      <rPr>
        <i/>
        <sz val="10"/>
        <rFont val="Arial"/>
        <family val="2"/>
      </rPr>
      <t>**Gas Only**</t>
    </r>
    <r>
      <rPr>
        <sz val="10"/>
        <rFont val="Arial"/>
        <family val="2"/>
      </rPr>
      <t xml:space="preserve"> Fuel Compressability Factor </t>
    </r>
    <r>
      <rPr>
        <i/>
        <sz val="10"/>
        <rFont val="Arial"/>
        <family val="2"/>
      </rPr>
      <t>(Z</t>
    </r>
    <r>
      <rPr>
        <i/>
        <vertAlign val="subscript"/>
        <sz val="10"/>
        <rFont val="Arial"/>
        <family val="2"/>
      </rPr>
      <t>f</t>
    </r>
    <r>
      <rPr>
        <i/>
        <sz val="10"/>
        <rFont val="Arial"/>
        <family val="2"/>
      </rPr>
      <t>)</t>
    </r>
    <r>
      <rPr>
        <sz val="10"/>
        <rFont val="Arial"/>
        <family val="2"/>
      </rPr>
      <t>=</t>
    </r>
  </si>
  <si>
    <r>
      <rPr>
        <i/>
        <sz val="10"/>
        <rFont val="Arial"/>
        <family val="2"/>
      </rPr>
      <t xml:space="preserve">**Gas Only** </t>
    </r>
    <r>
      <rPr>
        <sz val="10"/>
        <rFont val="Arial"/>
        <family val="2"/>
      </rPr>
      <t xml:space="preserve">OxidizerCompressability Factor </t>
    </r>
    <r>
      <rPr>
        <i/>
        <sz val="10"/>
        <rFont val="Arial"/>
        <family val="2"/>
      </rPr>
      <t>(Z</t>
    </r>
    <r>
      <rPr>
        <i/>
        <vertAlign val="subscript"/>
        <sz val="10"/>
        <rFont val="Arial"/>
        <family val="2"/>
      </rPr>
      <t>o</t>
    </r>
    <r>
      <rPr>
        <i/>
        <sz val="10"/>
        <rFont val="Arial"/>
        <family val="2"/>
      </rPr>
      <t>)</t>
    </r>
    <r>
      <rPr>
        <sz val="10"/>
        <rFont val="Arial"/>
        <family val="2"/>
      </rPr>
      <t xml:space="preserve"> =</t>
    </r>
  </si>
  <si>
    <r>
      <rPr>
        <i/>
        <sz val="10"/>
        <rFont val="Arial"/>
        <family val="2"/>
      </rPr>
      <t>**Gas Only**</t>
    </r>
    <r>
      <rPr>
        <sz val="10"/>
        <rFont val="Arial"/>
        <family val="2"/>
      </rPr>
      <t xml:space="preserve"> Fuel Temperature at Injection </t>
    </r>
    <r>
      <rPr>
        <i/>
        <sz val="10"/>
        <rFont val="Arial"/>
        <family val="2"/>
      </rPr>
      <t>(t</t>
    </r>
    <r>
      <rPr>
        <i/>
        <vertAlign val="subscript"/>
        <sz val="10"/>
        <rFont val="Arial"/>
        <family val="2"/>
      </rPr>
      <t>f</t>
    </r>
    <r>
      <rPr>
        <i/>
        <sz val="10"/>
        <rFont val="Arial"/>
        <family val="2"/>
      </rPr>
      <t>)</t>
    </r>
    <r>
      <rPr>
        <sz val="10"/>
        <rFont val="Arial"/>
        <family val="2"/>
      </rPr>
      <t xml:space="preserve"> =</t>
    </r>
  </si>
  <si>
    <r>
      <rPr>
        <i/>
        <sz val="10"/>
        <rFont val="Arial"/>
        <family val="2"/>
      </rPr>
      <t xml:space="preserve">**Gas Only** Oxidizer </t>
    </r>
    <r>
      <rPr>
        <sz val="10"/>
        <rFont val="Arial"/>
        <family val="2"/>
      </rPr>
      <t xml:space="preserve">Temperature at Injection </t>
    </r>
    <r>
      <rPr>
        <i/>
        <sz val="10"/>
        <rFont val="Arial"/>
        <family val="2"/>
      </rPr>
      <t>(t</t>
    </r>
    <r>
      <rPr>
        <i/>
        <vertAlign val="subscript"/>
        <sz val="10"/>
        <rFont val="Arial"/>
        <family val="2"/>
      </rPr>
      <t>o</t>
    </r>
    <r>
      <rPr>
        <i/>
        <sz val="10"/>
        <rFont val="Arial"/>
        <family val="2"/>
      </rPr>
      <t>)</t>
    </r>
    <r>
      <rPr>
        <sz val="10"/>
        <rFont val="Arial"/>
        <family val="2"/>
      </rPr>
      <t xml:space="preserve"> =</t>
    </r>
  </si>
  <si>
    <r>
      <t>Fuel Volumetric Flow Rate (</t>
    </r>
    <r>
      <rPr>
        <i/>
        <sz val="10"/>
        <rFont val="Arial"/>
        <family val="2"/>
      </rPr>
      <t>Q</t>
    </r>
    <r>
      <rPr>
        <i/>
        <vertAlign val="subscript"/>
        <sz val="10"/>
        <rFont val="Arial"/>
        <family val="2"/>
      </rPr>
      <t>f</t>
    </r>
    <r>
      <rPr>
        <sz val="10"/>
        <rFont val="Arial"/>
        <family val="2"/>
      </rPr>
      <t>) =</t>
    </r>
  </si>
  <si>
    <r>
      <rPr>
        <i/>
        <sz val="10"/>
        <rFont val="Arial"/>
        <family val="2"/>
      </rPr>
      <t>**SPECIAL - SEE COMMENT**</t>
    </r>
    <r>
      <rPr>
        <sz val="10"/>
        <rFont val="Arial"/>
        <family val="2"/>
      </rPr>
      <t xml:space="preserve"> Density Fuel </t>
    </r>
    <r>
      <rPr>
        <i/>
        <sz val="10"/>
        <rFont val="Arial"/>
        <family val="2"/>
      </rPr>
      <t>(ρ</t>
    </r>
    <r>
      <rPr>
        <i/>
        <vertAlign val="subscript"/>
        <sz val="10"/>
        <rFont val="Arial"/>
        <family val="2"/>
      </rPr>
      <t>f</t>
    </r>
    <r>
      <rPr>
        <i/>
        <sz val="10"/>
        <rFont val="Arial"/>
        <family val="2"/>
      </rPr>
      <t>)</t>
    </r>
    <r>
      <rPr>
        <sz val="10"/>
        <rFont val="Arial"/>
        <family val="2"/>
      </rPr>
      <t>=</t>
    </r>
  </si>
  <si>
    <r>
      <rPr>
        <i/>
        <sz val="10"/>
        <rFont val="Arial"/>
        <family val="2"/>
      </rPr>
      <t xml:space="preserve">**SPECIAL - SEE COMMENT** </t>
    </r>
    <r>
      <rPr>
        <sz val="10"/>
        <rFont val="Arial"/>
        <family val="2"/>
      </rPr>
      <t xml:space="preserve">Density Oxidizer </t>
    </r>
    <r>
      <rPr>
        <i/>
        <sz val="10"/>
        <rFont val="Arial"/>
        <family val="2"/>
      </rPr>
      <t>(ρ</t>
    </r>
    <r>
      <rPr>
        <i/>
        <vertAlign val="subscript"/>
        <sz val="10"/>
        <rFont val="Arial"/>
        <family val="2"/>
      </rPr>
      <t>o</t>
    </r>
    <r>
      <rPr>
        <i/>
        <sz val="10"/>
        <rFont val="Arial"/>
        <family val="2"/>
      </rPr>
      <t>)</t>
    </r>
    <r>
      <rPr>
        <sz val="10"/>
        <rFont val="Arial"/>
        <family val="2"/>
      </rPr>
      <t>=</t>
    </r>
  </si>
  <si>
    <t>mm</t>
  </si>
  <si>
    <r>
      <rPr>
        <vertAlign val="superscript"/>
        <sz val="10"/>
        <rFont val="Arial"/>
        <family val="2"/>
      </rPr>
      <t>o</t>
    </r>
    <r>
      <rPr>
        <sz val="10"/>
        <rFont val="Arial"/>
        <family val="2"/>
      </rPr>
      <t>R</t>
    </r>
  </si>
  <si>
    <r>
      <rPr>
        <i/>
        <vertAlign val="superscript"/>
        <sz val="10"/>
        <rFont val="Arial"/>
        <family val="2"/>
      </rPr>
      <t>o</t>
    </r>
    <r>
      <rPr>
        <i/>
        <sz val="10"/>
        <rFont val="Arial"/>
        <family val="2"/>
      </rPr>
      <t>R</t>
    </r>
  </si>
  <si>
    <r>
      <t>Btu/lb-</t>
    </r>
    <r>
      <rPr>
        <i/>
        <vertAlign val="superscript"/>
        <sz val="10"/>
        <rFont val="Arial"/>
        <family val="2"/>
      </rPr>
      <t>o</t>
    </r>
    <r>
      <rPr>
        <i/>
        <sz val="10"/>
        <rFont val="Arial"/>
        <family val="2"/>
      </rPr>
      <t>R</t>
    </r>
  </si>
  <si>
    <t>Chamber</t>
  </si>
  <si>
    <t>Throat</t>
  </si>
  <si>
    <t>Exit</t>
  </si>
  <si>
    <r>
      <t>Btu/in</t>
    </r>
    <r>
      <rPr>
        <vertAlign val="superscript"/>
        <sz val="10"/>
        <rFont val="Arial"/>
        <family val="2"/>
      </rPr>
      <t>2</t>
    </r>
    <r>
      <rPr>
        <sz val="10"/>
        <rFont val="Arial"/>
        <family val="2"/>
      </rPr>
      <t>-s-</t>
    </r>
    <r>
      <rPr>
        <vertAlign val="superscript"/>
        <sz val="10"/>
        <rFont val="Arial"/>
        <family val="2"/>
      </rPr>
      <t>o</t>
    </r>
    <r>
      <rPr>
        <sz val="10"/>
        <rFont val="Arial"/>
        <family val="2"/>
      </rPr>
      <t>R</t>
    </r>
  </si>
  <si>
    <r>
      <t>Btu/in</t>
    </r>
    <r>
      <rPr>
        <vertAlign val="superscript"/>
        <sz val="10"/>
        <rFont val="Arial"/>
        <family val="2"/>
      </rPr>
      <t>2</t>
    </r>
    <r>
      <rPr>
        <sz val="10"/>
        <rFont val="Arial"/>
        <family val="2"/>
      </rPr>
      <t>-</t>
    </r>
    <r>
      <rPr>
        <vertAlign val="superscript"/>
        <sz val="10"/>
        <rFont val="Arial"/>
        <family val="2"/>
      </rPr>
      <t>o</t>
    </r>
    <r>
      <rPr>
        <sz val="10"/>
        <rFont val="Arial"/>
        <family val="2"/>
      </rPr>
      <t>F/in</t>
    </r>
  </si>
  <si>
    <t>Btu/s</t>
  </si>
  <si>
    <r>
      <t>Coolent Velocity (V</t>
    </r>
    <r>
      <rPr>
        <i/>
        <vertAlign val="subscript"/>
        <sz val="10"/>
        <rFont val="Arial"/>
        <family val="2"/>
      </rPr>
      <t>co</t>
    </r>
    <r>
      <rPr>
        <i/>
        <sz val="10"/>
        <rFont val="Arial"/>
        <family val="2"/>
      </rPr>
      <t>) =</t>
    </r>
  </si>
  <si>
    <r>
      <t>lb/ft</t>
    </r>
    <r>
      <rPr>
        <i/>
        <vertAlign val="superscript"/>
        <sz val="10"/>
        <rFont val="Arial"/>
        <family val="2"/>
      </rPr>
      <t>3</t>
    </r>
  </si>
  <si>
    <t>ft/sec</t>
  </si>
  <si>
    <t>Constant (C1)=</t>
  </si>
  <si>
    <t>lb/in-s</t>
  </si>
  <si>
    <r>
      <t>Btu/lb-</t>
    </r>
    <r>
      <rPr>
        <i/>
        <vertAlign val="superscript"/>
        <sz val="10"/>
        <rFont val="Arial"/>
        <family val="2"/>
      </rPr>
      <t>o</t>
    </r>
    <r>
      <rPr>
        <i/>
        <sz val="10"/>
        <rFont val="Arial"/>
        <family val="2"/>
      </rPr>
      <t>F</t>
    </r>
  </si>
  <si>
    <r>
      <t>Btu/in</t>
    </r>
    <r>
      <rPr>
        <i/>
        <vertAlign val="superscript"/>
        <sz val="10"/>
        <rFont val="Arial"/>
        <family val="2"/>
      </rPr>
      <t>2</t>
    </r>
    <r>
      <rPr>
        <i/>
        <sz val="10"/>
        <rFont val="Arial"/>
        <family val="2"/>
      </rPr>
      <t>-</t>
    </r>
    <r>
      <rPr>
        <i/>
        <vertAlign val="superscript"/>
        <sz val="10"/>
        <rFont val="Arial"/>
        <family val="2"/>
      </rPr>
      <t>o</t>
    </r>
    <r>
      <rPr>
        <i/>
        <sz val="10"/>
        <rFont val="Arial"/>
        <family val="2"/>
      </rPr>
      <t>F/in</t>
    </r>
  </si>
  <si>
    <r>
      <t xml:space="preserve">Corrected Chamber Temp </t>
    </r>
    <r>
      <rPr>
        <i/>
        <sz val="10"/>
        <rFont val="Arial"/>
        <family val="2"/>
      </rPr>
      <t>(T</t>
    </r>
    <r>
      <rPr>
        <i/>
        <vertAlign val="subscript"/>
        <sz val="10"/>
        <rFont val="Arial"/>
        <family val="2"/>
      </rPr>
      <t>1</t>
    </r>
    <r>
      <rPr>
        <i/>
        <sz val="10"/>
        <rFont val="Arial"/>
        <family val="2"/>
      </rPr>
      <t>)</t>
    </r>
    <r>
      <rPr>
        <sz val="10"/>
        <rFont val="Arial"/>
        <family val="2"/>
      </rPr>
      <t xml:space="preserve"> =</t>
    </r>
  </si>
  <si>
    <r>
      <t xml:space="preserve">c* Correction Factor for Chamber Temp </t>
    </r>
    <r>
      <rPr>
        <i/>
        <sz val="10"/>
        <rFont val="Arial"/>
        <family val="2"/>
      </rPr>
      <t>(n</t>
    </r>
    <r>
      <rPr>
        <i/>
        <vertAlign val="subscript"/>
        <sz val="10"/>
        <rFont val="Arial"/>
        <family val="2"/>
      </rPr>
      <t>t</t>
    </r>
    <r>
      <rPr>
        <i/>
        <sz val="10"/>
        <rFont val="Arial"/>
        <family val="2"/>
      </rPr>
      <t>)</t>
    </r>
    <r>
      <rPr>
        <sz val="10"/>
        <rFont val="Arial"/>
        <family val="2"/>
      </rPr>
      <t>=</t>
    </r>
  </si>
  <si>
    <r>
      <rPr>
        <sz val="10"/>
        <rFont val="Arial"/>
        <family val="2"/>
      </rPr>
      <t xml:space="preserve">Prandtl Number </t>
    </r>
    <r>
      <rPr>
        <i/>
        <sz val="10"/>
        <rFont val="Arial"/>
        <family val="2"/>
      </rPr>
      <t>(Pr) =</t>
    </r>
  </si>
  <si>
    <r>
      <t>µC</t>
    </r>
    <r>
      <rPr>
        <i/>
        <vertAlign val="subscript"/>
        <sz val="10"/>
        <rFont val="Arial"/>
        <family val="2"/>
      </rPr>
      <t>p</t>
    </r>
    <r>
      <rPr>
        <i/>
        <sz val="10"/>
        <rFont val="Arial"/>
        <family val="2"/>
      </rPr>
      <t>/k</t>
    </r>
    <r>
      <rPr>
        <i/>
        <vertAlign val="subscript"/>
        <sz val="10"/>
        <rFont val="Arial"/>
        <family val="2"/>
      </rPr>
      <t>t</t>
    </r>
  </si>
  <si>
    <t>lb/in-sec</t>
  </si>
  <si>
    <r>
      <t xml:space="preserve">Local Mach Number </t>
    </r>
    <r>
      <rPr>
        <i/>
        <sz val="10"/>
        <rFont val="Arial"/>
        <family val="2"/>
      </rPr>
      <t>(M)</t>
    </r>
    <r>
      <rPr>
        <sz val="10"/>
        <rFont val="Arial"/>
        <family val="2"/>
      </rPr>
      <t xml:space="preserve"> =</t>
    </r>
  </si>
  <si>
    <r>
      <t>Gas Side Heat Transfer Coefficient (h</t>
    </r>
    <r>
      <rPr>
        <i/>
        <vertAlign val="subscript"/>
        <sz val="10"/>
        <rFont val="Arial"/>
        <family val="2"/>
      </rPr>
      <t>g</t>
    </r>
    <r>
      <rPr>
        <i/>
        <sz val="10"/>
        <rFont val="Arial"/>
        <family val="2"/>
      </rPr>
      <t>) =</t>
    </r>
  </si>
  <si>
    <r>
      <rPr>
        <sz val="10"/>
        <rFont val="Arial"/>
        <family val="2"/>
      </rPr>
      <t xml:space="preserve">Correction Factor for  property variations across the boundary layer </t>
    </r>
    <r>
      <rPr>
        <i/>
        <sz val="10"/>
        <rFont val="Arial"/>
        <family val="2"/>
      </rPr>
      <t>(σ)=</t>
    </r>
  </si>
  <si>
    <r>
      <rPr>
        <sz val="10"/>
        <rFont val="Arial"/>
        <family val="2"/>
      </rPr>
      <t>Adiabatic Wall Temperature of the gas</t>
    </r>
    <r>
      <rPr>
        <i/>
        <sz val="10"/>
        <rFont val="Arial"/>
        <family val="2"/>
      </rPr>
      <t xml:space="preserve"> (T</t>
    </r>
    <r>
      <rPr>
        <i/>
        <vertAlign val="subscript"/>
        <sz val="10"/>
        <rFont val="Arial"/>
        <family val="2"/>
      </rPr>
      <t>aw</t>
    </r>
    <r>
      <rPr>
        <i/>
        <sz val="10"/>
        <rFont val="Arial"/>
        <family val="2"/>
      </rPr>
      <t>) =</t>
    </r>
  </si>
  <si>
    <r>
      <rPr>
        <sz val="10"/>
        <rFont val="Arial"/>
        <family val="2"/>
      </rPr>
      <t>*Estimated* Effective Recovery Factor</t>
    </r>
    <r>
      <rPr>
        <i/>
        <sz val="10"/>
        <rFont val="Arial"/>
        <family val="2"/>
      </rPr>
      <t xml:space="preserve"> (R) =</t>
    </r>
  </si>
  <si>
    <r>
      <rPr>
        <sz val="10"/>
        <rFont val="Arial"/>
        <family val="2"/>
      </rPr>
      <t>Allowable Hot-gas-side local chamber wall temp</t>
    </r>
    <r>
      <rPr>
        <i/>
        <sz val="10"/>
        <rFont val="Arial"/>
        <family val="2"/>
      </rPr>
      <t xml:space="preserve"> (T</t>
    </r>
    <r>
      <rPr>
        <i/>
        <vertAlign val="subscript"/>
        <sz val="10"/>
        <rFont val="Arial"/>
        <family val="2"/>
      </rPr>
      <t>wg</t>
    </r>
    <r>
      <rPr>
        <i/>
        <sz val="10"/>
        <rFont val="Arial"/>
        <family val="2"/>
      </rPr>
      <t>) =</t>
    </r>
  </si>
  <si>
    <r>
      <rPr>
        <sz val="10"/>
        <rFont val="Arial"/>
        <family val="2"/>
      </rPr>
      <t xml:space="preserve">Thermal Conductivity of Wall Material </t>
    </r>
    <r>
      <rPr>
        <i/>
        <sz val="10"/>
        <rFont val="Arial"/>
        <family val="2"/>
      </rPr>
      <t>(k) =</t>
    </r>
  </si>
  <si>
    <r>
      <rPr>
        <sz val="10"/>
        <rFont val="Arial"/>
        <family val="2"/>
      </rPr>
      <t>Number of Tubes</t>
    </r>
    <r>
      <rPr>
        <i/>
        <sz val="10"/>
        <rFont val="Arial"/>
        <family val="2"/>
      </rPr>
      <t xml:space="preserve"> (N) =</t>
    </r>
  </si>
  <si>
    <r>
      <rPr>
        <sz val="10"/>
        <rFont val="Arial"/>
        <family val="2"/>
      </rPr>
      <t>Max Coolent Capacticy</t>
    </r>
    <r>
      <rPr>
        <i/>
        <sz val="10"/>
        <rFont val="Arial"/>
        <family val="2"/>
      </rPr>
      <t xml:space="preserve"> (Qmax) =</t>
    </r>
  </si>
  <si>
    <r>
      <rPr>
        <sz val="10"/>
        <rFont val="Arial"/>
        <family val="2"/>
      </rPr>
      <t>Acutal Heat Transferred to the Coolent Capacticy</t>
    </r>
    <r>
      <rPr>
        <i/>
        <sz val="10"/>
        <rFont val="Arial"/>
        <family val="2"/>
      </rPr>
      <t xml:space="preserve"> (Q</t>
    </r>
    <r>
      <rPr>
        <i/>
        <vertAlign val="subscript"/>
        <sz val="10"/>
        <rFont val="Arial"/>
        <family val="2"/>
      </rPr>
      <t>actual</t>
    </r>
    <r>
      <rPr>
        <i/>
        <sz val="10"/>
        <rFont val="Arial"/>
        <family val="2"/>
      </rPr>
      <t>) =</t>
    </r>
  </si>
  <si>
    <r>
      <t>Bulk Temperature increase of Coolent after passing through the cooling jacket (T</t>
    </r>
    <r>
      <rPr>
        <vertAlign val="subscript"/>
        <sz val="10"/>
        <rFont val="Arial"/>
        <family val="2"/>
      </rPr>
      <t>increase</t>
    </r>
    <r>
      <rPr>
        <sz val="10"/>
        <rFont val="Arial"/>
        <family val="2"/>
      </rPr>
      <t>) =</t>
    </r>
  </si>
  <si>
    <t>*Actual* Characteristic Velocity (c*) =</t>
  </si>
  <si>
    <t>C*-Efficiency =</t>
  </si>
  <si>
    <r>
      <rPr>
        <sz val="10"/>
        <rFont val="Arial"/>
        <family val="2"/>
      </rPr>
      <t xml:space="preserve">Coolent Wall Temp </t>
    </r>
    <r>
      <rPr>
        <i/>
        <sz val="10"/>
        <rFont val="Arial"/>
        <family val="2"/>
      </rPr>
      <t>(T</t>
    </r>
    <r>
      <rPr>
        <i/>
        <vertAlign val="subscript"/>
        <sz val="10"/>
        <rFont val="Arial"/>
        <family val="2"/>
      </rPr>
      <t>wc</t>
    </r>
    <r>
      <rPr>
        <i/>
        <sz val="10"/>
        <rFont val="Arial"/>
        <family val="2"/>
      </rPr>
      <t>) =</t>
    </r>
  </si>
  <si>
    <r>
      <t>Gas Constant (</t>
    </r>
    <r>
      <rPr>
        <i/>
        <sz val="10"/>
        <rFont val="Arial"/>
        <family val="2"/>
      </rPr>
      <t>R</t>
    </r>
    <r>
      <rPr>
        <sz val="10"/>
        <rFont val="Arial"/>
        <family val="2"/>
      </rPr>
      <t xml:space="preserve">) </t>
    </r>
    <r>
      <rPr>
        <sz val="10"/>
        <rFont val="Arial"/>
        <family val="2"/>
      </rPr>
      <t>=</t>
    </r>
  </si>
  <si>
    <r>
      <rPr>
        <sz val="10"/>
        <rFont val="Arial"/>
        <family val="2"/>
      </rPr>
      <t xml:space="preserve">Coolent tubes distance (thickness) from chamber wall </t>
    </r>
    <r>
      <rPr>
        <i/>
        <sz val="10"/>
        <rFont val="Arial"/>
        <family val="2"/>
      </rPr>
      <t>(t) =</t>
    </r>
  </si>
  <si>
    <t>Molecular Mass of Propellant Mixture (M) =</t>
  </si>
  <si>
    <r>
      <rPr>
        <sz val="10"/>
        <rFont val="Arial"/>
        <family val="2"/>
      </rPr>
      <t xml:space="preserve">*Calculated* Gas Viscosity </t>
    </r>
    <r>
      <rPr>
        <i/>
        <sz val="10"/>
        <rFont val="Arial"/>
        <family val="2"/>
      </rPr>
      <t>(µ) =</t>
    </r>
  </si>
  <si>
    <t>Gas Side Wall Temp / Corrected Chamber Temp Ratio =</t>
  </si>
  <si>
    <r>
      <t>in</t>
    </r>
    <r>
      <rPr>
        <i/>
        <vertAlign val="superscript"/>
        <sz val="10"/>
        <rFont val="Arial"/>
        <family val="2"/>
      </rPr>
      <t>2</t>
    </r>
  </si>
  <si>
    <t>Combustion Chamber Surface Area =</t>
  </si>
  <si>
    <r>
      <rPr>
        <sz val="10"/>
        <rFont val="Arial"/>
        <family val="2"/>
      </rPr>
      <t xml:space="preserve">Coolent Side Heat Transfer Coefficent </t>
    </r>
    <r>
      <rPr>
        <i/>
        <sz val="10"/>
        <rFont val="Arial"/>
        <family val="2"/>
      </rPr>
      <t>(h</t>
    </r>
    <r>
      <rPr>
        <i/>
        <vertAlign val="subscript"/>
        <sz val="10"/>
        <rFont val="Arial"/>
        <family val="2"/>
      </rPr>
      <t>c</t>
    </r>
    <r>
      <rPr>
        <i/>
        <sz val="10"/>
        <rFont val="Arial"/>
        <family val="2"/>
      </rPr>
      <t>)=</t>
    </r>
  </si>
  <si>
    <r>
      <rPr>
        <i/>
        <vertAlign val="superscript"/>
        <sz val="10"/>
        <rFont val="Arial"/>
        <family val="2"/>
      </rPr>
      <t>o</t>
    </r>
    <r>
      <rPr>
        <i/>
        <sz val="10"/>
        <rFont val="Arial"/>
        <family val="2"/>
      </rPr>
      <t>K</t>
    </r>
  </si>
  <si>
    <r>
      <t>Coolent Temp after leaving the cooling jacket (T</t>
    </r>
    <r>
      <rPr>
        <vertAlign val="subscript"/>
        <sz val="10"/>
        <rFont val="Arial"/>
        <family val="2"/>
      </rPr>
      <t>exit</t>
    </r>
    <r>
      <rPr>
        <sz val="10"/>
        <rFont val="Arial"/>
        <family val="2"/>
      </rPr>
      <t>) =</t>
    </r>
  </si>
  <si>
    <r>
      <rPr>
        <sz val="10"/>
        <rFont val="Arial"/>
        <family val="2"/>
      </rPr>
      <t xml:space="preserve">Coolent Temp Entering Coolent Jacket </t>
    </r>
    <r>
      <rPr>
        <i/>
        <sz val="10"/>
        <rFont val="Arial"/>
        <family val="2"/>
      </rPr>
      <t>(T</t>
    </r>
    <r>
      <rPr>
        <i/>
        <vertAlign val="subscript"/>
        <sz val="10"/>
        <rFont val="Arial"/>
        <family val="2"/>
      </rPr>
      <t>co</t>
    </r>
    <r>
      <rPr>
        <i/>
        <sz val="10"/>
        <rFont val="Arial"/>
        <family val="2"/>
      </rPr>
      <t>) =</t>
    </r>
  </si>
  <si>
    <r>
      <t>Fuel/Oxidizer Specific Heat Ratio (</t>
    </r>
    <r>
      <rPr>
        <i/>
        <u/>
        <sz val="10"/>
        <color indexed="12"/>
        <rFont val="Arial"/>
        <family val="2"/>
      </rPr>
      <t>k</t>
    </r>
    <r>
      <rPr>
        <u/>
        <sz val="10"/>
        <color indexed="12"/>
        <rFont val="Arial"/>
        <family val="2"/>
      </rPr>
      <t xml:space="preserve">) </t>
    </r>
  </si>
  <si>
    <r>
      <t>Chamber Temperature (</t>
    </r>
    <r>
      <rPr>
        <i/>
        <sz val="10"/>
        <rFont val="Arial"/>
        <family val="2"/>
      </rPr>
      <t>T</t>
    </r>
    <r>
      <rPr>
        <i/>
        <vertAlign val="subscript"/>
        <sz val="10"/>
        <rFont val="Arial"/>
        <family val="2"/>
      </rPr>
      <t>1</t>
    </r>
    <r>
      <rPr>
        <sz val="10"/>
        <rFont val="Arial"/>
        <family val="2"/>
      </rPr>
      <t xml:space="preserve">) = </t>
    </r>
  </si>
  <si>
    <r>
      <t>Nozzle Inlet/Chamber Pressure (</t>
    </r>
    <r>
      <rPr>
        <i/>
        <sz val="10"/>
        <rFont val="Arial"/>
        <family val="2"/>
      </rPr>
      <t>p</t>
    </r>
    <r>
      <rPr>
        <i/>
        <vertAlign val="subscript"/>
        <sz val="10"/>
        <rFont val="Arial"/>
        <family val="2"/>
      </rPr>
      <t>1</t>
    </r>
    <r>
      <rPr>
        <sz val="10"/>
        <rFont val="Arial"/>
        <family val="2"/>
      </rPr>
      <t xml:space="preserve">) = </t>
    </r>
  </si>
  <si>
    <r>
      <t>Nozzle Area Ratio (</t>
    </r>
    <r>
      <rPr>
        <i/>
        <sz val="10"/>
        <rFont val="Arial"/>
        <family val="2"/>
      </rPr>
      <t>A</t>
    </r>
    <r>
      <rPr>
        <i/>
        <vertAlign val="subscript"/>
        <sz val="10"/>
        <rFont val="Arial"/>
        <family val="2"/>
      </rPr>
      <t>t</t>
    </r>
    <r>
      <rPr>
        <i/>
        <sz val="10"/>
        <rFont val="Arial"/>
        <family val="2"/>
      </rPr>
      <t>/A</t>
    </r>
    <r>
      <rPr>
        <i/>
        <vertAlign val="subscript"/>
        <sz val="10"/>
        <rFont val="Arial"/>
        <family val="2"/>
      </rPr>
      <t>2</t>
    </r>
    <r>
      <rPr>
        <sz val="10"/>
        <rFont val="Arial"/>
        <family val="2"/>
      </rPr>
      <t xml:space="preserve">) = </t>
    </r>
  </si>
  <si>
    <t xml:space="preserve">Nozzle Throat Area = </t>
  </si>
  <si>
    <t xml:space="preserve">Nozzle Throat Diameter = </t>
  </si>
  <si>
    <r>
      <t>Propellent Mass Flow Rate Fuel (</t>
    </r>
    <r>
      <rPr>
        <i/>
        <sz val="10"/>
        <rFont val="Arial"/>
        <family val="2"/>
      </rPr>
      <t>m</t>
    </r>
    <r>
      <rPr>
        <i/>
        <vertAlign val="subscript"/>
        <sz val="10"/>
        <rFont val="Arial"/>
        <family val="2"/>
      </rPr>
      <t>f</t>
    </r>
    <r>
      <rPr>
        <sz val="10"/>
        <rFont val="Arial"/>
        <family val="2"/>
      </rPr>
      <t xml:space="preserve">) = </t>
    </r>
  </si>
  <si>
    <r>
      <rPr>
        <b/>
        <sz val="10"/>
        <rFont val="Arial"/>
        <family val="2"/>
      </rPr>
      <t xml:space="preserve">Instructions: </t>
    </r>
    <r>
      <rPr>
        <sz val="10"/>
        <rFont val="Arial"/>
        <family val="2"/>
      </rPr>
      <t xml:space="preserve">This advanced equation takes a number of bipropellant liquid engine inputs and models a variety of outputs  including: velocity, altitude, acceleration, nozzle dimensions, and heat-transfer. All input data should be filled in the yellow boxes. Anything in grey will be calculated automatically and green values are key outputs also calculated automatically. The charts will also update automatically. </t>
    </r>
    <r>
      <rPr>
        <i/>
        <sz val="10"/>
        <rFont val="Arial"/>
        <family val="2"/>
      </rPr>
      <t>Note that thermal conductivity calculations do not consider carbon deposits or nucleate boiling</t>
    </r>
  </si>
  <si>
    <t>*Estimated* Characteristic Velocity (c*) =</t>
  </si>
  <si>
    <t>y-tube-top-upper</t>
  </si>
  <si>
    <t>y-tube-top-lower</t>
  </si>
  <si>
    <t>y-tube-bottom-upper</t>
  </si>
  <si>
    <t>y-tube-bottom-lower</t>
  </si>
  <si>
    <r>
      <t>Specific Heat of Gas (C</t>
    </r>
    <r>
      <rPr>
        <vertAlign val="subscript"/>
        <sz val="10"/>
        <rFont val="Arial"/>
        <family val="2"/>
      </rPr>
      <t>p</t>
    </r>
    <r>
      <rPr>
        <sz val="10"/>
        <rFont val="Arial"/>
        <family val="2"/>
      </rPr>
      <t xml:space="preserve">)= </t>
    </r>
  </si>
  <si>
    <r>
      <t>Oxidizer Volumetric Flow Rate (</t>
    </r>
    <r>
      <rPr>
        <i/>
        <sz val="10"/>
        <rFont val="Arial"/>
        <family val="2"/>
      </rPr>
      <t>Q</t>
    </r>
    <r>
      <rPr>
        <i/>
        <vertAlign val="subscript"/>
        <sz val="10"/>
        <rFont val="Arial"/>
        <family val="2"/>
      </rPr>
      <t>o</t>
    </r>
    <r>
      <rPr>
        <sz val="10"/>
        <rFont val="Arial"/>
        <family val="2"/>
      </rPr>
      <t>) =</t>
    </r>
  </si>
  <si>
    <t>Gas Side Heat Transfer (eg. heat flux) (q) =</t>
  </si>
  <si>
    <r>
      <t xml:space="preserve">Gas Side Heat Transfer (eg. heat flux) </t>
    </r>
    <r>
      <rPr>
        <i/>
        <sz val="10"/>
        <rFont val="Arial"/>
        <family val="2"/>
      </rPr>
      <t>(q)</t>
    </r>
    <r>
      <rPr>
        <sz val="10"/>
        <rFont val="Arial"/>
        <family val="2"/>
      </rPr>
      <t xml:space="preserve"> =</t>
    </r>
  </si>
  <si>
    <r>
      <rPr>
        <sz val="10"/>
        <rFont val="Arial"/>
        <family val="2"/>
      </rPr>
      <t xml:space="preserve">*Experimental* Coolant Viscosity at bulk temp </t>
    </r>
    <r>
      <rPr>
        <i/>
        <sz val="10"/>
        <rFont val="Arial"/>
        <family val="2"/>
      </rPr>
      <t>(µ) =</t>
    </r>
  </si>
  <si>
    <r>
      <rPr>
        <sz val="10"/>
        <rFont val="Arial"/>
        <family val="2"/>
      </rPr>
      <t>*Experimental * Coolant Viscosity at sidewall temp</t>
    </r>
    <r>
      <rPr>
        <i/>
        <sz val="10"/>
        <rFont val="Arial"/>
        <family val="2"/>
      </rPr>
      <t xml:space="preserve"> (µ</t>
    </r>
    <r>
      <rPr>
        <i/>
        <vertAlign val="subscript"/>
        <sz val="10"/>
        <rFont val="Arial"/>
        <family val="2"/>
      </rPr>
      <t>w</t>
    </r>
    <r>
      <rPr>
        <i/>
        <sz val="10"/>
        <rFont val="Arial"/>
        <family val="2"/>
      </rPr>
      <t>) =</t>
    </r>
  </si>
  <si>
    <r>
      <rPr>
        <sz val="10"/>
        <rFont val="Arial"/>
        <family val="2"/>
      </rPr>
      <t xml:space="preserve">*Experimental* Coolant Specific Heat </t>
    </r>
    <r>
      <rPr>
        <i/>
        <sz val="10"/>
        <rFont val="Arial"/>
        <family val="2"/>
      </rPr>
      <t>(C</t>
    </r>
    <r>
      <rPr>
        <i/>
        <vertAlign val="subscript"/>
        <sz val="10"/>
        <rFont val="Arial"/>
        <family val="2"/>
      </rPr>
      <t>cp</t>
    </r>
    <r>
      <rPr>
        <i/>
        <sz val="10"/>
        <rFont val="Arial"/>
        <family val="2"/>
      </rPr>
      <t>) =</t>
    </r>
  </si>
  <si>
    <r>
      <rPr>
        <sz val="10"/>
        <rFont val="Arial"/>
        <family val="2"/>
      </rPr>
      <t>*Experimental* Coolant Thermal Conductivity</t>
    </r>
    <r>
      <rPr>
        <i/>
        <sz val="10"/>
        <rFont val="Arial"/>
        <family val="2"/>
      </rPr>
      <t xml:space="preserve"> (k) =</t>
    </r>
  </si>
  <si>
    <r>
      <rPr>
        <sz val="10"/>
        <rFont val="Arial"/>
        <family val="2"/>
      </rPr>
      <t>Density of Coolant</t>
    </r>
    <r>
      <rPr>
        <i/>
        <sz val="10"/>
        <rFont val="Arial"/>
        <family val="2"/>
      </rPr>
      <t xml:space="preserve"> (ρ) =</t>
    </r>
  </si>
  <si>
    <r>
      <rPr>
        <sz val="10"/>
        <rFont val="Arial"/>
        <family val="2"/>
      </rPr>
      <t>Coolant Critical Temperature</t>
    </r>
    <r>
      <rPr>
        <i/>
        <sz val="10"/>
        <rFont val="Arial"/>
        <family val="2"/>
      </rPr>
      <t xml:space="preserve"> (T</t>
    </r>
    <r>
      <rPr>
        <i/>
        <vertAlign val="subscript"/>
        <sz val="10"/>
        <rFont val="Arial"/>
        <family val="2"/>
      </rPr>
      <t>cc</t>
    </r>
    <r>
      <rPr>
        <i/>
        <sz val="10"/>
        <rFont val="Arial"/>
        <family val="2"/>
      </rPr>
      <t>) =</t>
    </r>
  </si>
  <si>
    <t>num segments</t>
  </si>
  <si>
    <t>theta</t>
  </si>
  <si>
    <t>arc length</t>
  </si>
  <si>
    <t>circumfrence</t>
  </si>
  <si>
    <t>diameter of circle</t>
  </si>
  <si>
    <t>nozzle diameter</t>
  </si>
  <si>
    <t xml:space="preserve">perimeter (C) </t>
  </si>
  <si>
    <t>number of tubes (n)</t>
  </si>
  <si>
    <t>width of deformed tube (w)</t>
  </si>
  <si>
    <t>diameter of undeformed tube (d)</t>
  </si>
  <si>
    <t>perimeter of tube (p). Presumably un-deformed</t>
  </si>
  <si>
    <t>height of deformed tube (h)</t>
  </si>
  <si>
    <t>d-h</t>
  </si>
  <si>
    <t>channel length</t>
  </si>
  <si>
    <t>num vertices</t>
  </si>
  <si>
    <t>vertice length</t>
  </si>
  <si>
    <t>multiplier</t>
  </si>
  <si>
    <t>injector face</t>
  </si>
  <si>
    <t>Center (Flame) Hole Thread Size</t>
  </si>
  <si>
    <t>1/2-20</t>
  </si>
  <si>
    <t>Oxidizer Injector # of Holes</t>
  </si>
  <si>
    <t xml:space="preserve">Oxidizer in-line Fitting </t>
  </si>
  <si>
    <t>overall radius =</t>
  </si>
  <si>
    <t>Center (Flame) Hole radius</t>
  </si>
  <si>
    <t>Oxidizer injector Total Diameter (of all holes)</t>
  </si>
  <si>
    <t>Fuel Injector # of Holes</t>
  </si>
  <si>
    <t>Fuel injector Total Diameter (of all holes)</t>
  </si>
  <si>
    <t>kW</t>
  </si>
  <si>
    <r>
      <t>kW/m</t>
    </r>
    <r>
      <rPr>
        <vertAlign val="superscript"/>
        <sz val="10"/>
        <rFont val="Arial"/>
        <family val="2"/>
      </rPr>
      <t>2</t>
    </r>
    <r>
      <rPr>
        <sz val="10"/>
        <rFont val="Arial"/>
        <family val="2"/>
      </rPr>
      <t>-K</t>
    </r>
  </si>
  <si>
    <r>
      <rPr>
        <sz val="10"/>
        <rFont val="Arial"/>
        <family val="2"/>
      </rPr>
      <t>Coolent Tube Area</t>
    </r>
    <r>
      <rPr>
        <i/>
        <sz val="10"/>
        <rFont val="Arial"/>
        <family val="2"/>
      </rPr>
      <t xml:space="preserve"> (a) =</t>
    </r>
  </si>
  <si>
    <t>W/m/K</t>
  </si>
  <si>
    <t>circle</t>
  </si>
  <si>
    <t>square</t>
  </si>
  <si>
    <t>Coolant Tube Diameter Derived from Sieder Tate (d)</t>
  </si>
  <si>
    <r>
      <t>mm</t>
    </r>
    <r>
      <rPr>
        <i/>
        <vertAlign val="superscript"/>
        <sz val="10"/>
        <rFont val="Arial"/>
        <family val="2"/>
      </rPr>
      <t>2</t>
    </r>
  </si>
  <si>
    <r>
      <t>Btu/in</t>
    </r>
    <r>
      <rPr>
        <vertAlign val="superscript"/>
        <sz val="10"/>
        <rFont val="Arial"/>
        <family val="2"/>
      </rPr>
      <t>2</t>
    </r>
    <r>
      <rPr>
        <sz val="10"/>
        <rFont val="Arial"/>
        <family val="2"/>
      </rPr>
      <t>-s</t>
    </r>
  </si>
  <si>
    <r>
      <t>kW/m</t>
    </r>
    <r>
      <rPr>
        <vertAlign val="superscript"/>
        <sz val="10"/>
        <rFont val="Arial"/>
        <family val="2"/>
      </rPr>
      <t>2</t>
    </r>
  </si>
  <si>
    <t>1 Btu/ft2 h = 3.1525 W/m2</t>
  </si>
  <si>
    <t>Btu/ft2 sec</t>
  </si>
  <si>
    <t>Btu/in2 sec</t>
  </si>
  <si>
    <t>W/m^2</t>
  </si>
  <si>
    <t>kW/m^2</t>
  </si>
  <si>
    <t xml:space="preserve">  kJ/(kg·K)</t>
  </si>
  <si>
    <t>kg/(m·sec)</t>
  </si>
  <si>
    <t>Thermal Conductivity of the Gas (k) =</t>
  </si>
  <si>
    <t>W/(m·K)</t>
  </si>
  <si>
    <t>Oxidizer Injection Location (distance from center)</t>
  </si>
  <si>
    <t>Oxidizer in-line Location (distance from center)</t>
  </si>
  <si>
    <t>mm (where applicable)</t>
  </si>
  <si>
    <t>Fuel Injection Location (distance from center)</t>
  </si>
  <si>
    <t>Outer radius of engine chamber =</t>
  </si>
  <si>
    <t>Oxidizer in-line Fitting Thread Radius</t>
  </si>
  <si>
    <t>Oxidizer Impingement Angle</t>
  </si>
  <si>
    <t>Oxidizer injector impingement distance from bottom of injector</t>
  </si>
  <si>
    <t>Fuel Impingement Angle</t>
  </si>
  <si>
    <t>Fuel injector impingement distance from bottom of injector</t>
  </si>
  <si>
    <t>Fuel in-line Location (distance from center)</t>
  </si>
  <si>
    <t>Fuel in-line Fitting</t>
  </si>
  <si>
    <t>fuel in-line Fitting Thread Radius</t>
  </si>
  <si>
    <t>1/8 NPT F</t>
  </si>
  <si>
    <t>inches (R drill)</t>
  </si>
  <si>
    <t>Location of O-ring Outter(distance from center) =</t>
  </si>
  <si>
    <t>Location of O-ring Inner (distance from center) =</t>
  </si>
  <si>
    <t>Igniter/Engine O-Ring Seal Type =</t>
  </si>
  <si>
    <t>Location of Injector Fastening Bolts (distance from center) =</t>
  </si>
  <si>
    <t>Fastening Bolts Thread =</t>
  </si>
  <si>
    <t>Fastening Bolts Thread Radius =</t>
  </si>
  <si>
    <t>Fuel Injector hole Radius(Per Hole as Fabricated)</t>
  </si>
  <si>
    <t>Fuel Injector Hole Radius (Per Hole Needed)</t>
  </si>
  <si>
    <t>Oxidize Injector Hole Radius (Per Hole)</t>
  </si>
  <si>
    <t xml:space="preserve"> 1 11/16" 1 7/8"</t>
  </si>
  <si>
    <t xml:space="preserve">McMaster #9464K131 </t>
  </si>
  <si>
    <t>kJ/(kg·K)</t>
  </si>
  <si>
    <t>pos</t>
  </si>
  <si>
    <t>time</t>
  </si>
  <si>
    <t>inches (4-40 set screw thread)</t>
  </si>
  <si>
    <t>psia</t>
  </si>
  <si>
    <r>
      <t>Fuel Coefficient of Discharge (</t>
    </r>
    <r>
      <rPr>
        <i/>
        <sz val="10"/>
        <rFont val="Arial"/>
        <family val="2"/>
      </rPr>
      <t>C</t>
    </r>
    <r>
      <rPr>
        <i/>
        <vertAlign val="subscript"/>
        <sz val="10"/>
        <rFont val="Arial"/>
        <family val="2"/>
      </rPr>
      <t>d</t>
    </r>
    <r>
      <rPr>
        <sz val="10"/>
        <rFont val="Arial"/>
        <family val="2"/>
      </rPr>
      <t xml:space="preserve">) = </t>
    </r>
  </si>
  <si>
    <r>
      <t>Oxidizer Coefficient of Discharge (</t>
    </r>
    <r>
      <rPr>
        <i/>
        <sz val="10"/>
        <rFont val="Arial"/>
        <family val="2"/>
      </rPr>
      <t>C</t>
    </r>
    <r>
      <rPr>
        <i/>
        <vertAlign val="subscript"/>
        <sz val="10"/>
        <rFont val="Arial"/>
        <family val="2"/>
      </rPr>
      <t>d</t>
    </r>
    <r>
      <rPr>
        <sz val="10"/>
        <rFont val="Arial"/>
        <family val="2"/>
      </rPr>
      <t xml:space="preserve">) = </t>
    </r>
  </si>
  <si>
    <t>Engine Cap Dimmensions</t>
  </si>
  <si>
    <t>Engine Dimensions</t>
  </si>
  <si>
    <t>Engine Orifice Locations =</t>
  </si>
  <si>
    <t>inches (where applicable)</t>
  </si>
  <si>
    <t>Throat Start Position =</t>
  </si>
  <si>
    <t>Exit Angle =</t>
  </si>
  <si>
    <t>Fuel Line In Location =</t>
  </si>
  <si>
    <t>Throat Start Radius Internal =</t>
  </si>
  <si>
    <t>Throat Start Radius External =</t>
  </si>
  <si>
    <t>Throat End Position =</t>
  </si>
  <si>
    <t>Chamber Convergence Angle =</t>
  </si>
  <si>
    <t xml:space="preserve">Chamber Convergence Position = </t>
  </si>
  <si>
    <t>Chamber Top Position =</t>
  </si>
  <si>
    <t>Fuel Line Out Location =</t>
  </si>
  <si>
    <t>O-ring width</t>
  </si>
  <si>
    <t>Center (Flame) Hole height (to match igniter thread depth)</t>
  </si>
  <si>
    <t>Depth</t>
  </si>
  <si>
    <t>1/8-27 NPT Tap Body</t>
  </si>
  <si>
    <t>Bounding Wall =</t>
  </si>
  <si>
    <t>Taper Depth =</t>
  </si>
  <si>
    <t>taper start radius =</t>
  </si>
  <si>
    <t>taper scale factor =</t>
  </si>
  <si>
    <t>Number of Tubes =</t>
  </si>
  <si>
    <t>Exit Radius External =</t>
  </si>
  <si>
    <t>Exit Radius Internal =</t>
  </si>
  <si>
    <t>Chamber Convergence Radius Internal =</t>
  </si>
  <si>
    <t>Chamber Convergence Radius External =</t>
  </si>
  <si>
    <t>Exit Chanel Position =</t>
  </si>
  <si>
    <t>Exit Chanel location from center =</t>
  </si>
  <si>
    <t>Throat Start Tube location from center =</t>
  </si>
  <si>
    <t>Exit Chanel length =</t>
  </si>
  <si>
    <t>Chamber Convergence Chanel Length =</t>
  </si>
  <si>
    <t>Fuel line radius</t>
  </si>
  <si>
    <t>fuel line in distance from center =</t>
  </si>
  <si>
    <t>fuel line out distance from center =</t>
  </si>
  <si>
    <t>Hole Radius</t>
  </si>
  <si>
    <t>Hole Depth =</t>
  </si>
  <si>
    <t>Inside Width</t>
  </si>
  <si>
    <t>Outside Width</t>
  </si>
  <si>
    <t>Total Length</t>
  </si>
  <si>
    <t>Inside Length</t>
  </si>
  <si>
    <t>Bracket center point height from base =</t>
  </si>
  <si>
    <t>Bracket distance from center =</t>
  </si>
  <si>
    <t>Hole Location 2 (z) =</t>
  </si>
  <si>
    <t>Hole Location 3 (z) =</t>
  </si>
  <si>
    <t>Hole Location 3 (y) =</t>
  </si>
  <si>
    <t>Hole Location 2 (y) =</t>
  </si>
  <si>
    <t>Hole Location 1 (y) =</t>
  </si>
  <si>
    <t>Hole Location 1 (z) =</t>
  </si>
  <si>
    <t>Holding Bracket (top)</t>
  </si>
  <si>
    <t>Holding Bracket (bottom)</t>
  </si>
  <si>
    <t>W=</t>
  </si>
  <si>
    <t>L=</t>
  </si>
  <si>
    <t>Screw Hole z2 =</t>
  </si>
  <si>
    <t>Screw Hole z1 =</t>
  </si>
  <si>
    <t>Screw Hole y (+/-) =</t>
  </si>
  <si>
    <t>Screw Hole Thread radius =</t>
  </si>
  <si>
    <t>Screw Hole Perimiter (R*2) =</t>
  </si>
  <si>
    <t>Total Length =</t>
  </si>
  <si>
    <t>Total Width =</t>
  </si>
  <si>
    <t>Total Depth =</t>
  </si>
  <si>
    <t>Chamber Pressure location =</t>
  </si>
  <si>
    <t>Check Valve</t>
  </si>
  <si>
    <t>Pressure Regulator</t>
  </si>
  <si>
    <t>Pressure Gage Sensor</t>
  </si>
  <si>
    <t>Solenoid Valve 1/4" F NPT both ends</t>
  </si>
  <si>
    <t>Ball Valve</t>
  </si>
  <si>
    <t>Rupture Disc (Prevents Overpressurization)</t>
  </si>
  <si>
    <t>Nozzle Atomozier</t>
  </si>
  <si>
    <t>Tee Connect</t>
  </si>
  <si>
    <t>Female Connector</t>
  </si>
  <si>
    <t>Male Connector</t>
  </si>
  <si>
    <t xml:space="preserve">Pin Valve </t>
  </si>
  <si>
    <t>ASA (Air Source Adapter) 1/8" NPT Female</t>
  </si>
  <si>
    <t>1/8" Flexible Stainless Steel Tubing Male/Male</t>
  </si>
  <si>
    <t>Compression Fitting</t>
  </si>
  <si>
    <t>5/18-18 UNF O Ring Seal Male to AN 6 Male to 1/8 NPT Male</t>
  </si>
  <si>
    <t>Ninja Male/Female 1/8" NPT Quick Connect/Disconnect.</t>
  </si>
  <si>
    <t>1/8" OD Copper Tubing</t>
  </si>
  <si>
    <t>1/8" NPT F, High-Pressure Brass Inline Strainer 9802K5</t>
  </si>
  <si>
    <t>1/4" NPT M Quarter Turn Plug Valve</t>
  </si>
  <si>
    <t>Male Male Nipple NPT</t>
  </si>
  <si>
    <t>1/4-28</t>
  </si>
  <si>
    <t>length</t>
  </si>
  <si>
    <t>eaa</t>
  </si>
  <si>
    <t>secion 1</t>
  </si>
  <si>
    <t>section 2</t>
  </si>
  <si>
    <t>section 3</t>
  </si>
  <si>
    <t>start</t>
  </si>
  <si>
    <t>mid</t>
  </si>
  <si>
    <t>hole location</t>
  </si>
  <si>
    <t>a</t>
  </si>
  <si>
    <t>Chamber Convergence Chanel Start location from center =</t>
  </si>
  <si>
    <t>Chamber Convergence Chanel End location from center =</t>
  </si>
  <si>
    <t>Chamber Convergence Chanel Start Height =</t>
  </si>
  <si>
    <t>Chamber Convergence Chanel End Height =</t>
  </si>
  <si>
    <t>Chamber Convergence End location from center (2) =</t>
  </si>
  <si>
    <r>
      <rPr>
        <i/>
        <sz val="10"/>
        <rFont val="Arial"/>
        <family val="2"/>
      </rPr>
      <t>**Gas Only**</t>
    </r>
    <r>
      <rPr>
        <sz val="10"/>
        <rFont val="Arial"/>
        <family val="2"/>
      </rPr>
      <t xml:space="preserve"> Fuel Choked Flow Critical Value</t>
    </r>
    <r>
      <rPr>
        <i/>
        <sz val="10"/>
        <rFont val="Arial"/>
        <family val="2"/>
      </rPr>
      <t>(p*)</t>
    </r>
    <r>
      <rPr>
        <sz val="10"/>
        <rFont val="Arial"/>
        <family val="2"/>
      </rPr>
      <t>=</t>
    </r>
  </si>
  <si>
    <r>
      <t>*p</t>
    </r>
    <r>
      <rPr>
        <i/>
        <vertAlign val="subscript"/>
        <sz val="10"/>
        <rFont val="Arial"/>
        <family val="2"/>
      </rPr>
      <t>1</t>
    </r>
  </si>
  <si>
    <r>
      <rPr>
        <i/>
        <sz val="10"/>
        <rFont val="Arial"/>
        <family val="2"/>
      </rPr>
      <t>**Gas Only**</t>
    </r>
    <r>
      <rPr>
        <sz val="10"/>
        <rFont val="Arial"/>
        <family val="2"/>
      </rPr>
      <t xml:space="preserve"> Oxidizer Choked Flow Critical Value</t>
    </r>
    <r>
      <rPr>
        <i/>
        <sz val="10"/>
        <rFont val="Arial"/>
        <family val="2"/>
      </rPr>
      <t>(p*)</t>
    </r>
    <r>
      <rPr>
        <sz val="10"/>
        <rFont val="Arial"/>
        <family val="2"/>
      </rPr>
      <t>=</t>
    </r>
  </si>
  <si>
    <t>**Gas Only** Fuel Minimum Choked Flow psia =</t>
  </si>
  <si>
    <t>**Gas Only** Oxidizer Minimum Choked Flow psia =</t>
  </si>
  <si>
    <r>
      <rPr>
        <i/>
        <sz val="10"/>
        <rFont val="Arial"/>
        <family val="2"/>
      </rPr>
      <t>**Gas Only**</t>
    </r>
    <r>
      <rPr>
        <sz val="10"/>
        <rFont val="Arial"/>
        <family val="2"/>
      </rPr>
      <t xml:space="preserve"> Fuel is Flow Choked? =</t>
    </r>
  </si>
  <si>
    <r>
      <rPr>
        <i/>
        <sz val="10"/>
        <rFont val="Arial"/>
        <family val="2"/>
      </rPr>
      <t>**Gas Only**</t>
    </r>
    <r>
      <rPr>
        <sz val="10"/>
        <rFont val="Arial"/>
        <family val="2"/>
      </rPr>
      <t xml:space="preserve"> Oxidizer is Flow Choked? =</t>
    </r>
  </si>
  <si>
    <t>Hole Depth</t>
  </si>
  <si>
    <t>3D Design Hole Diameter (6-40) =</t>
  </si>
  <si>
    <t>3D Hole Outer Shell Diameter</t>
  </si>
  <si>
    <t>3D Hole Distance From Center Exit</t>
  </si>
  <si>
    <t>3D Hole Outer Shell Distance From Center Exit</t>
  </si>
  <si>
    <t>Hole Depth 'Z' height</t>
  </si>
  <si>
    <t>Hole Depth 'Y' position</t>
  </si>
  <si>
    <t>Access Holes</t>
  </si>
  <si>
    <t>3D Hole Distance From Center Top</t>
  </si>
  <si>
    <t>mm'</t>
  </si>
  <si>
    <t>External Diameter (6-32) =</t>
  </si>
  <si>
    <t>SeelScrew Head Diameter</t>
  </si>
  <si>
    <t>SeelScrew 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</si>
</sst>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164" formatCode="_ * #,##0.00_)\ _$_ ;_ * \(#,##0.00\)\ _$_ ;_ * &quot;-&quot;??_)\ _$_ ;_ @_ "/>
    <numFmt numFmtId="165" formatCode="#,##0.000"/>
    <numFmt numFmtId="166" formatCode="0.00000%"/>
    <numFmt numFmtId="167" formatCode="0.0000"/>
    <numFmt numFmtId="168" formatCode="#,##0.0000"/>
    <numFmt numFmtId="169" formatCode="#,##0.00000000"/>
    <numFmt numFmtId="170" formatCode="0.00000000"/>
    <numFmt numFmtId="171" formatCode="0.000000%"/>
    <numFmt numFmtId="172" formatCode="0.00000000000000000000"/>
    <numFmt numFmtId="173" formatCode="0.000000"/>
    <numFmt numFmtId="174" formatCode="#,##0.00000"/>
    <numFmt numFmtId="175" formatCode="#,##0.000000"/>
    <numFmt numFmtId="176" formatCode="#,##0.0000000"/>
    <numFmt numFmtId="177" formatCode="0.00000"/>
    <numFmt numFmtId="178" formatCode="0.000000000"/>
    <numFmt numFmtId="179" formatCode="0.000000000000000"/>
    <numFmt numFmtId="180" formatCode="0.0000000000"/>
    <numFmt numFmtId="181" formatCode="0.00000000000"/>
    <numFmt numFmtId="182" formatCode="#,##0.000000000"/>
    <numFmt numFmtId="183" formatCode="0.00000000000000"/>
    <numFmt numFmtId="184" formatCode="0.000"/>
    <numFmt numFmtId="185" formatCode="0.0000000000000"/>
    <numFmt numFmtId="186" formatCode="#,##0.000000000000000"/>
    <numFmt numFmtId="187" formatCode="#,##0.0000000000000"/>
    <numFmt numFmtId="188" formatCode="&quot;$&quot;#,##0.00"/>
  </numFmts>
  <fonts count="3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vertAlign val="subscript"/>
      <sz val="10"/>
      <name val="Arial"/>
      <family val="2"/>
    </font>
    <font>
      <b/>
      <sz val="14"/>
      <name val="Arial"/>
      <family val="2"/>
    </font>
    <font>
      <sz val="8"/>
      <color indexed="81"/>
      <name val="Tahoma"/>
      <family val="2"/>
    </font>
    <font>
      <b/>
      <sz val="8"/>
      <color indexed="81"/>
      <name val="Tahoma"/>
      <family val="2"/>
    </font>
    <font>
      <u/>
      <sz val="10"/>
      <color indexed="12"/>
      <name val="Arial"/>
      <family val="2"/>
    </font>
    <font>
      <sz val="12"/>
      <name val="Arial"/>
      <family val="2"/>
    </font>
    <font>
      <i/>
      <sz val="10"/>
      <name val="Arial"/>
      <family val="2"/>
    </font>
    <font>
      <i/>
      <sz val="12"/>
      <name val="Arial"/>
      <family val="2"/>
    </font>
    <font>
      <i/>
      <vertAlign val="subscript"/>
      <sz val="10"/>
      <name val="Arial"/>
      <family val="2"/>
    </font>
    <font>
      <vertAlign val="superscript"/>
      <sz val="10"/>
      <name val="Arial"/>
      <family val="2"/>
    </font>
    <font>
      <sz val="10"/>
      <name val="Arial"/>
      <family val="2"/>
    </font>
    <font>
      <i/>
      <u/>
      <sz val="10"/>
      <color indexed="12"/>
      <name val="Arial"/>
      <family val="2"/>
    </font>
    <font>
      <b/>
      <sz val="10"/>
      <name val="Arial"/>
      <family val="2"/>
    </font>
    <font>
      <b/>
      <vertAlign val="superscript"/>
      <sz val="10"/>
      <name val="Arial"/>
      <family val="2"/>
    </font>
    <font>
      <u/>
      <sz val="10"/>
      <color indexed="12"/>
      <name val="Arial"/>
      <family val="2"/>
    </font>
    <font>
      <i/>
      <vertAlign val="superscript"/>
      <sz val="10"/>
      <name val="Arial"/>
      <family val="2"/>
    </font>
    <font>
      <b/>
      <i/>
      <sz val="10"/>
      <name val="Arial"/>
      <family val="2"/>
    </font>
    <font>
      <b/>
      <i/>
      <vertAlign val="subscript"/>
      <sz val="10"/>
      <name val="Arial"/>
      <family val="2"/>
    </font>
    <font>
      <b/>
      <sz val="11"/>
      <name val="Arial"/>
      <family val="2"/>
    </font>
    <font>
      <sz val="9"/>
      <color indexed="81"/>
      <name val="Tahoma"/>
      <family val="2"/>
    </font>
    <font>
      <b/>
      <sz val="9"/>
      <color indexed="81"/>
      <name val="Tahoma"/>
      <family val="2"/>
    </font>
    <font>
      <sz val="10"/>
      <color rgb="FFFF0000"/>
      <name val="Arial"/>
      <family val="2"/>
    </font>
    <font>
      <sz val="10"/>
      <name val="Arial"/>
      <family val="2"/>
    </font>
    <font>
      <u/>
      <sz val="11"/>
      <color theme="10"/>
      <name val="Calibri"/>
      <family val="2"/>
      <scheme val="minor"/>
    </font>
    <font>
      <b/>
      <sz val="11"/>
      <color theme="1"/>
      <name val="Calibri"/>
      <family val="2"/>
      <scheme val="minor"/>
    </font>
    <font>
      <u/>
      <sz val="10"/>
      <name val="Arial"/>
      <family val="2"/>
    </font>
    <font>
      <sz val="10"/>
      <color rgb="FFFFFFFF"/>
      <name val="Arial"/>
      <family val="2"/>
    </font>
    <font>
      <b/>
      <sz val="8"/>
      <color rgb="FF000000"/>
      <name val="Tahoma"/>
      <family val="2"/>
    </font>
    <font>
      <sz val="8"/>
      <color rgb="FF000000"/>
      <name val="Tahoma"/>
      <family val="2"/>
    </font>
    <font>
      <b/>
      <sz val="9"/>
      <color rgb="FF000000"/>
      <name val="Tahoma"/>
      <family val="2"/>
    </font>
    <font>
      <sz val="9"/>
      <color rgb="FF000000"/>
      <name val="Tahoma"/>
      <family val="2"/>
    </font>
    <font>
      <vertAlign val="superscript"/>
      <sz val="8"/>
      <color rgb="FF000000"/>
      <name val="Tahoma"/>
      <family val="2"/>
    </font>
    <font>
      <vertAlign val="subscript"/>
      <sz val="8"/>
      <color rgb="FF000000"/>
      <name val="Tahoma"/>
      <family val="2"/>
    </font>
  </fonts>
  <fills count="21">
    <fill>
      <patternFill patternType="none"/>
    </fill>
    <fill>
      <patternFill patternType="gray125"/>
    </fill>
    <fill>
      <patternFill patternType="solid">
        <fgColor indexed="50"/>
        <bgColor indexed="64"/>
      </patternFill>
    </fill>
    <fill>
      <patternFill patternType="solid">
        <fgColor indexed="43"/>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bgColor indexed="64"/>
      </patternFill>
    </fill>
    <fill>
      <patternFill patternType="solid">
        <fgColor rgb="FFFFFF00"/>
        <bgColor indexed="64"/>
      </patternFill>
    </fill>
    <fill>
      <patternFill patternType="solid">
        <fgColor rgb="FF92D050"/>
        <bgColor indexed="64"/>
      </patternFill>
    </fill>
    <fill>
      <patternFill patternType="solid">
        <fgColor rgb="FFFFFF99"/>
        <bgColor indexed="64"/>
      </patternFill>
    </fill>
    <fill>
      <patternFill patternType="solid">
        <fgColor rgb="FF99CC00"/>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A5D773"/>
        <bgColor indexed="64"/>
      </patternFill>
    </fill>
    <fill>
      <patternFill patternType="solid">
        <fgColor rgb="FFFFFF66"/>
        <bgColor indexed="64"/>
      </patternFill>
    </fill>
    <fill>
      <patternFill patternType="solid">
        <fgColor theme="9" tint="0.39997558519241921"/>
        <bgColor indexed="64"/>
      </patternFill>
    </fill>
    <fill>
      <patternFill patternType="solid">
        <fgColor rgb="FFFFFFA7"/>
        <bgColor indexed="64"/>
      </patternFill>
    </fill>
    <fill>
      <patternFill patternType="solid">
        <fgColor theme="8" tint="0.59999389629810485"/>
        <bgColor indexed="64"/>
      </patternFill>
    </fill>
    <fill>
      <patternFill patternType="solid">
        <fgColor rgb="FFFFFF81"/>
        <bgColor indexed="64"/>
      </patternFill>
    </fill>
    <fill>
      <patternFill patternType="solid">
        <fgColor theme="6"/>
        <bgColor indexed="64"/>
      </patternFill>
    </fill>
  </fills>
  <borders count="33">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4">
    <xf numFmtId="0" fontId="0" fillId="0" borderId="0"/>
    <xf numFmtId="164" fontId="4" fillId="0" borderId="0" applyFont="0" applyFill="0" applyBorder="0" applyAlignment="0" applyProtection="0"/>
    <xf numFmtId="0" fontId="9" fillId="0" borderId="0" applyNumberFormat="0" applyFill="0" applyBorder="0" applyAlignment="0" applyProtection="0">
      <alignment vertical="top"/>
      <protection locked="0"/>
    </xf>
    <xf numFmtId="9" fontId="27" fillId="0" borderId="0" applyFont="0" applyFill="0" applyBorder="0" applyAlignment="0" applyProtection="0"/>
    <xf numFmtId="0" fontId="3"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0" fontId="2" fillId="0" borderId="0"/>
    <xf numFmtId="9" fontId="2" fillId="0" borderId="0" applyFont="0" applyFill="0" applyBorder="0" applyAlignment="0" applyProtection="0"/>
    <xf numFmtId="0" fontId="28"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cellStyleXfs>
  <cellXfs count="301">
    <xf numFmtId="0" fontId="0" fillId="0" borderId="0" xfId="0"/>
    <xf numFmtId="0" fontId="0" fillId="0" borderId="0" xfId="0" applyBorder="1"/>
    <xf numFmtId="0" fontId="0" fillId="3" borderId="6" xfId="0" applyFill="1" applyBorder="1"/>
    <xf numFmtId="0" fontId="0" fillId="0" borderId="0" xfId="0" applyFill="1" applyBorder="1"/>
    <xf numFmtId="0" fontId="11" fillId="0" borderId="0" xfId="0" applyFont="1" applyBorder="1"/>
    <xf numFmtId="0" fontId="10" fillId="0" borderId="0" xfId="0" applyFont="1" applyFill="1" applyBorder="1" applyAlignment="1"/>
    <xf numFmtId="0" fontId="17" fillId="0" borderId="0" xfId="0" applyFont="1"/>
    <xf numFmtId="0" fontId="11" fillId="0" borderId="0" xfId="0" applyFont="1"/>
    <xf numFmtId="4" fontId="0" fillId="0" borderId="6" xfId="0" applyNumberFormat="1" applyBorder="1"/>
    <xf numFmtId="0" fontId="0" fillId="0" borderId="10" xfId="0" applyBorder="1"/>
    <xf numFmtId="0" fontId="0" fillId="0" borderId="15" xfId="0" applyBorder="1"/>
    <xf numFmtId="4" fontId="0" fillId="0" borderId="16" xfId="0" applyNumberFormat="1" applyBorder="1"/>
    <xf numFmtId="0" fontId="15" fillId="0" borderId="0" xfId="0" applyFont="1" applyBorder="1"/>
    <xf numFmtId="0" fontId="19" fillId="0" borderId="0" xfId="2" applyFont="1" applyBorder="1" applyAlignment="1" applyProtection="1"/>
    <xf numFmtId="0" fontId="15" fillId="3" borderId="6" xfId="0" applyFont="1" applyFill="1" applyBorder="1"/>
    <xf numFmtId="0" fontId="15" fillId="0" borderId="0" xfId="0" applyFont="1"/>
    <xf numFmtId="0" fontId="17" fillId="0" borderId="0" xfId="0" applyFont="1" applyBorder="1"/>
    <xf numFmtId="0" fontId="15" fillId="0" borderId="0" xfId="0" applyFont="1" applyFill="1" applyBorder="1"/>
    <xf numFmtId="0" fontId="0" fillId="4" borderId="6" xfId="0" applyFill="1" applyBorder="1"/>
    <xf numFmtId="0" fontId="15" fillId="4" borderId="6" xfId="0" applyFont="1" applyFill="1" applyBorder="1"/>
    <xf numFmtId="0" fontId="15" fillId="5" borderId="6" xfId="0" applyFont="1" applyFill="1" applyBorder="1"/>
    <xf numFmtId="10" fontId="15" fillId="5" borderId="6" xfId="0" applyNumberFormat="1" applyFont="1" applyFill="1" applyBorder="1"/>
    <xf numFmtId="10" fontId="15" fillId="0" borderId="0" xfId="0" applyNumberFormat="1" applyFont="1" applyFill="1" applyBorder="1"/>
    <xf numFmtId="2" fontId="15" fillId="0" borderId="0" xfId="0" applyNumberFormat="1" applyFont="1" applyFill="1" applyBorder="1"/>
    <xf numFmtId="2" fontId="0" fillId="0" borderId="6" xfId="0" applyNumberFormat="1" applyBorder="1"/>
    <xf numFmtId="4" fontId="0" fillId="0" borderId="14" xfId="0" applyNumberFormat="1" applyBorder="1"/>
    <xf numFmtId="0" fontId="6" fillId="0" borderId="0" xfId="0" applyFont="1" applyAlignment="1">
      <alignment horizontal="center"/>
    </xf>
    <xf numFmtId="0" fontId="0" fillId="6" borderId="11" xfId="0" applyFill="1" applyBorder="1"/>
    <xf numFmtId="2" fontId="0" fillId="6" borderId="12" xfId="0" applyNumberFormat="1" applyFill="1" applyBorder="1"/>
    <xf numFmtId="4" fontId="0" fillId="6" borderId="12" xfId="0" applyNumberFormat="1" applyFill="1" applyBorder="1"/>
    <xf numFmtId="0" fontId="0" fillId="6" borderId="12" xfId="0" applyFill="1" applyBorder="1"/>
    <xf numFmtId="0" fontId="0" fillId="6" borderId="22" xfId="0" applyFill="1" applyBorder="1"/>
    <xf numFmtId="0" fontId="17" fillId="7" borderId="8" xfId="0" applyFont="1" applyFill="1" applyBorder="1"/>
    <xf numFmtId="0" fontId="17" fillId="7" borderId="18" xfId="0" applyFont="1" applyFill="1" applyBorder="1"/>
    <xf numFmtId="2" fontId="17" fillId="7" borderId="18" xfId="0" applyNumberFormat="1" applyFont="1" applyFill="1" applyBorder="1"/>
    <xf numFmtId="0" fontId="17" fillId="8" borderId="18" xfId="0" applyFont="1" applyFill="1" applyBorder="1"/>
    <xf numFmtId="0" fontId="17" fillId="8" borderId="9" xfId="0" applyFont="1" applyFill="1" applyBorder="1"/>
    <xf numFmtId="166" fontId="0" fillId="6" borderId="12" xfId="0" applyNumberFormat="1" applyFill="1" applyBorder="1"/>
    <xf numFmtId="166" fontId="0" fillId="0" borderId="6" xfId="0" applyNumberFormat="1" applyBorder="1"/>
    <xf numFmtId="168" fontId="0" fillId="6" borderId="12" xfId="0" applyNumberFormat="1" applyFill="1" applyBorder="1"/>
    <xf numFmtId="4" fontId="0" fillId="3" borderId="6" xfId="0" applyNumberFormat="1" applyFill="1" applyBorder="1"/>
    <xf numFmtId="168" fontId="0" fillId="0" borderId="12" xfId="0" applyNumberFormat="1" applyFill="1" applyBorder="1"/>
    <xf numFmtId="0" fontId="12" fillId="0" borderId="0" xfId="0" applyFont="1" applyFill="1" applyBorder="1" applyAlignment="1"/>
    <xf numFmtId="168" fontId="0" fillId="0" borderId="6" xfId="0" applyNumberFormat="1" applyBorder="1"/>
    <xf numFmtId="0" fontId="0" fillId="4" borderId="14" xfId="0" applyFill="1" applyBorder="1"/>
    <xf numFmtId="0" fontId="15" fillId="0" borderId="0" xfId="2" applyFont="1" applyFill="1" applyBorder="1" applyAlignment="1" applyProtection="1"/>
    <xf numFmtId="4" fontId="0" fillId="0" borderId="0" xfId="0" applyNumberFormat="1" applyFill="1" applyBorder="1"/>
    <xf numFmtId="169" fontId="0" fillId="4" borderId="6" xfId="0" applyNumberFormat="1" applyFill="1" applyBorder="1"/>
    <xf numFmtId="0" fontId="15" fillId="9" borderId="6" xfId="0" applyFont="1" applyFill="1" applyBorder="1"/>
    <xf numFmtId="0" fontId="15" fillId="9" borderId="6" xfId="0" applyFont="1" applyFill="1" applyBorder="1" applyAlignment="1">
      <alignment vertical="center"/>
    </xf>
    <xf numFmtId="168" fontId="0" fillId="9" borderId="6" xfId="0" applyNumberFormat="1" applyFill="1" applyBorder="1"/>
    <xf numFmtId="0" fontId="15" fillId="10" borderId="6" xfId="0" applyFont="1" applyFill="1" applyBorder="1" applyAlignment="1">
      <alignment vertical="center"/>
    </xf>
    <xf numFmtId="168" fontId="0" fillId="10" borderId="6" xfId="0" applyNumberFormat="1" applyFill="1" applyBorder="1"/>
    <xf numFmtId="0" fontId="15" fillId="10" borderId="6" xfId="0" applyFont="1" applyFill="1" applyBorder="1"/>
    <xf numFmtId="0" fontId="17" fillId="10" borderId="23" xfId="0" applyFont="1" applyFill="1" applyBorder="1"/>
    <xf numFmtId="10" fontId="17" fillId="10" borderId="24" xfId="0" applyNumberFormat="1" applyFont="1" applyFill="1" applyBorder="1"/>
    <xf numFmtId="4" fontId="15" fillId="10" borderId="15" xfId="0" applyNumberFormat="1" applyFont="1" applyFill="1" applyBorder="1"/>
    <xf numFmtId="4" fontId="15" fillId="10" borderId="17" xfId="0" applyNumberFormat="1" applyFont="1" applyFill="1" applyBorder="1"/>
    <xf numFmtId="0" fontId="15" fillId="4" borderId="6" xfId="0" applyFont="1" applyFill="1" applyBorder="1" applyAlignment="1">
      <alignment vertical="center"/>
    </xf>
    <xf numFmtId="0" fontId="15" fillId="4" borderId="6" xfId="0" applyFont="1" applyFill="1" applyBorder="1" applyAlignment="1">
      <alignment wrapText="1"/>
    </xf>
    <xf numFmtId="0" fontId="0" fillId="0" borderId="0" xfId="0" applyFont="1" applyFill="1" applyBorder="1"/>
    <xf numFmtId="4" fontId="0" fillId="4" borderId="6" xfId="0" applyNumberFormat="1" applyFill="1" applyBorder="1"/>
    <xf numFmtId="168" fontId="15" fillId="4" borderId="6" xfId="0" applyNumberFormat="1" applyFont="1" applyFill="1" applyBorder="1"/>
    <xf numFmtId="4" fontId="0" fillId="9" borderId="6" xfId="0" applyNumberFormat="1" applyFill="1" applyBorder="1"/>
    <xf numFmtId="171" fontId="0" fillId="4" borderId="6" xfId="0" applyNumberFormat="1" applyFill="1" applyBorder="1"/>
    <xf numFmtId="10" fontId="15" fillId="10" borderId="6" xfId="0" applyNumberFormat="1" applyFont="1" applyFill="1" applyBorder="1"/>
    <xf numFmtId="172" fontId="15" fillId="6" borderId="12" xfId="0" applyNumberFormat="1" applyFont="1" applyFill="1" applyBorder="1" applyAlignment="1">
      <alignment wrapText="1"/>
    </xf>
    <xf numFmtId="172" fontId="15" fillId="0" borderId="12" xfId="0" applyNumberFormat="1" applyFont="1" applyFill="1" applyBorder="1" applyAlignment="1">
      <alignment wrapText="1"/>
    </xf>
    <xf numFmtId="2" fontId="0" fillId="0" borderId="12" xfId="0" applyNumberFormat="1" applyFill="1" applyBorder="1"/>
    <xf numFmtId="4" fontId="0" fillId="10" borderId="6" xfId="0" applyNumberFormat="1" applyFill="1" applyBorder="1"/>
    <xf numFmtId="10" fontId="17" fillId="10" borderId="25" xfId="0" applyNumberFormat="1" applyFont="1" applyFill="1" applyBorder="1"/>
    <xf numFmtId="4" fontId="15" fillId="10" borderId="16" xfId="0" applyNumberFormat="1" applyFont="1" applyFill="1" applyBorder="1"/>
    <xf numFmtId="168" fontId="0" fillId="0" borderId="14" xfId="0" applyNumberFormat="1" applyBorder="1"/>
    <xf numFmtId="168" fontId="15" fillId="9" borderId="6" xfId="0" applyNumberFormat="1" applyFont="1" applyFill="1" applyBorder="1"/>
    <xf numFmtId="4" fontId="15" fillId="10" borderId="6" xfId="0" applyNumberFormat="1" applyFont="1" applyFill="1" applyBorder="1"/>
    <xf numFmtId="4" fontId="0" fillId="0" borderId="17" xfId="0" applyNumberFormat="1" applyBorder="1"/>
    <xf numFmtId="0" fontId="17" fillId="8" borderId="11" xfId="0" applyFont="1" applyFill="1" applyBorder="1"/>
    <xf numFmtId="0" fontId="17" fillId="8" borderId="12" xfId="0" applyFont="1" applyFill="1" applyBorder="1"/>
    <xf numFmtId="0" fontId="17" fillId="8" borderId="22" xfId="0" applyFont="1" applyFill="1" applyBorder="1"/>
    <xf numFmtId="0" fontId="0" fillId="11" borderId="14" xfId="0" applyFill="1" applyBorder="1"/>
    <xf numFmtId="10" fontId="0" fillId="3" borderId="6" xfId="0" applyNumberFormat="1" applyFill="1" applyBorder="1"/>
    <xf numFmtId="173" fontId="15" fillId="10" borderId="6" xfId="0" applyNumberFormat="1" applyFont="1" applyFill="1" applyBorder="1"/>
    <xf numFmtId="174" fontId="0" fillId="4" borderId="6" xfId="0" applyNumberFormat="1" applyFill="1" applyBorder="1"/>
    <xf numFmtId="0" fontId="15" fillId="13" borderId="6" xfId="0" applyFont="1" applyFill="1" applyBorder="1" applyAlignment="1">
      <alignment vertical="center"/>
    </xf>
    <xf numFmtId="0" fontId="15" fillId="13" borderId="6" xfId="0" applyFont="1" applyFill="1" applyBorder="1"/>
    <xf numFmtId="0" fontId="0" fillId="13" borderId="6" xfId="0" applyFill="1" applyBorder="1"/>
    <xf numFmtId="165" fontId="0" fillId="13" borderId="6" xfId="0" applyNumberFormat="1" applyFill="1" applyBorder="1"/>
    <xf numFmtId="0" fontId="0" fillId="3" borderId="6" xfId="0" applyNumberFormat="1" applyFill="1" applyBorder="1"/>
    <xf numFmtId="2" fontId="0" fillId="9" borderId="6" xfId="0" applyNumberFormat="1" applyFill="1" applyBorder="1"/>
    <xf numFmtId="174" fontId="0" fillId="9" borderId="6" xfId="0" applyNumberFormat="1" applyFill="1" applyBorder="1"/>
    <xf numFmtId="0" fontId="15" fillId="14" borderId="6" xfId="0" applyFont="1" applyFill="1" applyBorder="1"/>
    <xf numFmtId="168" fontId="0" fillId="14" borderId="6" xfId="0" applyNumberFormat="1" applyFill="1" applyBorder="1"/>
    <xf numFmtId="174" fontId="0" fillId="0" borderId="0" xfId="0" applyNumberFormat="1"/>
    <xf numFmtId="174" fontId="15" fillId="0" borderId="0" xfId="0" applyNumberFormat="1" applyFont="1"/>
    <xf numFmtId="165" fontId="0" fillId="0" borderId="0" xfId="0" applyNumberFormat="1"/>
    <xf numFmtId="165" fontId="15" fillId="0" borderId="0" xfId="0" applyNumberFormat="1" applyFont="1"/>
    <xf numFmtId="176" fontId="0" fillId="9" borderId="6" xfId="0" applyNumberFormat="1" applyFill="1" applyBorder="1"/>
    <xf numFmtId="0" fontId="15" fillId="0" borderId="0" xfId="0" applyNumberFormat="1" applyFont="1" applyFill="1" applyBorder="1"/>
    <xf numFmtId="170" fontId="0" fillId="4" borderId="6" xfId="0" applyNumberFormat="1" applyFill="1" applyBorder="1"/>
    <xf numFmtId="0" fontId="4" fillId="0" borderId="0" xfId="0" applyFont="1" applyAlignment="1">
      <alignment wrapText="1"/>
    </xf>
    <xf numFmtId="0" fontId="4" fillId="0" borderId="0" xfId="0" applyFont="1" applyBorder="1"/>
    <xf numFmtId="0" fontId="4" fillId="0" borderId="0" xfId="0" applyFont="1" applyBorder="1" applyAlignment="1">
      <alignment vertical="center"/>
    </xf>
    <xf numFmtId="0" fontId="4" fillId="0" borderId="0" xfId="0" applyFont="1" applyFill="1" applyBorder="1"/>
    <xf numFmtId="0" fontId="4" fillId="0" borderId="0" xfId="0" applyFont="1" applyFill="1" applyBorder="1" applyAlignment="1">
      <alignment horizontal="left" wrapText="1"/>
    </xf>
    <xf numFmtId="4" fontId="0" fillId="14" borderId="6" xfId="0" applyNumberFormat="1" applyFill="1" applyBorder="1"/>
    <xf numFmtId="0" fontId="4" fillId="9" borderId="6" xfId="0" applyFont="1" applyFill="1" applyBorder="1" applyAlignment="1">
      <alignment wrapText="1"/>
    </xf>
    <xf numFmtId="0" fontId="4" fillId="0" borderId="0" xfId="0" applyFont="1"/>
    <xf numFmtId="0" fontId="4" fillId="4" borderId="6" xfId="0" applyFont="1" applyFill="1" applyBorder="1"/>
    <xf numFmtId="2" fontId="0" fillId="4" borderId="6" xfId="0" applyNumberFormat="1" applyFill="1" applyBorder="1"/>
    <xf numFmtId="0" fontId="4" fillId="9" borderId="6" xfId="0" applyFont="1" applyFill="1" applyBorder="1" applyAlignment="1">
      <alignment horizontal="left" vertical="center"/>
    </xf>
    <xf numFmtId="0" fontId="4" fillId="3" borderId="6" xfId="0" applyFont="1" applyFill="1" applyBorder="1"/>
    <xf numFmtId="0" fontId="4" fillId="10" borderId="6" xfId="0" applyFont="1" applyFill="1" applyBorder="1"/>
    <xf numFmtId="178" fontId="0" fillId="10" borderId="6" xfId="0" applyNumberFormat="1" applyFill="1" applyBorder="1"/>
    <xf numFmtId="0" fontId="4" fillId="14" borderId="6" xfId="0" applyFont="1" applyFill="1" applyBorder="1"/>
    <xf numFmtId="178" fontId="0" fillId="14" borderId="6" xfId="0" applyNumberFormat="1" applyFill="1" applyBorder="1"/>
    <xf numFmtId="178" fontId="0" fillId="0" borderId="0" xfId="0" applyNumberFormat="1" applyFill="1" applyBorder="1"/>
    <xf numFmtId="0" fontId="4" fillId="0" borderId="0" xfId="0" applyFont="1" applyFill="1" applyBorder="1" applyAlignment="1">
      <alignment horizontal="left" vertical="top"/>
    </xf>
    <xf numFmtId="178" fontId="0" fillId="0" borderId="0" xfId="1" applyNumberFormat="1" applyFont="1" applyFill="1" applyBorder="1"/>
    <xf numFmtId="170" fontId="0" fillId="13" borderId="6" xfId="0" applyNumberFormat="1" applyFill="1" applyBorder="1"/>
    <xf numFmtId="0" fontId="11" fillId="0" borderId="0" xfId="0" applyFont="1" applyAlignment="1">
      <alignment horizontal="center"/>
    </xf>
    <xf numFmtId="168" fontId="0" fillId="13" borderId="6" xfId="0" applyNumberFormat="1" applyFill="1" applyBorder="1"/>
    <xf numFmtId="16" fontId="0" fillId="0" borderId="0" xfId="0" applyNumberFormat="1"/>
    <xf numFmtId="2" fontId="0" fillId="0" borderId="0" xfId="0" applyNumberFormat="1"/>
    <xf numFmtId="177" fontId="0" fillId="0" borderId="0" xfId="0" applyNumberFormat="1"/>
    <xf numFmtId="174" fontId="0" fillId="13" borderId="6" xfId="0" applyNumberFormat="1" applyFill="1" applyBorder="1"/>
    <xf numFmtId="0" fontId="4" fillId="9" borderId="6" xfId="0" applyFont="1" applyFill="1" applyBorder="1"/>
    <xf numFmtId="0" fontId="17" fillId="0" borderId="0" xfId="0" applyFont="1" applyAlignment="1">
      <alignment horizontal="right"/>
    </xf>
    <xf numFmtId="49" fontId="4" fillId="0" borderId="0" xfId="0" applyNumberFormat="1" applyFont="1" applyAlignment="1">
      <alignment horizontal="right"/>
    </xf>
    <xf numFmtId="0" fontId="4" fillId="0" borderId="0" xfId="0" applyNumberFormat="1" applyFont="1"/>
    <xf numFmtId="0" fontId="0" fillId="0" borderId="0" xfId="0" applyNumberFormat="1"/>
    <xf numFmtId="2" fontId="0" fillId="0" borderId="0" xfId="0" applyNumberFormat="1" applyAlignment="1">
      <alignment horizontal="right"/>
    </xf>
    <xf numFmtId="2" fontId="4" fillId="0" borderId="0" xfId="0" applyNumberFormat="1" applyFont="1"/>
    <xf numFmtId="0" fontId="9" fillId="3" borderId="6" xfId="2" applyFont="1" applyFill="1" applyBorder="1" applyAlignment="1" applyProtection="1"/>
    <xf numFmtId="167" fontId="0" fillId="0" borderId="0" xfId="0" applyNumberFormat="1"/>
    <xf numFmtId="0" fontId="4" fillId="0" borderId="0" xfId="0" applyNumberFormat="1" applyFont="1" applyAlignment="1">
      <alignment horizontal="right"/>
    </xf>
    <xf numFmtId="179" fontId="0" fillId="0" borderId="0" xfId="0" applyNumberFormat="1"/>
    <xf numFmtId="0" fontId="9" fillId="15" borderId="6" xfId="2" applyFont="1" applyFill="1" applyBorder="1" applyAlignment="1" applyProtection="1"/>
    <xf numFmtId="4" fontId="0" fillId="15" borderId="6" xfId="0" applyNumberFormat="1" applyFill="1" applyBorder="1"/>
    <xf numFmtId="0" fontId="4" fillId="15" borderId="6" xfId="0" applyFont="1" applyFill="1" applyBorder="1" applyAlignment="1">
      <alignment vertical="center"/>
    </xf>
    <xf numFmtId="165" fontId="0" fillId="15" borderId="6" xfId="0" applyNumberFormat="1" applyFill="1" applyBorder="1"/>
    <xf numFmtId="168" fontId="0" fillId="15" borderId="6" xfId="0" applyNumberFormat="1" applyFill="1" applyBorder="1"/>
    <xf numFmtId="174" fontId="0" fillId="15" borderId="6" xfId="0" applyNumberFormat="1" applyFill="1" applyBorder="1"/>
    <xf numFmtId="0" fontId="4" fillId="15" borderId="28" xfId="0" applyFont="1" applyFill="1" applyBorder="1" applyAlignment="1">
      <alignment vertical="center"/>
    </xf>
    <xf numFmtId="0" fontId="4" fillId="10" borderId="6" xfId="0" applyFont="1" applyFill="1" applyBorder="1" applyAlignment="1">
      <alignment wrapText="1"/>
    </xf>
    <xf numFmtId="0" fontId="4" fillId="14" borderId="6" xfId="0" applyFont="1" applyFill="1" applyBorder="1" applyAlignment="1">
      <alignment wrapText="1"/>
    </xf>
    <xf numFmtId="0" fontId="4" fillId="4" borderId="6" xfId="0" applyFont="1" applyFill="1" applyBorder="1" applyAlignment="1">
      <alignment wrapText="1"/>
    </xf>
    <xf numFmtId="0" fontId="4" fillId="13" borderId="6" xfId="0" applyFont="1" applyFill="1" applyBorder="1" applyAlignment="1">
      <alignment wrapText="1"/>
    </xf>
    <xf numFmtId="182" fontId="0" fillId="4" borderId="6" xfId="0" applyNumberFormat="1" applyFill="1" applyBorder="1"/>
    <xf numFmtId="183" fontId="0" fillId="4" borderId="6" xfId="0" applyNumberFormat="1" applyFill="1" applyBorder="1"/>
    <xf numFmtId="183" fontId="0" fillId="10" borderId="6" xfId="0" applyNumberFormat="1" applyFill="1" applyBorder="1"/>
    <xf numFmtId="173" fontId="0" fillId="13" borderId="6" xfId="0" applyNumberFormat="1" applyFill="1" applyBorder="1"/>
    <xf numFmtId="173" fontId="0" fillId="14" borderId="6" xfId="0" applyNumberFormat="1" applyFill="1" applyBorder="1"/>
    <xf numFmtId="165" fontId="0" fillId="15" borderId="28" xfId="0" applyNumberFormat="1" applyFill="1" applyBorder="1"/>
    <xf numFmtId="4" fontId="0" fillId="15" borderId="28" xfId="0" applyNumberFormat="1" applyFill="1" applyBorder="1"/>
    <xf numFmtId="0" fontId="4" fillId="16" borderId="6" xfId="0" applyFont="1" applyFill="1" applyBorder="1" applyAlignment="1">
      <alignment vertical="center"/>
    </xf>
    <xf numFmtId="4" fontId="0" fillId="16" borderId="6" xfId="0" applyNumberFormat="1" applyFill="1" applyBorder="1"/>
    <xf numFmtId="168" fontId="0" fillId="16" borderId="6" xfId="0" applyNumberFormat="1" applyFill="1" applyBorder="1"/>
    <xf numFmtId="167" fontId="4" fillId="9" borderId="6" xfId="0" applyNumberFormat="1" applyFont="1" applyFill="1" applyBorder="1" applyAlignment="1">
      <alignment horizontal="right" wrapText="1"/>
    </xf>
    <xf numFmtId="0" fontId="21" fillId="0" borderId="0" xfId="0" applyFont="1"/>
    <xf numFmtId="9" fontId="0" fillId="0" borderId="0" xfId="3" applyFont="1"/>
    <xf numFmtId="178" fontId="0" fillId="0" borderId="0" xfId="0" applyNumberFormat="1"/>
    <xf numFmtId="0" fontId="11" fillId="0" borderId="0" xfId="0" applyFont="1" applyFill="1" applyBorder="1"/>
    <xf numFmtId="0" fontId="26" fillId="0" borderId="0" xfId="0" applyFont="1"/>
    <xf numFmtId="168" fontId="0" fillId="4" borderId="6" xfId="0" applyNumberFormat="1" applyFill="1" applyBorder="1"/>
    <xf numFmtId="0" fontId="11" fillId="4" borderId="6" xfId="0" applyFont="1" applyFill="1" applyBorder="1"/>
    <xf numFmtId="10" fontId="0" fillId="4" borderId="6" xfId="3" applyNumberFormat="1" applyFont="1" applyFill="1" applyBorder="1"/>
    <xf numFmtId="4" fontId="15" fillId="9" borderId="6" xfId="0" applyNumberFormat="1" applyFont="1" applyFill="1" applyBorder="1"/>
    <xf numFmtId="0" fontId="0" fillId="9" borderId="6" xfId="0" applyFill="1" applyBorder="1"/>
    <xf numFmtId="0" fontId="11" fillId="4" borderId="10" xfId="0" applyFont="1" applyFill="1" applyBorder="1" applyAlignment="1">
      <alignment wrapText="1"/>
    </xf>
    <xf numFmtId="0" fontId="11" fillId="10" borderId="10" xfId="0" applyFont="1" applyFill="1" applyBorder="1" applyAlignment="1">
      <alignment wrapText="1"/>
    </xf>
    <xf numFmtId="0" fontId="0" fillId="10" borderId="6" xfId="0" applyFill="1" applyBorder="1"/>
    <xf numFmtId="0" fontId="0" fillId="10" borderId="14" xfId="0" applyFill="1" applyBorder="1"/>
    <xf numFmtId="0" fontId="11" fillId="10" borderId="10" xfId="0" applyFont="1" applyFill="1" applyBorder="1"/>
    <xf numFmtId="4" fontId="4" fillId="10" borderId="6" xfId="0" applyNumberFormat="1" applyFont="1" applyFill="1" applyBorder="1"/>
    <xf numFmtId="0" fontId="4" fillId="13" borderId="6" xfId="0" applyFont="1" applyFill="1" applyBorder="1" applyAlignment="1">
      <alignment vertical="center"/>
    </xf>
    <xf numFmtId="0" fontId="4" fillId="4" borderId="23" xfId="0" applyFont="1" applyFill="1" applyBorder="1"/>
    <xf numFmtId="0" fontId="0" fillId="4" borderId="25" xfId="0" applyFill="1" applyBorder="1"/>
    <xf numFmtId="173" fontId="0" fillId="4" borderId="24" xfId="0" applyNumberFormat="1" applyFill="1" applyBorder="1"/>
    <xf numFmtId="0" fontId="4" fillId="2" borderId="6" xfId="0" applyFont="1" applyFill="1" applyBorder="1" applyAlignment="1">
      <alignment horizontal="left" vertical="top"/>
    </xf>
    <xf numFmtId="0" fontId="0" fillId="11" borderId="30" xfId="0" applyFill="1" applyBorder="1"/>
    <xf numFmtId="0" fontId="17" fillId="18" borderId="31" xfId="0" applyFont="1" applyFill="1" applyBorder="1"/>
    <xf numFmtId="0" fontId="17" fillId="18" borderId="32" xfId="0" applyFont="1" applyFill="1" applyBorder="1"/>
    <xf numFmtId="182" fontId="0" fillId="10" borderId="6" xfId="0" applyNumberFormat="1" applyFill="1" applyBorder="1"/>
    <xf numFmtId="0" fontId="11" fillId="13" borderId="15" xfId="0" applyFont="1" applyFill="1" applyBorder="1" applyAlignment="1">
      <alignment wrapText="1"/>
    </xf>
    <xf numFmtId="0" fontId="0" fillId="13" borderId="16" xfId="0" applyFill="1" applyBorder="1"/>
    <xf numFmtId="0" fontId="0" fillId="13" borderId="17" xfId="0" applyFill="1" applyBorder="1"/>
    <xf numFmtId="180" fontId="0" fillId="4" borderId="6" xfId="0" applyNumberFormat="1" applyFill="1" applyBorder="1"/>
    <xf numFmtId="181" fontId="0" fillId="4" borderId="6" xfId="0" applyNumberFormat="1" applyFill="1" applyBorder="1"/>
    <xf numFmtId="180" fontId="0" fillId="4" borderId="14" xfId="0" applyNumberFormat="1" applyFill="1" applyBorder="1"/>
    <xf numFmtId="0" fontId="11" fillId="10" borderId="1" xfId="0" applyFont="1" applyFill="1" applyBorder="1"/>
    <xf numFmtId="0" fontId="4" fillId="10" borderId="6" xfId="0" applyFont="1" applyFill="1" applyBorder="1" applyAlignment="1">
      <alignment vertical="center"/>
    </xf>
    <xf numFmtId="0" fontId="15" fillId="0" borderId="0" xfId="0" applyFont="1" applyAlignment="1"/>
    <xf numFmtId="0" fontId="17" fillId="0" borderId="0" xfId="0" applyFont="1" applyAlignment="1"/>
    <xf numFmtId="184" fontId="0" fillId="0" borderId="0" xfId="0" applyNumberFormat="1"/>
    <xf numFmtId="186" fontId="0" fillId="0" borderId="0" xfId="0" applyNumberFormat="1"/>
    <xf numFmtId="0" fontId="4" fillId="10" borderId="10" xfId="0" applyFont="1" applyFill="1" applyBorder="1" applyAlignment="1">
      <alignment wrapText="1"/>
    </xf>
    <xf numFmtId="0" fontId="11" fillId="14" borderId="10" xfId="0" applyFont="1" applyFill="1" applyBorder="1" applyAlignment="1">
      <alignment wrapText="1"/>
    </xf>
    <xf numFmtId="177" fontId="0" fillId="4" borderId="6" xfId="0" applyNumberFormat="1" applyFill="1" applyBorder="1"/>
    <xf numFmtId="177" fontId="0" fillId="4" borderId="14" xfId="0" applyNumberFormat="1" applyFill="1" applyBorder="1"/>
    <xf numFmtId="184" fontId="0" fillId="10" borderId="6" xfId="0" applyNumberFormat="1" applyFill="1" applyBorder="1"/>
    <xf numFmtId="184" fontId="0" fillId="10" borderId="14" xfId="0" applyNumberFormat="1" applyFill="1" applyBorder="1"/>
    <xf numFmtId="0" fontId="11" fillId="14" borderId="10" xfId="0" applyFont="1" applyFill="1" applyBorder="1"/>
    <xf numFmtId="170" fontId="4" fillId="10" borderId="28" xfId="0" applyNumberFormat="1" applyFont="1" applyFill="1" applyBorder="1"/>
    <xf numFmtId="170" fontId="4" fillId="10" borderId="29" xfId="0" applyNumberFormat="1" applyFont="1" applyFill="1" applyBorder="1"/>
    <xf numFmtId="4" fontId="4" fillId="14" borderId="6" xfId="0" applyNumberFormat="1" applyFont="1" applyFill="1" applyBorder="1"/>
    <xf numFmtId="4" fontId="4" fillId="10" borderId="14" xfId="0" applyNumberFormat="1" applyFont="1" applyFill="1" applyBorder="1"/>
    <xf numFmtId="0" fontId="4" fillId="4" borderId="10" xfId="0" applyFont="1" applyFill="1" applyBorder="1" applyAlignment="1">
      <alignment wrapText="1"/>
    </xf>
    <xf numFmtId="0" fontId="4" fillId="13" borderId="10" xfId="0" applyFont="1" applyFill="1" applyBorder="1" applyAlignment="1">
      <alignment wrapText="1"/>
    </xf>
    <xf numFmtId="0" fontId="0" fillId="13" borderId="14" xfId="0" applyFill="1" applyBorder="1"/>
    <xf numFmtId="0" fontId="4" fillId="14" borderId="15" xfId="0" applyFont="1" applyFill="1" applyBorder="1" applyAlignment="1">
      <alignment wrapText="1"/>
    </xf>
    <xf numFmtId="0" fontId="0" fillId="14" borderId="17" xfId="0" applyFill="1" applyBorder="1"/>
    <xf numFmtId="165" fontId="4" fillId="10" borderId="14" xfId="0" applyNumberFormat="1" applyFont="1" applyFill="1" applyBorder="1"/>
    <xf numFmtId="165" fontId="0" fillId="14" borderId="2" xfId="0" applyNumberFormat="1" applyFill="1" applyBorder="1"/>
    <xf numFmtId="0" fontId="4" fillId="9" borderId="23" xfId="0" applyFont="1" applyFill="1" applyBorder="1"/>
    <xf numFmtId="0" fontId="0" fillId="9" borderId="24" xfId="0" applyFill="1" applyBorder="1"/>
    <xf numFmtId="0" fontId="4" fillId="4" borderId="10" xfId="0" applyFont="1" applyFill="1" applyBorder="1"/>
    <xf numFmtId="0" fontId="11" fillId="4" borderId="10" xfId="0" applyFont="1" applyFill="1" applyBorder="1"/>
    <xf numFmtId="0" fontId="11" fillId="17" borderId="10" xfId="0" applyFont="1" applyFill="1" applyBorder="1"/>
    <xf numFmtId="0" fontId="4" fillId="17" borderId="14" xfId="0" applyFont="1" applyFill="1" applyBorder="1"/>
    <xf numFmtId="0" fontId="0" fillId="17" borderId="14" xfId="0" applyFill="1" applyBorder="1"/>
    <xf numFmtId="0" fontId="11" fillId="13" borderId="10" xfId="0" applyFont="1" applyFill="1" applyBorder="1"/>
    <xf numFmtId="184" fontId="0" fillId="13" borderId="14" xfId="0" applyNumberFormat="1" applyFill="1" applyBorder="1"/>
    <xf numFmtId="173" fontId="0" fillId="0" borderId="0" xfId="0" applyNumberFormat="1"/>
    <xf numFmtId="177" fontId="11" fillId="0" borderId="0" xfId="0" applyNumberFormat="1" applyFont="1"/>
    <xf numFmtId="167" fontId="4" fillId="0" borderId="0" xfId="0" applyNumberFormat="1" applyFont="1"/>
    <xf numFmtId="168" fontId="0" fillId="0" borderId="0" xfId="0" applyNumberFormat="1"/>
    <xf numFmtId="167" fontId="11" fillId="0" borderId="0" xfId="0" applyNumberFormat="1" applyFont="1"/>
    <xf numFmtId="2" fontId="0" fillId="4" borderId="14" xfId="0" applyNumberFormat="1" applyFill="1" applyBorder="1"/>
    <xf numFmtId="173" fontId="4" fillId="4" borderId="14" xfId="0" applyNumberFormat="1" applyFont="1" applyFill="1" applyBorder="1"/>
    <xf numFmtId="0" fontId="4" fillId="13" borderId="14" xfId="0" applyFont="1" applyFill="1" applyBorder="1"/>
    <xf numFmtId="0" fontId="11" fillId="10" borderId="11" xfId="0" applyFont="1" applyFill="1" applyBorder="1"/>
    <xf numFmtId="165" fontId="4" fillId="10" borderId="22" xfId="0" applyNumberFormat="1" applyFont="1" applyFill="1" applyBorder="1"/>
    <xf numFmtId="0" fontId="0" fillId="20" borderId="0" xfId="0" applyFill="1"/>
    <xf numFmtId="0" fontId="11" fillId="14" borderId="11" xfId="0" applyFont="1" applyFill="1" applyBorder="1"/>
    <xf numFmtId="165" fontId="4" fillId="14" borderId="22" xfId="0" applyNumberFormat="1" applyFont="1" applyFill="1" applyBorder="1"/>
    <xf numFmtId="0" fontId="0" fillId="13" borderId="29" xfId="0" applyFill="1" applyBorder="1"/>
    <xf numFmtId="173" fontId="4" fillId="13" borderId="14" xfId="0" applyNumberFormat="1" applyFont="1" applyFill="1" applyBorder="1"/>
    <xf numFmtId="0" fontId="11" fillId="19" borderId="11" xfId="0" applyFont="1" applyFill="1" applyBorder="1"/>
    <xf numFmtId="2" fontId="0" fillId="19" borderId="22" xfId="0" applyNumberFormat="1" applyFill="1" applyBorder="1"/>
    <xf numFmtId="0" fontId="4" fillId="13" borderId="10" xfId="0" applyFont="1" applyFill="1" applyBorder="1"/>
    <xf numFmtId="2" fontId="0" fillId="13" borderId="14" xfId="0" applyNumberFormat="1" applyFill="1" applyBorder="1"/>
    <xf numFmtId="0" fontId="11" fillId="13" borderId="27" xfId="0" applyFont="1" applyFill="1" applyBorder="1"/>
    <xf numFmtId="0" fontId="0" fillId="0" borderId="0" xfId="0" applyNumberFormat="1" applyFill="1" applyBorder="1"/>
    <xf numFmtId="0" fontId="3" fillId="0" borderId="0" xfId="4" applyFill="1"/>
    <xf numFmtId="177" fontId="0" fillId="13" borderId="14" xfId="0" applyNumberFormat="1" applyFill="1" applyBorder="1"/>
    <xf numFmtId="178" fontId="0" fillId="17" borderId="14" xfId="0" applyNumberFormat="1" applyFill="1" applyBorder="1"/>
    <xf numFmtId="178" fontId="0" fillId="13" borderId="14" xfId="0" applyNumberFormat="1" applyFill="1" applyBorder="1"/>
    <xf numFmtId="0" fontId="11" fillId="14" borderId="0" xfId="0" applyFont="1" applyFill="1"/>
    <xf numFmtId="2" fontId="0" fillId="13" borderId="6" xfId="0" applyNumberFormat="1" applyFill="1" applyBorder="1"/>
    <xf numFmtId="0" fontId="4" fillId="17" borderId="10" xfId="0" applyFont="1" applyFill="1" applyBorder="1"/>
    <xf numFmtId="0" fontId="11" fillId="17" borderId="15" xfId="0" applyFont="1" applyFill="1" applyBorder="1"/>
    <xf numFmtId="177" fontId="4" fillId="17" borderId="17" xfId="0" applyNumberFormat="1" applyFont="1" applyFill="1" applyBorder="1"/>
    <xf numFmtId="187" fontId="0" fillId="0" borderId="0" xfId="0" applyNumberFormat="1"/>
    <xf numFmtId="184" fontId="4" fillId="0" borderId="0" xfId="0" applyNumberFormat="1" applyFont="1"/>
    <xf numFmtId="185" fontId="4" fillId="0" borderId="0" xfId="0" applyNumberFormat="1" applyFont="1" applyAlignment="1">
      <alignment horizontal="right"/>
    </xf>
    <xf numFmtId="184" fontId="4" fillId="0" borderId="0" xfId="0" applyNumberFormat="1" applyFont="1" applyAlignment="1">
      <alignment wrapText="1"/>
    </xf>
    <xf numFmtId="169" fontId="4" fillId="0" borderId="0" xfId="0" applyNumberFormat="1" applyFont="1" applyFill="1" applyBorder="1" applyAlignment="1">
      <alignment horizontal="left" vertical="top"/>
    </xf>
    <xf numFmtId="175" fontId="4" fillId="0" borderId="0" xfId="0" applyNumberFormat="1" applyFont="1" applyFill="1" applyBorder="1"/>
    <xf numFmtId="177" fontId="0" fillId="17" borderId="14" xfId="0" applyNumberFormat="1" applyFill="1" applyBorder="1"/>
    <xf numFmtId="178" fontId="15" fillId="0" borderId="0" xfId="0" applyNumberFormat="1" applyFont="1"/>
    <xf numFmtId="0" fontId="4" fillId="0" borderId="0" xfId="0" applyFont="1" applyAlignment="1">
      <alignment horizontal="center"/>
    </xf>
    <xf numFmtId="0" fontId="30" fillId="0" borderId="0" xfId="0" applyFont="1"/>
    <xf numFmtId="177" fontId="17" fillId="0" borderId="0" xfId="0" applyNumberFormat="1" applyFont="1"/>
    <xf numFmtId="2" fontId="17" fillId="0" borderId="0" xfId="0" applyNumberFormat="1" applyFont="1"/>
    <xf numFmtId="0" fontId="17" fillId="0" borderId="0" xfId="0" applyNumberFormat="1" applyFont="1"/>
    <xf numFmtId="185" fontId="4" fillId="0" borderId="0" xfId="0" applyNumberFormat="1" applyFont="1"/>
    <xf numFmtId="0" fontId="29" fillId="0" borderId="0" xfId="0" applyFont="1"/>
    <xf numFmtId="0" fontId="0" fillId="0" borderId="0" xfId="0" applyAlignment="1">
      <alignment wrapText="1"/>
    </xf>
    <xf numFmtId="188" fontId="29" fillId="0" borderId="0" xfId="0" applyNumberFormat="1" applyFont="1"/>
    <xf numFmtId="0" fontId="29" fillId="0" borderId="0" xfId="0" applyFont="1" applyAlignment="1">
      <alignment wrapText="1"/>
    </xf>
    <xf numFmtId="188" fontId="0" fillId="0" borderId="0" xfId="0" applyNumberFormat="1"/>
    <xf numFmtId="0" fontId="9" fillId="0" borderId="0" xfId="2" applyAlignment="1" applyProtection="1"/>
    <xf numFmtId="0" fontId="29" fillId="0" borderId="0" xfId="0" applyFont="1" applyBorder="1"/>
    <xf numFmtId="188" fontId="0" fillId="0" borderId="0" xfId="0" applyNumberFormat="1" applyBorder="1"/>
    <xf numFmtId="0" fontId="9" fillId="0" borderId="0" xfId="2" applyBorder="1" applyAlignment="1" applyProtection="1"/>
    <xf numFmtId="0" fontId="9" fillId="0" borderId="0" xfId="2" applyBorder="1" applyAlignment="1" applyProtection="1">
      <alignment horizontal="left" wrapText="1" indent="1"/>
    </xf>
    <xf numFmtId="0" fontId="0" fillId="0" borderId="0" xfId="0" applyBorder="1" applyAlignment="1">
      <alignment wrapText="1"/>
    </xf>
    <xf numFmtId="49" fontId="26" fillId="0" borderId="0" xfId="0" applyNumberFormat="1" applyFont="1" applyAlignment="1">
      <alignment horizontal="right"/>
    </xf>
    <xf numFmtId="177" fontId="4" fillId="0" borderId="0" xfId="0" applyNumberFormat="1" applyFont="1"/>
    <xf numFmtId="165" fontId="0" fillId="13" borderId="28" xfId="0" applyNumberFormat="1" applyFill="1" applyBorder="1"/>
    <xf numFmtId="0" fontId="4" fillId="4" borderId="6" xfId="0" applyFont="1" applyFill="1" applyBorder="1" applyAlignment="1">
      <alignment horizontal="left" vertical="center"/>
    </xf>
    <xf numFmtId="167" fontId="4" fillId="4" borderId="6" xfId="0" applyNumberFormat="1" applyFont="1" applyFill="1" applyBorder="1" applyAlignment="1">
      <alignment horizontal="right" wrapText="1"/>
    </xf>
    <xf numFmtId="0" fontId="31" fillId="0" borderId="0" xfId="0" applyFont="1"/>
    <xf numFmtId="0" fontId="6" fillId="0" borderId="7" xfId="0" applyFont="1" applyBorder="1" applyAlignment="1">
      <alignment horizontal="center"/>
    </xf>
    <xf numFmtId="0" fontId="6" fillId="0" borderId="21" xfId="0" applyFont="1" applyBorder="1" applyAlignment="1">
      <alignment horizontal="center"/>
    </xf>
    <xf numFmtId="0" fontId="6" fillId="0" borderId="13" xfId="0" applyFont="1" applyBorder="1" applyAlignment="1">
      <alignment horizontal="center"/>
    </xf>
    <xf numFmtId="0" fontId="23" fillId="9" borderId="8" xfId="0" applyFont="1" applyFill="1" applyBorder="1" applyAlignment="1">
      <alignment horizontal="center"/>
    </xf>
    <xf numFmtId="0" fontId="23" fillId="9" borderId="18" xfId="0" applyFont="1" applyFill="1" applyBorder="1" applyAlignment="1">
      <alignment horizontal="center"/>
    </xf>
    <xf numFmtId="0" fontId="23" fillId="9" borderId="9" xfId="0" applyFont="1" applyFill="1" applyBorder="1" applyAlignment="1">
      <alignment horizontal="center"/>
    </xf>
    <xf numFmtId="0" fontId="15" fillId="0" borderId="0" xfId="0" applyFont="1" applyAlignment="1">
      <alignment horizontal="center"/>
    </xf>
    <xf numFmtId="0" fontId="0" fillId="0" borderId="0" xfId="0" applyAlignment="1">
      <alignment horizontal="center"/>
    </xf>
    <xf numFmtId="0" fontId="4" fillId="12" borderId="19" xfId="0" applyFont="1" applyFill="1" applyBorder="1" applyAlignment="1">
      <alignment horizontal="left" vertical="top" wrapText="1"/>
    </xf>
    <xf numFmtId="0" fontId="4" fillId="12" borderId="26" xfId="0" applyFont="1" applyFill="1" applyBorder="1" applyAlignment="1">
      <alignment horizontal="left" vertical="top" wrapText="1"/>
    </xf>
    <xf numFmtId="0" fontId="4" fillId="12" borderId="20" xfId="0" applyFont="1" applyFill="1" applyBorder="1" applyAlignment="1">
      <alignment horizontal="left" vertical="top" wrapText="1"/>
    </xf>
    <xf numFmtId="0" fontId="4" fillId="12" borderId="1" xfId="0" applyFont="1" applyFill="1" applyBorder="1" applyAlignment="1">
      <alignment horizontal="left" vertical="top" wrapText="1"/>
    </xf>
    <xf numFmtId="0" fontId="4" fillId="12" borderId="0" xfId="0" applyFont="1" applyFill="1" applyBorder="1" applyAlignment="1">
      <alignment horizontal="left" vertical="top" wrapText="1"/>
    </xf>
    <xf numFmtId="0" fontId="4" fillId="12" borderId="2" xfId="0" applyFont="1" applyFill="1" applyBorder="1" applyAlignment="1">
      <alignment horizontal="left" vertical="top" wrapText="1"/>
    </xf>
    <xf numFmtId="0" fontId="4" fillId="12" borderId="3" xfId="0" applyFont="1" applyFill="1" applyBorder="1" applyAlignment="1">
      <alignment horizontal="left" vertical="top" wrapText="1"/>
    </xf>
    <xf numFmtId="0" fontId="4" fillId="12" borderId="4" xfId="0" applyFont="1" applyFill="1" applyBorder="1" applyAlignment="1">
      <alignment horizontal="left" vertical="top" wrapText="1"/>
    </xf>
    <xf numFmtId="0" fontId="4" fillId="12" borderId="5" xfId="0" applyFont="1" applyFill="1" applyBorder="1" applyAlignment="1">
      <alignment horizontal="left" vertical="top" wrapText="1"/>
    </xf>
    <xf numFmtId="0" fontId="29" fillId="0" borderId="0" xfId="0" applyFont="1" applyAlignment="1">
      <alignment horizontal="center"/>
    </xf>
  </cellXfs>
  <cellStyles count="14">
    <cellStyle name="Comma" xfId="1" builtinId="3"/>
    <cellStyle name="Comma 2" xfId="6" xr:uid="{00000000-0005-0000-0000-000001000000}"/>
    <cellStyle name="Hyperlink" xfId="2" builtinId="8"/>
    <cellStyle name="Hyperlink 2" xfId="10" xr:uid="{00000000-0005-0000-0000-000003000000}"/>
    <cellStyle name="Normal" xfId="0" builtinId="0"/>
    <cellStyle name="Normal 2" xfId="4" xr:uid="{00000000-0005-0000-0000-000005000000}"/>
    <cellStyle name="Normal 2 2" xfId="5" xr:uid="{00000000-0005-0000-0000-000006000000}"/>
    <cellStyle name="Normal 2 3" xfId="11" xr:uid="{00000000-0005-0000-0000-000007000000}"/>
    <cellStyle name="Normal 3" xfId="8" xr:uid="{00000000-0005-0000-0000-000008000000}"/>
    <cellStyle name="Normal 3 2" xfId="12" xr:uid="{00000000-0005-0000-0000-000009000000}"/>
    <cellStyle name="Percent" xfId="3" builtinId="5"/>
    <cellStyle name="Percent 2" xfId="7" xr:uid="{00000000-0005-0000-0000-00000B000000}"/>
    <cellStyle name="Percent 3" xfId="9" xr:uid="{00000000-0005-0000-0000-00000C000000}"/>
    <cellStyle name="Percent 3 2" xfId="13" xr:uid="{00000000-0005-0000-0000-00000D000000}"/>
  </cellStyles>
  <dxfs count="0"/>
  <tableStyles count="0" defaultTableStyle="TableStyleMedium9" defaultPivotStyle="PivotStyleLight16"/>
  <colors>
    <mruColors>
      <color rgb="FFA5D773"/>
      <color rgb="FFFFFFA7"/>
      <color rgb="FFFFFF81"/>
      <color rgb="FF99CC00"/>
      <color rgb="FFFFFF99"/>
      <color rgb="FFFFFFC1"/>
      <color rgb="FFFFFF66"/>
      <color rgb="FFFFFFCD"/>
      <color rgb="FFFFFF37"/>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9.5372704450118986E-2"/>
          <c:y val="0.25824358504735406"/>
          <c:w val="0.85865157847060658"/>
          <c:h val="0.67361666181802038"/>
        </c:manualLayout>
      </c:layout>
      <c:scatterChart>
        <c:scatterStyle val="smoothMarker"/>
        <c:varyColors val="0"/>
        <c:ser>
          <c:idx val="0"/>
          <c:order val="0"/>
          <c:tx>
            <c:v>Acceleration (m/sec^2)</c:v>
          </c:tx>
          <c:marker>
            <c:symbol val="none"/>
          </c:marker>
          <c:xVal>
            <c:numRef>
              <c:f>VesselCharacteristics!$B$95:$B$100</c:f>
              <c:numCache>
                <c:formatCode>General</c:formatCode>
                <c:ptCount val="6"/>
                <c:pt idx="0">
                  <c:v>0</c:v>
                </c:pt>
                <c:pt idx="1">
                  <c:v>1</c:v>
                </c:pt>
                <c:pt idx="2">
                  <c:v>2</c:v>
                </c:pt>
                <c:pt idx="3">
                  <c:v>3</c:v>
                </c:pt>
                <c:pt idx="4">
                  <c:v>4</c:v>
                </c:pt>
                <c:pt idx="5">
                  <c:v>5</c:v>
                </c:pt>
              </c:numCache>
            </c:numRef>
          </c:xVal>
          <c:yVal>
            <c:numRef>
              <c:f>VesselCharacteristics!$R$95:$R$100</c:f>
              <c:numCache>
                <c:formatCode>#,##0.0000</c:formatCode>
                <c:ptCount val="6"/>
                <c:pt idx="1">
                  <c:v>-9.8065999999999995</c:v>
                </c:pt>
                <c:pt idx="2">
                  <c:v>-9.8065999999999995</c:v>
                </c:pt>
                <c:pt idx="3">
                  <c:v>-9.8066301548370358</c:v>
                </c:pt>
                <c:pt idx="4">
                  <c:v>-9.8066603098131591</c:v>
                </c:pt>
                <c:pt idx="5">
                  <c:v>-9.8066904650210986</c:v>
                </c:pt>
              </c:numCache>
            </c:numRef>
          </c:yVal>
          <c:smooth val="1"/>
          <c:extLst>
            <c:ext xmlns:c16="http://schemas.microsoft.com/office/drawing/2014/chart" uri="{C3380CC4-5D6E-409C-BE32-E72D297353CC}">
              <c16:uniqueId val="{00000000-7E6A-6949-82A1-3434F08B42B2}"/>
            </c:ext>
          </c:extLst>
        </c:ser>
        <c:dLbls>
          <c:showLegendKey val="0"/>
          <c:showVal val="0"/>
          <c:showCatName val="0"/>
          <c:showSerName val="0"/>
          <c:showPercent val="0"/>
          <c:showBubbleSize val="0"/>
        </c:dLbls>
        <c:axId val="336939264"/>
        <c:axId val="337475072"/>
      </c:scatterChart>
      <c:valAx>
        <c:axId val="33693926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7475072"/>
        <c:crosses val="autoZero"/>
        <c:crossBetween val="midCat"/>
      </c:valAx>
      <c:valAx>
        <c:axId val="337475072"/>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6939264"/>
        <c:crosses val="autoZero"/>
        <c:crossBetween val="midCat"/>
      </c:valAx>
    </c:plotArea>
    <c:legend>
      <c:legendPos val="r"/>
      <c:layout>
        <c:manualLayout>
          <c:xMode val="edge"/>
          <c:yMode val="edge"/>
          <c:x val="0.44461533429816602"/>
          <c:y val="0.22668166479190102"/>
          <c:w val="0.50362302842985751"/>
          <c:h val="0.18513783603136566"/>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Propellent Mass Budget Analysis for Change in Velocity Increment</a:t>
            </a:r>
          </a:p>
        </c:rich>
      </c:tx>
      <c:overlay val="0"/>
    </c:title>
    <c:autoTitleDeleted val="0"/>
    <c:plotArea>
      <c:layout>
        <c:manualLayout>
          <c:layoutTarget val="inner"/>
          <c:xMode val="edge"/>
          <c:yMode val="edge"/>
          <c:x val="9.5372704450118945E-2"/>
          <c:y val="0.25824358504735406"/>
          <c:w val="0.85865157847060691"/>
          <c:h val="0.6736166618180206"/>
        </c:manualLayout>
      </c:layout>
      <c:scatterChart>
        <c:scatterStyle val="smoothMarker"/>
        <c:varyColors val="0"/>
        <c:ser>
          <c:idx val="0"/>
          <c:order val="0"/>
          <c:tx>
            <c:v>Propellent Mass (kg)</c:v>
          </c:tx>
          <c:spPr>
            <a:ln>
              <a:solidFill>
                <a:schemeClr val="accent6">
                  <a:lumMod val="75000"/>
                </a:schemeClr>
              </a:solidFill>
            </a:ln>
          </c:spPr>
          <c:marker>
            <c:symbol val="none"/>
          </c:marker>
          <c:xVal>
            <c:numRef>
              <c:f>VesselCharacteristics!$AC$5:$AC$80</c:f>
              <c:numCache>
                <c:formatCode>General</c:formatCode>
                <c:ptCount val="76"/>
                <c:pt idx="0">
                  <c:v>250</c:v>
                </c:pt>
                <c:pt idx="1">
                  <c:v>500</c:v>
                </c:pt>
                <c:pt idx="2">
                  <c:v>750</c:v>
                </c:pt>
                <c:pt idx="3">
                  <c:v>1000</c:v>
                </c:pt>
                <c:pt idx="4">
                  <c:v>1250</c:v>
                </c:pt>
                <c:pt idx="5">
                  <c:v>1500</c:v>
                </c:pt>
                <c:pt idx="6">
                  <c:v>1750</c:v>
                </c:pt>
                <c:pt idx="7">
                  <c:v>2000</c:v>
                </c:pt>
                <c:pt idx="8">
                  <c:v>2250</c:v>
                </c:pt>
                <c:pt idx="9">
                  <c:v>2500</c:v>
                </c:pt>
                <c:pt idx="10">
                  <c:v>2750</c:v>
                </c:pt>
                <c:pt idx="11">
                  <c:v>3000</c:v>
                </c:pt>
                <c:pt idx="12">
                  <c:v>3250</c:v>
                </c:pt>
                <c:pt idx="13">
                  <c:v>3500</c:v>
                </c:pt>
                <c:pt idx="14">
                  <c:v>3750</c:v>
                </c:pt>
                <c:pt idx="15">
                  <c:v>4000</c:v>
                </c:pt>
                <c:pt idx="16">
                  <c:v>4250</c:v>
                </c:pt>
                <c:pt idx="17">
                  <c:v>4500</c:v>
                </c:pt>
                <c:pt idx="18">
                  <c:v>4750</c:v>
                </c:pt>
                <c:pt idx="19">
                  <c:v>5000</c:v>
                </c:pt>
                <c:pt idx="20">
                  <c:v>5250</c:v>
                </c:pt>
                <c:pt idx="21">
                  <c:v>5500</c:v>
                </c:pt>
                <c:pt idx="43">
                  <c:v>5750</c:v>
                </c:pt>
                <c:pt idx="53">
                  <c:v>6000</c:v>
                </c:pt>
                <c:pt idx="60">
                  <c:v>6250</c:v>
                </c:pt>
                <c:pt idx="61">
                  <c:v>6500</c:v>
                </c:pt>
                <c:pt idx="62">
                  <c:v>6750</c:v>
                </c:pt>
                <c:pt idx="63">
                  <c:v>7000</c:v>
                </c:pt>
                <c:pt idx="64">
                  <c:v>7250</c:v>
                </c:pt>
                <c:pt idx="65">
                  <c:v>7500</c:v>
                </c:pt>
                <c:pt idx="66">
                  <c:v>7750</c:v>
                </c:pt>
                <c:pt idx="67">
                  <c:v>8000</c:v>
                </c:pt>
                <c:pt idx="68">
                  <c:v>8250</c:v>
                </c:pt>
                <c:pt idx="69">
                  <c:v>8500</c:v>
                </c:pt>
                <c:pt idx="70">
                  <c:v>8750</c:v>
                </c:pt>
                <c:pt idx="71">
                  <c:v>9000</c:v>
                </c:pt>
                <c:pt idx="72">
                  <c:v>9250</c:v>
                </c:pt>
                <c:pt idx="73">
                  <c:v>9500</c:v>
                </c:pt>
                <c:pt idx="74">
                  <c:v>9750</c:v>
                </c:pt>
                <c:pt idx="75">
                  <c:v>10000</c:v>
                </c:pt>
              </c:numCache>
            </c:numRef>
          </c:xVal>
          <c:yVal>
            <c:numRef>
              <c:f>VesselCharacteristics!$AD$5:$AD$80</c:f>
              <c:numCache>
                <c:formatCode>#,##0.00</c:formatCode>
                <c:ptCount val="76"/>
                <c:pt idx="0">
                  <c:v>0.16638596250745508</c:v>
                </c:pt>
                <c:pt idx="1">
                  <c:v>0.33623246107985416</c:v>
                </c:pt>
                <c:pt idx="2">
                  <c:v>0.50961146879518715</c:v>
                </c:pt>
                <c:pt idx="3">
                  <c:v>0.68659645564518357</c:v>
                </c:pt>
                <c:pt idx="4">
                  <c:v>0.8672624196684815</c:v>
                </c:pt>
                <c:pt idx="5">
                  <c:v>1.051685918731323</c:v>
                </c:pt>
                <c:pt idx="6">
                  <c:v>1.2399451029692354</c:v>
                </c:pt>
                <c:pt idx="7">
                  <c:v>1.4321197479034335</c:v>
                </c:pt>
                <c:pt idx="8">
                  <c:v>1.628291288245995</c:v>
                </c:pt>
                <c:pt idx="9">
                  <c:v>1.8285428524081162</c:v>
                </c:pt>
                <c:pt idx="10">
                  <c:v>2.0329592977260784</c:v>
                </c:pt>
                <c:pt idx="11">
                  <c:v>2.2416272464198634</c:v>
                </c:pt>
                <c:pt idx="12">
                  <c:v>2.4546351222996332</c:v>
                </c:pt>
                <c:pt idx="13">
                  <c:v>2.6720731882356432</c:v>
                </c:pt>
                <c:pt idx="14">
                  <c:v>2.8940335844074667</c:v>
                </c:pt>
                <c:pt idx="15">
                  <c:v>3.1206103673487409</c:v>
                </c:pt>
                <c:pt idx="16">
                  <c:v>3.3518995498039548</c:v>
                </c:pt>
                <c:pt idx="17">
                  <c:v>3.5879991414142154</c:v>
                </c:pt>
                <c:pt idx="18">
                  <c:v>3.8290091902491881</c:v>
                </c:pt>
                <c:pt idx="19">
                  <c:v>4.0750318252028315</c:v>
                </c:pt>
                <c:pt idx="20">
                  <c:v>4.3261712992709001</c:v>
                </c:pt>
                <c:pt idx="21">
                  <c:v>4.5825340337285194</c:v>
                </c:pt>
                <c:pt idx="43">
                  <c:v>4.8442286632266125</c:v>
                </c:pt>
                <c:pt idx="53">
                  <c:v>5.1113660818262154</c:v>
                </c:pt>
                <c:pt idx="60">
                  <c:v>5.3840594899902481</c:v>
                </c:pt>
                <c:pt idx="61">
                  <c:v>5.6624244425526324</c:v>
                </c:pt>
                <c:pt idx="62">
                  <c:v>5.94657889768507</c:v>
                </c:pt>
                <c:pt idx="63">
                  <c:v>6.2366432668822593</c:v>
                </c:pt>
                <c:pt idx="64">
                  <c:v>6.5327404659866968</c:v>
                </c:pt>
                <c:pt idx="65">
                  <c:v>6.8349959672747271</c:v>
                </c:pt>
                <c:pt idx="66">
                  <c:v>7.1435378526258813</c:v>
                </c:pt>
                <c:pt idx="67">
                  <c:v>7.4584968677980381</c:v>
                </c:pt>
                <c:pt idx="68">
                  <c:v>7.7800064778314209</c:v>
                </c:pt>
                <c:pt idx="69">
                  <c:v>8.1082029236049067</c:v>
                </c:pt>
                <c:pt idx="70">
                  <c:v>8.4432252795685834</c:v>
                </c:pt>
                <c:pt idx="71">
                  <c:v>8.7852155126770768</c:v>
                </c:pt>
                <c:pt idx="72">
                  <c:v>9.1343185425485593</c:v>
                </c:pt>
                <c:pt idx="73">
                  <c:v>9.4906823028749692</c:v>
                </c:pt>
                <c:pt idx="74">
                  <c:v>9.8544578041094653</c:v>
                </c:pt>
                <c:pt idx="75">
                  <c:v>10.225799197457654</c:v>
                </c:pt>
              </c:numCache>
            </c:numRef>
          </c:yVal>
          <c:smooth val="1"/>
          <c:extLst>
            <c:ext xmlns:c16="http://schemas.microsoft.com/office/drawing/2014/chart" uri="{C3380CC4-5D6E-409C-BE32-E72D297353CC}">
              <c16:uniqueId val="{00000000-2409-5849-9DCB-E583BA26B28E}"/>
            </c:ext>
          </c:extLst>
        </c:ser>
        <c:dLbls>
          <c:showLegendKey val="0"/>
          <c:showVal val="0"/>
          <c:showCatName val="0"/>
          <c:showSerName val="0"/>
          <c:showPercent val="0"/>
          <c:showBubbleSize val="0"/>
        </c:dLbls>
        <c:axId val="338560512"/>
        <c:axId val="338562048"/>
      </c:scatterChart>
      <c:valAx>
        <c:axId val="33856051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8562048"/>
        <c:crosses val="autoZero"/>
        <c:crossBetween val="midCat"/>
      </c:valAx>
      <c:valAx>
        <c:axId val="338562048"/>
        <c:scaling>
          <c:orientation val="minMax"/>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8560512"/>
        <c:crosses val="autoZero"/>
        <c:crossBetween val="midCat"/>
      </c:valAx>
    </c:plotArea>
    <c:legend>
      <c:legendPos val="r"/>
      <c:layout>
        <c:manualLayout>
          <c:xMode val="edge"/>
          <c:yMode val="edge"/>
          <c:x val="0.1330281998681522"/>
          <c:y val="0.25042043657586277"/>
          <c:w val="0.32705705078596847"/>
          <c:h val="8.6225852203257181E-2"/>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 l="0.70000000000000062" r="0.70000000000000062" t="0.75000000000000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marker>
            <c:symbol val="none"/>
          </c:marker>
          <c:xVal>
            <c:numRef>
              <c:f>VesselCharacteristics!$AJ$66:$AJ$76</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VesselCharacteristics!$AK$66:$AK$76</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yVal>
          <c:smooth val="1"/>
          <c:extLst>
            <c:ext xmlns:c16="http://schemas.microsoft.com/office/drawing/2014/chart" uri="{C3380CC4-5D6E-409C-BE32-E72D297353CC}">
              <c16:uniqueId val="{00000000-4A65-6D46-84BF-EF5E5F65B1F2}"/>
            </c:ext>
          </c:extLst>
        </c:ser>
        <c:ser>
          <c:idx val="1"/>
          <c:order val="1"/>
          <c:marker>
            <c:symbol val="none"/>
          </c:marker>
          <c:xVal>
            <c:numRef>
              <c:f>VesselCharacteristics!$AJ$66:$AJ$76</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VesselCharacteristics!$AL$66:$AL$76</c:f>
              <c:numCache>
                <c:formatCode>General</c:formatCode>
                <c:ptCount val="11"/>
                <c:pt idx="0">
                  <c:v>0</c:v>
                </c:pt>
                <c:pt idx="1">
                  <c:v>18</c:v>
                </c:pt>
                <c:pt idx="2">
                  <c:v>36</c:v>
                </c:pt>
                <c:pt idx="3">
                  <c:v>54</c:v>
                </c:pt>
                <c:pt idx="4">
                  <c:v>72</c:v>
                </c:pt>
                <c:pt idx="5">
                  <c:v>90</c:v>
                </c:pt>
                <c:pt idx="6">
                  <c:v>72</c:v>
                </c:pt>
                <c:pt idx="7">
                  <c:v>54</c:v>
                </c:pt>
                <c:pt idx="8">
                  <c:v>36</c:v>
                </c:pt>
                <c:pt idx="9">
                  <c:v>18</c:v>
                </c:pt>
                <c:pt idx="10">
                  <c:v>0</c:v>
                </c:pt>
              </c:numCache>
            </c:numRef>
          </c:yVal>
          <c:smooth val="1"/>
          <c:extLst>
            <c:ext xmlns:c16="http://schemas.microsoft.com/office/drawing/2014/chart" uri="{C3380CC4-5D6E-409C-BE32-E72D297353CC}">
              <c16:uniqueId val="{00000001-4A65-6D46-84BF-EF5E5F65B1F2}"/>
            </c:ext>
          </c:extLst>
        </c:ser>
        <c:ser>
          <c:idx val="2"/>
          <c:order val="2"/>
          <c:marker>
            <c:symbol val="none"/>
          </c:marker>
          <c:xVal>
            <c:numRef>
              <c:f>VesselCharacteristics!$AJ$66:$AJ$76</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VesselCharacteristics!$AM$66:$AM$76</c:f>
              <c:numCache>
                <c:formatCode>General</c:formatCode>
                <c:ptCount val="11"/>
                <c:pt idx="0">
                  <c:v>0</c:v>
                </c:pt>
                <c:pt idx="1">
                  <c:v>-3.6</c:v>
                </c:pt>
                <c:pt idx="2">
                  <c:v>-14.4</c:v>
                </c:pt>
                <c:pt idx="3">
                  <c:v>-32.4</c:v>
                </c:pt>
                <c:pt idx="4">
                  <c:v>-57.6</c:v>
                </c:pt>
                <c:pt idx="5">
                  <c:v>-90</c:v>
                </c:pt>
                <c:pt idx="6">
                  <c:v>-129.6</c:v>
                </c:pt>
                <c:pt idx="7">
                  <c:v>-176.4</c:v>
                </c:pt>
                <c:pt idx="8">
                  <c:v>-230.4</c:v>
                </c:pt>
                <c:pt idx="9">
                  <c:v>-291.60000000000002</c:v>
                </c:pt>
                <c:pt idx="10">
                  <c:v>-360</c:v>
                </c:pt>
              </c:numCache>
            </c:numRef>
          </c:yVal>
          <c:smooth val="1"/>
          <c:extLst>
            <c:ext xmlns:c16="http://schemas.microsoft.com/office/drawing/2014/chart" uri="{C3380CC4-5D6E-409C-BE32-E72D297353CC}">
              <c16:uniqueId val="{00000002-4A65-6D46-84BF-EF5E5F65B1F2}"/>
            </c:ext>
          </c:extLst>
        </c:ser>
        <c:dLbls>
          <c:showLegendKey val="0"/>
          <c:showVal val="0"/>
          <c:showCatName val="0"/>
          <c:showSerName val="0"/>
          <c:showPercent val="0"/>
          <c:showBubbleSize val="0"/>
        </c:dLbls>
        <c:axId val="338605184"/>
        <c:axId val="338606720"/>
      </c:scatterChart>
      <c:valAx>
        <c:axId val="33860518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8606720"/>
        <c:crosses val="autoZero"/>
        <c:crossBetween val="midCat"/>
      </c:valAx>
      <c:valAx>
        <c:axId val="338606720"/>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8605184"/>
        <c:crosses val="autoZero"/>
        <c:crossBetween val="midCat"/>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scatterChart>
        <c:scatterStyle val="smoothMarker"/>
        <c:varyColors val="0"/>
        <c:ser>
          <c:idx val="0"/>
          <c:order val="0"/>
          <c:tx>
            <c:v>Powered Flight Trajectory (Degrees)</c:v>
          </c:tx>
          <c:marker>
            <c:symbol val="none"/>
          </c:marker>
          <c:xVal>
            <c:numRef>
              <c:f>VesselCharacteristics!$B$95:$B$100</c:f>
              <c:numCache>
                <c:formatCode>General</c:formatCode>
                <c:ptCount val="6"/>
                <c:pt idx="0">
                  <c:v>0</c:v>
                </c:pt>
                <c:pt idx="1">
                  <c:v>1</c:v>
                </c:pt>
                <c:pt idx="2">
                  <c:v>2</c:v>
                </c:pt>
                <c:pt idx="3">
                  <c:v>3</c:v>
                </c:pt>
                <c:pt idx="4">
                  <c:v>4</c:v>
                </c:pt>
                <c:pt idx="5">
                  <c:v>5</c:v>
                </c:pt>
              </c:numCache>
            </c:numRef>
          </c:xVal>
          <c:yVal>
            <c:numRef>
              <c:f>VesselCharacteristics!$J$95:$J$100</c:f>
              <c:numCache>
                <c:formatCode>0.00</c:formatCode>
                <c:ptCount val="6"/>
                <c:pt idx="0">
                  <c:v>0</c:v>
                </c:pt>
                <c:pt idx="1">
                  <c:v>90</c:v>
                </c:pt>
                <c:pt idx="2">
                  <c:v>0</c:v>
                </c:pt>
                <c:pt idx="3">
                  <c:v>-270</c:v>
                </c:pt>
                <c:pt idx="4">
                  <c:v>-720</c:v>
                </c:pt>
                <c:pt idx="5">
                  <c:v>-1350</c:v>
                </c:pt>
              </c:numCache>
            </c:numRef>
          </c:yVal>
          <c:smooth val="1"/>
          <c:extLst>
            <c:ext xmlns:c16="http://schemas.microsoft.com/office/drawing/2014/chart" uri="{C3380CC4-5D6E-409C-BE32-E72D297353CC}">
              <c16:uniqueId val="{00000000-3D95-AE4F-A0AA-6F5F97B3DE81}"/>
            </c:ext>
          </c:extLst>
        </c:ser>
        <c:dLbls>
          <c:showLegendKey val="0"/>
          <c:showVal val="0"/>
          <c:showCatName val="0"/>
          <c:showSerName val="0"/>
          <c:showPercent val="0"/>
          <c:showBubbleSize val="0"/>
        </c:dLbls>
        <c:axId val="339543936"/>
        <c:axId val="339545472"/>
      </c:scatterChart>
      <c:valAx>
        <c:axId val="339543936"/>
        <c:scaling>
          <c:orientation val="minMax"/>
          <c:max val="55"/>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9545472"/>
        <c:crosses val="autoZero"/>
        <c:crossBetween val="midCat"/>
      </c:valAx>
      <c:valAx>
        <c:axId val="339545472"/>
        <c:scaling>
          <c:orientation val="minMax"/>
          <c:min val="0"/>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9543936"/>
        <c:crosses val="autoZero"/>
        <c:crossBetween val="midCat"/>
      </c:valAx>
    </c:plotArea>
    <c:legend>
      <c:legendPos val="r"/>
      <c:layout>
        <c:manualLayout>
          <c:xMode val="edge"/>
          <c:yMode val="edge"/>
          <c:x val="0.6558887139107612"/>
          <c:y val="0.18187622306928949"/>
          <c:w val="0.30026267716535437"/>
          <c:h val="0.13989965035289317"/>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2D Cross Sectional Chamber</a:t>
            </a:r>
          </a:p>
        </c:rich>
      </c:tx>
      <c:layout>
        <c:manualLayout>
          <c:xMode val="edge"/>
          <c:yMode val="edge"/>
          <c:x val="0.31030455852316952"/>
          <c:y val="4.3664733433924303E-2"/>
        </c:manualLayout>
      </c:layout>
      <c:overlay val="1"/>
    </c:title>
    <c:autoTitleDeleted val="0"/>
    <c:plotArea>
      <c:layout/>
      <c:scatterChart>
        <c:scatterStyle val="lineMarker"/>
        <c:varyColors val="0"/>
        <c:ser>
          <c:idx val="0"/>
          <c:order val="0"/>
          <c:tx>
            <c:strRef>
              <c:f>VesselCharacteristics!$AH$3</c:f>
              <c:strCache>
                <c:ptCount val="1"/>
                <c:pt idx="0">
                  <c:v>y-top</c:v>
                </c:pt>
              </c:strCache>
            </c:strRef>
          </c:tx>
          <c:spPr>
            <a:ln>
              <a:solidFill>
                <a:schemeClr val="tx2">
                  <a:lumMod val="60000"/>
                  <a:lumOff val="40000"/>
                </a:schemeClr>
              </a:solidFill>
            </a:ln>
          </c:spPr>
          <c:marker>
            <c:symbol val="circle"/>
            <c:size val="7"/>
            <c:spPr>
              <a:solidFill>
                <a:schemeClr val="accent1">
                  <a:lumMod val="50000"/>
                </a:schemeClr>
              </a:solidFill>
            </c:spPr>
          </c:marker>
          <c:xVal>
            <c:numRef>
              <c:f>VesselCharacteristics!$AG$4:$AG$8</c:f>
              <c:numCache>
                <c:formatCode>#,##0.00000</c:formatCode>
                <c:ptCount val="5"/>
                <c:pt idx="0" formatCode="General">
                  <c:v>0</c:v>
                </c:pt>
                <c:pt idx="1">
                  <c:v>3.9999999959200001</c:v>
                </c:pt>
                <c:pt idx="2">
                  <c:v>4.6607947196785897</c:v>
                </c:pt>
                <c:pt idx="3">
                  <c:v>4.6920447196467148</c:v>
                </c:pt>
                <c:pt idx="4">
                  <c:v>9.6756702395768066</c:v>
                </c:pt>
              </c:numCache>
            </c:numRef>
          </c:xVal>
          <c:yVal>
            <c:numRef>
              <c:f>VesselCharacteristics!$AH$4:$AH$8</c:f>
              <c:numCache>
                <c:formatCode>#,##0.00000</c:formatCode>
                <c:ptCount val="5"/>
                <c:pt idx="0">
                  <c:v>4.1713000715401618</c:v>
                </c:pt>
                <c:pt idx="1">
                  <c:v>4.1713000715401618</c:v>
                </c:pt>
                <c:pt idx="2" formatCode="General">
                  <c:v>3.0267700366168437</c:v>
                </c:pt>
                <c:pt idx="3" formatCode="General">
                  <c:v>3.0267700366168437</c:v>
                </c:pt>
                <c:pt idx="4" formatCode="General">
                  <c:v>4.3621284700612453</c:v>
                </c:pt>
              </c:numCache>
            </c:numRef>
          </c:yVal>
          <c:smooth val="0"/>
          <c:extLst>
            <c:ext xmlns:c16="http://schemas.microsoft.com/office/drawing/2014/chart" uri="{C3380CC4-5D6E-409C-BE32-E72D297353CC}">
              <c16:uniqueId val="{00000000-0AC0-6E4F-93E1-78E953E2192B}"/>
            </c:ext>
          </c:extLst>
        </c:ser>
        <c:ser>
          <c:idx val="1"/>
          <c:order val="1"/>
          <c:tx>
            <c:strRef>
              <c:f>VesselCharacteristics!$AI$3</c:f>
              <c:strCache>
                <c:ptCount val="1"/>
                <c:pt idx="0">
                  <c:v>y-bottom</c:v>
                </c:pt>
              </c:strCache>
            </c:strRef>
          </c:tx>
          <c:spPr>
            <a:ln>
              <a:solidFill>
                <a:schemeClr val="tx2">
                  <a:lumMod val="60000"/>
                  <a:lumOff val="40000"/>
                </a:schemeClr>
              </a:solidFill>
            </a:ln>
          </c:spPr>
          <c:marker>
            <c:symbol val="circle"/>
            <c:size val="7"/>
            <c:spPr>
              <a:solidFill>
                <a:schemeClr val="accent1">
                  <a:lumMod val="50000"/>
                </a:schemeClr>
              </a:solidFill>
            </c:spPr>
          </c:marker>
          <c:xVal>
            <c:numRef>
              <c:f>VesselCharacteristics!$AG$4:$AG$8</c:f>
              <c:numCache>
                <c:formatCode>#,##0.00000</c:formatCode>
                <c:ptCount val="5"/>
                <c:pt idx="0" formatCode="General">
                  <c:v>0</c:v>
                </c:pt>
                <c:pt idx="1">
                  <c:v>3.9999999959200001</c:v>
                </c:pt>
                <c:pt idx="2">
                  <c:v>4.6607947196785897</c:v>
                </c:pt>
                <c:pt idx="3">
                  <c:v>4.6920447196467148</c:v>
                </c:pt>
                <c:pt idx="4">
                  <c:v>9.6756702395768066</c:v>
                </c:pt>
              </c:numCache>
            </c:numRef>
          </c:xVal>
          <c:yVal>
            <c:numRef>
              <c:f>VesselCharacteristics!$AI$4:$AI$8</c:f>
              <c:numCache>
                <c:formatCode>General</c:formatCode>
                <c:ptCount val="5"/>
                <c:pt idx="0" formatCode="#,##0.000">
                  <c:v>0.30302215538342281</c:v>
                </c:pt>
                <c:pt idx="1">
                  <c:v>0.30302215538342281</c:v>
                </c:pt>
                <c:pt idx="2">
                  <c:v>1.447552190306741</c:v>
                </c:pt>
                <c:pt idx="3">
                  <c:v>1.447552190306741</c:v>
                </c:pt>
                <c:pt idx="4">
                  <c:v>0.11219375686233923</c:v>
                </c:pt>
              </c:numCache>
            </c:numRef>
          </c:yVal>
          <c:smooth val="0"/>
          <c:extLst>
            <c:ext xmlns:c16="http://schemas.microsoft.com/office/drawing/2014/chart" uri="{C3380CC4-5D6E-409C-BE32-E72D297353CC}">
              <c16:uniqueId val="{00000001-0AC0-6E4F-93E1-78E953E2192B}"/>
            </c:ext>
          </c:extLst>
        </c:ser>
        <c:ser>
          <c:idx val="2"/>
          <c:order val="2"/>
          <c:tx>
            <c:strRef>
              <c:f>VesselCharacteristics!$AJ$3</c:f>
              <c:strCache>
                <c:ptCount val="1"/>
                <c:pt idx="0">
                  <c:v>y-top-outer</c:v>
                </c:pt>
              </c:strCache>
            </c:strRef>
          </c:tx>
          <c:spPr>
            <a:ln>
              <a:solidFill>
                <a:schemeClr val="tx1">
                  <a:lumMod val="95000"/>
                  <a:lumOff val="5000"/>
                </a:schemeClr>
              </a:solidFill>
              <a:prstDash val="sysDash"/>
            </a:ln>
          </c:spPr>
          <c:marker>
            <c:symbol val="diamond"/>
            <c:size val="7"/>
            <c:spPr>
              <a:solidFill>
                <a:schemeClr val="tx1"/>
              </a:solidFill>
            </c:spPr>
          </c:marker>
          <c:xVal>
            <c:numRef>
              <c:f>(VesselCharacteristics!$AG$4,VesselCharacteristics!$AG$8)</c:f>
              <c:numCache>
                <c:formatCode>#,##0.00000</c:formatCode>
                <c:ptCount val="2"/>
                <c:pt idx="0" formatCode="General">
                  <c:v>0</c:v>
                </c:pt>
                <c:pt idx="1">
                  <c:v>9.6756702395768066</c:v>
                </c:pt>
              </c:numCache>
            </c:numRef>
          </c:xVal>
          <c:yVal>
            <c:numRef>
              <c:f>(VesselCharacteristics!$AJ$4,VesselCharacteristics!$AJ$8)</c:f>
              <c:numCache>
                <c:formatCode>#,##0.00000</c:formatCode>
                <c:ptCount val="2"/>
                <c:pt idx="0">
                  <c:v>4.4743222269235847</c:v>
                </c:pt>
                <c:pt idx="1">
                  <c:v>4.4743222269235847</c:v>
                </c:pt>
              </c:numCache>
            </c:numRef>
          </c:yVal>
          <c:smooth val="0"/>
          <c:extLst>
            <c:ext xmlns:c16="http://schemas.microsoft.com/office/drawing/2014/chart" uri="{C3380CC4-5D6E-409C-BE32-E72D297353CC}">
              <c16:uniqueId val="{00000002-0AC0-6E4F-93E1-78E953E2192B}"/>
            </c:ext>
          </c:extLst>
        </c:ser>
        <c:ser>
          <c:idx val="3"/>
          <c:order val="3"/>
          <c:tx>
            <c:strRef>
              <c:f>VesselCharacteristics!$AL$3</c:f>
              <c:strCache>
                <c:ptCount val="1"/>
                <c:pt idx="0">
                  <c:v>y-tube-top-upper</c:v>
                </c:pt>
              </c:strCache>
            </c:strRef>
          </c:tx>
          <c:spPr>
            <a:ln>
              <a:solidFill>
                <a:srgbClr val="FFC000"/>
              </a:solidFill>
            </a:ln>
          </c:spPr>
          <c:marker>
            <c:symbol val="diamond"/>
            <c:size val="7"/>
            <c:spPr>
              <a:solidFill>
                <a:srgbClr val="FFC000"/>
              </a:solidFill>
              <a:ln>
                <a:solidFill>
                  <a:srgbClr val="FFC000"/>
                </a:solidFill>
              </a:ln>
            </c:spPr>
          </c:marker>
          <c:xVal>
            <c:numRef>
              <c:f>VesselCharacteristics!$AG$4:$AG$8</c:f>
              <c:numCache>
                <c:formatCode>#,##0.00000</c:formatCode>
                <c:ptCount val="5"/>
                <c:pt idx="0" formatCode="General">
                  <c:v>0</c:v>
                </c:pt>
                <c:pt idx="1">
                  <c:v>3.9999999959200001</c:v>
                </c:pt>
                <c:pt idx="2">
                  <c:v>4.6607947196785897</c:v>
                </c:pt>
                <c:pt idx="3">
                  <c:v>4.6920447196467148</c:v>
                </c:pt>
                <c:pt idx="4">
                  <c:v>9.6756702395768066</c:v>
                </c:pt>
              </c:numCache>
            </c:numRef>
          </c:xVal>
          <c:yVal>
            <c:numRef>
              <c:f>VesselCharacteristics!$AL$4:$AL$8</c:f>
              <c:numCache>
                <c:formatCode>#,##0.00000</c:formatCode>
                <c:ptCount val="5"/>
                <c:pt idx="0">
                  <c:v>4.220512669965359</c:v>
                </c:pt>
                <c:pt idx="1">
                  <c:v>4.220512669965359</c:v>
                </c:pt>
                <c:pt idx="2">
                  <c:v>3.0759826350420405</c:v>
                </c:pt>
                <c:pt idx="3">
                  <c:v>3.0759826350420405</c:v>
                </c:pt>
                <c:pt idx="4">
                  <c:v>4.4113410684864425</c:v>
                </c:pt>
              </c:numCache>
            </c:numRef>
          </c:yVal>
          <c:smooth val="0"/>
          <c:extLst>
            <c:ext xmlns:c16="http://schemas.microsoft.com/office/drawing/2014/chart" uri="{C3380CC4-5D6E-409C-BE32-E72D297353CC}">
              <c16:uniqueId val="{00000003-0AC0-6E4F-93E1-78E953E2192B}"/>
            </c:ext>
          </c:extLst>
        </c:ser>
        <c:ser>
          <c:idx val="4"/>
          <c:order val="4"/>
          <c:tx>
            <c:strRef>
              <c:f>VesselCharacteristics!$AM$3</c:f>
              <c:strCache>
                <c:ptCount val="1"/>
                <c:pt idx="0">
                  <c:v>y-tube-top-lower</c:v>
                </c:pt>
              </c:strCache>
            </c:strRef>
          </c:tx>
          <c:spPr>
            <a:ln>
              <a:solidFill>
                <a:srgbClr val="FFC000"/>
              </a:solidFill>
            </a:ln>
          </c:spPr>
          <c:marker>
            <c:symbol val="diamond"/>
            <c:size val="7"/>
            <c:spPr>
              <a:solidFill>
                <a:srgbClr val="FFC000"/>
              </a:solidFill>
              <a:ln>
                <a:solidFill>
                  <a:srgbClr val="FFC000"/>
                </a:solidFill>
              </a:ln>
            </c:spPr>
          </c:marker>
          <c:xVal>
            <c:numRef>
              <c:f>VesselCharacteristics!$AG$4:$AG$8</c:f>
              <c:numCache>
                <c:formatCode>#,##0.00000</c:formatCode>
                <c:ptCount val="5"/>
                <c:pt idx="0" formatCode="General">
                  <c:v>0</c:v>
                </c:pt>
                <c:pt idx="1">
                  <c:v>3.9999999959200001</c:v>
                </c:pt>
                <c:pt idx="2">
                  <c:v>4.6607947196785897</c:v>
                </c:pt>
                <c:pt idx="3">
                  <c:v>4.6920447196467148</c:v>
                </c:pt>
                <c:pt idx="4">
                  <c:v>9.6756702395768066</c:v>
                </c:pt>
              </c:numCache>
            </c:numRef>
          </c:xVal>
          <c:yVal>
            <c:numRef>
              <c:f>VesselCharacteristics!$AM$4:$AM$8</c:f>
              <c:numCache>
                <c:formatCode>#,##0.00000</c:formatCode>
                <c:ptCount val="5"/>
                <c:pt idx="0">
                  <c:v>4.3758970301735847</c:v>
                </c:pt>
                <c:pt idx="1">
                  <c:v>4.3758970301735847</c:v>
                </c:pt>
                <c:pt idx="2">
                  <c:v>3.2313669952502666</c:v>
                </c:pt>
                <c:pt idx="3">
                  <c:v>3.2313669952502666</c:v>
                </c:pt>
                <c:pt idx="4">
                  <c:v>4.5667254286946681</c:v>
                </c:pt>
              </c:numCache>
            </c:numRef>
          </c:yVal>
          <c:smooth val="0"/>
          <c:extLst>
            <c:ext xmlns:c16="http://schemas.microsoft.com/office/drawing/2014/chart" uri="{C3380CC4-5D6E-409C-BE32-E72D297353CC}">
              <c16:uniqueId val="{00000004-0AC0-6E4F-93E1-78E953E2192B}"/>
            </c:ext>
          </c:extLst>
        </c:ser>
        <c:ser>
          <c:idx val="5"/>
          <c:order val="5"/>
          <c:tx>
            <c:strRef>
              <c:f>VesselCharacteristics!$AN$3</c:f>
              <c:strCache>
                <c:ptCount val="1"/>
                <c:pt idx="0">
                  <c:v>y-tube-bottom-upper</c:v>
                </c:pt>
              </c:strCache>
            </c:strRef>
          </c:tx>
          <c:spPr>
            <a:ln>
              <a:solidFill>
                <a:srgbClr val="FFC000"/>
              </a:solidFill>
            </a:ln>
          </c:spPr>
          <c:marker>
            <c:symbol val="diamond"/>
            <c:size val="7"/>
            <c:spPr>
              <a:solidFill>
                <a:srgbClr val="FFC000"/>
              </a:solidFill>
              <a:ln>
                <a:solidFill>
                  <a:srgbClr val="FFC000"/>
                </a:solidFill>
              </a:ln>
            </c:spPr>
          </c:marker>
          <c:xVal>
            <c:numRef>
              <c:f>VesselCharacteristics!$AG$4:$AG$8</c:f>
              <c:numCache>
                <c:formatCode>#,##0.00000</c:formatCode>
                <c:ptCount val="5"/>
                <c:pt idx="0" formatCode="General">
                  <c:v>0</c:v>
                </c:pt>
                <c:pt idx="1">
                  <c:v>3.9999999959200001</c:v>
                </c:pt>
                <c:pt idx="2">
                  <c:v>4.6607947196785897</c:v>
                </c:pt>
                <c:pt idx="3">
                  <c:v>4.6920447196467148</c:v>
                </c:pt>
                <c:pt idx="4">
                  <c:v>9.6756702395768066</c:v>
                </c:pt>
              </c:numCache>
            </c:numRef>
          </c:xVal>
          <c:yVal>
            <c:numRef>
              <c:f>VesselCharacteristics!$AN$4:$AN$8</c:f>
              <c:numCache>
                <c:formatCode>#,##0.00000</c:formatCode>
                <c:ptCount val="5"/>
                <c:pt idx="0">
                  <c:v>0.25380955695822593</c:v>
                </c:pt>
                <c:pt idx="1">
                  <c:v>0.25380955695822593</c:v>
                </c:pt>
                <c:pt idx="2">
                  <c:v>1.3983395918815442</c:v>
                </c:pt>
                <c:pt idx="3">
                  <c:v>1.3983395918815442</c:v>
                </c:pt>
                <c:pt idx="4">
                  <c:v>6.2981158437142387E-2</c:v>
                </c:pt>
              </c:numCache>
            </c:numRef>
          </c:yVal>
          <c:smooth val="0"/>
          <c:extLst>
            <c:ext xmlns:c16="http://schemas.microsoft.com/office/drawing/2014/chart" uri="{C3380CC4-5D6E-409C-BE32-E72D297353CC}">
              <c16:uniqueId val="{00000005-0AC0-6E4F-93E1-78E953E2192B}"/>
            </c:ext>
          </c:extLst>
        </c:ser>
        <c:ser>
          <c:idx val="6"/>
          <c:order val="6"/>
          <c:tx>
            <c:strRef>
              <c:f>VesselCharacteristics!$AO$3</c:f>
              <c:strCache>
                <c:ptCount val="1"/>
                <c:pt idx="0">
                  <c:v>y-tube-bottom-lower</c:v>
                </c:pt>
              </c:strCache>
            </c:strRef>
          </c:tx>
          <c:spPr>
            <a:ln>
              <a:solidFill>
                <a:srgbClr val="FFC000"/>
              </a:solidFill>
            </a:ln>
          </c:spPr>
          <c:marker>
            <c:symbol val="diamond"/>
            <c:size val="7"/>
            <c:spPr>
              <a:solidFill>
                <a:srgbClr val="FFC000"/>
              </a:solidFill>
              <a:ln>
                <a:solidFill>
                  <a:srgbClr val="FFC000"/>
                </a:solidFill>
              </a:ln>
            </c:spPr>
          </c:marker>
          <c:xVal>
            <c:numRef>
              <c:f>VesselCharacteristics!$AG$4:$AG$8</c:f>
              <c:numCache>
                <c:formatCode>#,##0.00000</c:formatCode>
                <c:ptCount val="5"/>
                <c:pt idx="0" formatCode="General">
                  <c:v>0</c:v>
                </c:pt>
                <c:pt idx="1">
                  <c:v>3.9999999959200001</c:v>
                </c:pt>
                <c:pt idx="2">
                  <c:v>4.6607947196785897</c:v>
                </c:pt>
                <c:pt idx="3">
                  <c:v>4.6920447196467148</c:v>
                </c:pt>
                <c:pt idx="4">
                  <c:v>9.6756702395768066</c:v>
                </c:pt>
              </c:numCache>
            </c:numRef>
          </c:xVal>
          <c:yVal>
            <c:numRef>
              <c:f>VesselCharacteristics!$AO$4:$AO$8</c:f>
              <c:numCache>
                <c:formatCode>#,##0.00000</c:formatCode>
                <c:ptCount val="5"/>
                <c:pt idx="0" formatCode="#,##0.0000000000000">
                  <c:v>9.8425196749999944E-2</c:v>
                </c:pt>
                <c:pt idx="1">
                  <c:v>9.8425196749999944E-2</c:v>
                </c:pt>
                <c:pt idx="2">
                  <c:v>1.2429552316733181</c:v>
                </c:pt>
                <c:pt idx="3">
                  <c:v>1.2429552316733181</c:v>
                </c:pt>
                <c:pt idx="4">
                  <c:v>-9.2403201771083604E-2</c:v>
                </c:pt>
              </c:numCache>
            </c:numRef>
          </c:yVal>
          <c:smooth val="0"/>
          <c:extLst>
            <c:ext xmlns:c16="http://schemas.microsoft.com/office/drawing/2014/chart" uri="{C3380CC4-5D6E-409C-BE32-E72D297353CC}">
              <c16:uniqueId val="{00000006-0AC0-6E4F-93E1-78E953E2192B}"/>
            </c:ext>
          </c:extLst>
        </c:ser>
        <c:dLbls>
          <c:showLegendKey val="0"/>
          <c:showVal val="0"/>
          <c:showCatName val="0"/>
          <c:showSerName val="0"/>
          <c:showPercent val="0"/>
          <c:showBubbleSize val="0"/>
        </c:dLbls>
        <c:axId val="339587072"/>
        <c:axId val="339589376"/>
      </c:scatterChart>
      <c:valAx>
        <c:axId val="339587072"/>
        <c:scaling>
          <c:orientation val="minMax"/>
        </c:scaling>
        <c:delete val="0"/>
        <c:axPos val="b"/>
        <c:majorGridlines>
          <c:spPr>
            <a:ln>
              <a:solidFill>
                <a:schemeClr val="bg1">
                  <a:lumMod val="75000"/>
                </a:schemeClr>
              </a:solidFill>
            </a:ln>
          </c:spPr>
        </c:majorGridlines>
        <c:title>
          <c:tx>
            <c:rich>
              <a:bodyPr/>
              <a:lstStyle/>
              <a:p>
                <a:pPr>
                  <a:defRPr/>
                </a:pPr>
                <a:r>
                  <a:rPr lang="en-US"/>
                  <a:t>Length (inches)</a:t>
                </a:r>
              </a:p>
            </c:rich>
          </c:tx>
          <c:overlay val="0"/>
        </c:title>
        <c:numFmt formatCode="General" sourceLinked="1"/>
        <c:majorTickMark val="out"/>
        <c:minorTickMark val="none"/>
        <c:tickLblPos val="nextTo"/>
        <c:crossAx val="339589376"/>
        <c:crosses val="autoZero"/>
        <c:crossBetween val="midCat"/>
      </c:valAx>
      <c:valAx>
        <c:axId val="339589376"/>
        <c:scaling>
          <c:orientation val="minMax"/>
          <c:min val="0"/>
        </c:scaling>
        <c:delete val="0"/>
        <c:axPos val="l"/>
        <c:majorGridlines>
          <c:spPr>
            <a:ln>
              <a:solidFill>
                <a:schemeClr val="bg1">
                  <a:lumMod val="65000"/>
                </a:schemeClr>
              </a:solidFill>
            </a:ln>
          </c:spPr>
        </c:majorGridlines>
        <c:title>
          <c:tx>
            <c:rich>
              <a:bodyPr rot="-5400000" vert="horz"/>
              <a:lstStyle/>
              <a:p>
                <a:pPr>
                  <a:defRPr/>
                </a:pPr>
                <a:r>
                  <a:rPr lang="en-US"/>
                  <a:t>Height (inches)</a:t>
                </a:r>
              </a:p>
            </c:rich>
          </c:tx>
          <c:overlay val="0"/>
        </c:title>
        <c:numFmt formatCode="#,##0.00000" sourceLinked="1"/>
        <c:majorTickMark val="out"/>
        <c:minorTickMark val="none"/>
        <c:tickLblPos val="nextTo"/>
        <c:crossAx val="339587072"/>
        <c:crossesAt val="0"/>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18</xdr:col>
      <xdr:colOff>1669257</xdr:colOff>
      <xdr:row>18</xdr:row>
      <xdr:rowOff>200026</xdr:rowOff>
    </xdr:from>
    <xdr:to>
      <xdr:col>27</xdr:col>
      <xdr:colOff>285751</xdr:colOff>
      <xdr:row>37</xdr:row>
      <xdr:rowOff>190500</xdr:rowOff>
    </xdr:to>
    <xdr:graphicFrame macro="">
      <xdr:nvGraphicFramePr>
        <xdr:cNvPr id="3497987" name="Chart 6">
          <a:extLst>
            <a:ext uri="{FF2B5EF4-FFF2-40B4-BE49-F238E27FC236}">
              <a16:creationId xmlns:a16="http://schemas.microsoft.com/office/drawing/2014/main" id="{00000000-0008-0000-0000-000003603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1657350</xdr:colOff>
      <xdr:row>1</xdr:row>
      <xdr:rowOff>197644</xdr:rowOff>
    </xdr:from>
    <xdr:to>
      <xdr:col>27</xdr:col>
      <xdr:colOff>259556</xdr:colOff>
      <xdr:row>17</xdr:row>
      <xdr:rowOff>180976</xdr:rowOff>
    </xdr:to>
    <xdr:graphicFrame macro="">
      <xdr:nvGraphicFramePr>
        <xdr:cNvPr id="3497989" name="Chart 6">
          <a:extLst>
            <a:ext uri="{FF2B5EF4-FFF2-40B4-BE49-F238E27FC236}">
              <a16:creationId xmlns:a16="http://schemas.microsoft.com/office/drawing/2014/main" id="{00000000-0008-0000-0000-000005603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152400</xdr:colOff>
      <xdr:row>22</xdr:row>
      <xdr:rowOff>85725</xdr:rowOff>
    </xdr:from>
    <xdr:to>
      <xdr:col>51</xdr:col>
      <xdr:colOff>476250</xdr:colOff>
      <xdr:row>74</xdr:row>
      <xdr:rowOff>142875</xdr:rowOff>
    </xdr:to>
    <xdr:graphicFrame macro="">
      <xdr:nvGraphicFramePr>
        <xdr:cNvPr id="3497990" name="Chart 25">
          <a:extLst>
            <a:ext uri="{FF2B5EF4-FFF2-40B4-BE49-F238E27FC236}">
              <a16:creationId xmlns:a16="http://schemas.microsoft.com/office/drawing/2014/main" id="{00000000-0008-0000-0000-000006603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940594</xdr:colOff>
      <xdr:row>59</xdr:row>
      <xdr:rowOff>152400</xdr:rowOff>
    </xdr:from>
    <xdr:to>
      <xdr:col>14</xdr:col>
      <xdr:colOff>1333500</xdr:colOff>
      <xdr:row>83</xdr:row>
      <xdr:rowOff>107156</xdr:rowOff>
    </xdr:to>
    <xdr:graphicFrame macro="">
      <xdr:nvGraphicFramePr>
        <xdr:cNvPr id="3497991" name="Chart 27">
          <a:extLst>
            <a:ext uri="{FF2B5EF4-FFF2-40B4-BE49-F238E27FC236}">
              <a16:creationId xmlns:a16="http://schemas.microsoft.com/office/drawing/2014/main" id="{00000000-0008-0000-0000-000007603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297656</xdr:colOff>
      <xdr:row>65</xdr:row>
      <xdr:rowOff>0</xdr:rowOff>
    </xdr:from>
    <xdr:to>
      <xdr:col>11</xdr:col>
      <xdr:colOff>440531</xdr:colOff>
      <xdr:row>92</xdr:row>
      <xdr:rowOff>71438</xdr:rowOff>
    </xdr:to>
    <xdr:graphicFrame macro="">
      <xdr:nvGraphicFramePr>
        <xdr:cNvPr id="3" name="Chart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535770</xdr:colOff>
      <xdr:row>5</xdr:row>
      <xdr:rowOff>95248</xdr:rowOff>
    </xdr:from>
    <xdr:to>
      <xdr:col>8</xdr:col>
      <xdr:colOff>479039</xdr:colOff>
      <xdr:row>44</xdr:row>
      <xdr:rowOff>28574</xdr:rowOff>
    </xdr:to>
    <xdr:pic>
      <xdr:nvPicPr>
        <xdr:cNvPr id="99" name="Picture 98">
          <a:extLst>
            <a:ext uri="{FF2B5EF4-FFF2-40B4-BE49-F238E27FC236}">
              <a16:creationId xmlns:a16="http://schemas.microsoft.com/office/drawing/2014/main" id="{00000000-0008-0000-0100-00006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47926" y="761998"/>
          <a:ext cx="6238875" cy="6434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421823</xdr:colOff>
      <xdr:row>5</xdr:row>
      <xdr:rowOff>122465</xdr:rowOff>
    </xdr:from>
    <xdr:to>
      <xdr:col>2</xdr:col>
      <xdr:colOff>176894</xdr:colOff>
      <xdr:row>7</xdr:row>
      <xdr:rowOff>95250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4054930" y="9334501"/>
          <a:ext cx="1360714" cy="2993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injector Design</a:t>
          </a:r>
        </a:p>
      </xdr:txBody>
    </xdr:sp>
    <xdr:clientData/>
  </xdr:twoCellAnchor>
  <xdr:twoCellAnchor>
    <xdr:from>
      <xdr:col>1</xdr:col>
      <xdr:colOff>816429</xdr:colOff>
      <xdr:row>9</xdr:row>
      <xdr:rowOff>107157</xdr:rowOff>
    </xdr:from>
    <xdr:to>
      <xdr:col>2</xdr:col>
      <xdr:colOff>202406</xdr:colOff>
      <xdr:row>12</xdr:row>
      <xdr:rowOff>40821</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4447835" y="10120313"/>
          <a:ext cx="981415" cy="4337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outer ring</a:t>
          </a:r>
          <a:r>
            <a:rPr lang="en-US" sz="1100" baseline="0"/>
            <a:t> of injector</a:t>
          </a:r>
          <a:endParaRPr lang="en-US" sz="1100"/>
        </a:p>
      </xdr:txBody>
    </xdr:sp>
    <xdr:clientData/>
  </xdr:twoCellAnchor>
  <xdr:twoCellAnchor>
    <xdr:from>
      <xdr:col>2</xdr:col>
      <xdr:colOff>122464</xdr:colOff>
      <xdr:row>17</xdr:row>
      <xdr:rowOff>54430</xdr:rowOff>
    </xdr:from>
    <xdr:to>
      <xdr:col>3</xdr:col>
      <xdr:colOff>244929</xdr:colOff>
      <xdr:row>20</xdr:row>
      <xdr:rowOff>1</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5361214" y="11225894"/>
          <a:ext cx="993322" cy="435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fuel</a:t>
          </a:r>
          <a:r>
            <a:rPr lang="en-US" sz="1100" baseline="0"/>
            <a:t> comes in here.</a:t>
          </a:r>
          <a:endParaRPr lang="en-US" sz="1100"/>
        </a:p>
      </xdr:txBody>
    </xdr:sp>
    <xdr:clientData/>
  </xdr:twoCellAnchor>
  <xdr:twoCellAnchor>
    <xdr:from>
      <xdr:col>4</xdr:col>
      <xdr:colOff>217714</xdr:colOff>
      <xdr:row>29</xdr:row>
      <xdr:rowOff>27213</xdr:rowOff>
    </xdr:from>
    <xdr:to>
      <xdr:col>5</xdr:col>
      <xdr:colOff>56029</xdr:colOff>
      <xdr:row>32</xdr:row>
      <xdr:rowOff>0</xdr:rowOff>
    </xdr:to>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5249155" y="4576801"/>
          <a:ext cx="1126992" cy="4434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fuel</a:t>
          </a:r>
          <a:r>
            <a:rPr lang="en-US" sz="1100" baseline="0"/>
            <a:t> is injected here</a:t>
          </a:r>
          <a:endParaRPr lang="en-US" sz="1100"/>
        </a:p>
      </xdr:txBody>
    </xdr:sp>
    <xdr:clientData/>
  </xdr:twoCellAnchor>
  <xdr:twoCellAnchor>
    <xdr:from>
      <xdr:col>1</xdr:col>
      <xdr:colOff>1503590</xdr:colOff>
      <xdr:row>28</xdr:row>
      <xdr:rowOff>28914</xdr:rowOff>
    </xdr:from>
    <xdr:to>
      <xdr:col>3</xdr:col>
      <xdr:colOff>98652</xdr:colOff>
      <xdr:row>29</xdr:row>
      <xdr:rowOff>149678</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5134996" y="13209133"/>
          <a:ext cx="1059656" cy="442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oxygen comes in here</a:t>
          </a:r>
        </a:p>
      </xdr:txBody>
    </xdr:sp>
    <xdr:clientData/>
  </xdr:twoCellAnchor>
  <xdr:twoCellAnchor>
    <xdr:from>
      <xdr:col>5</xdr:col>
      <xdr:colOff>244929</xdr:colOff>
      <xdr:row>23</xdr:row>
      <xdr:rowOff>27213</xdr:rowOff>
    </xdr:from>
    <xdr:to>
      <xdr:col>6</xdr:col>
      <xdr:colOff>649940</xdr:colOff>
      <xdr:row>26</xdr:row>
      <xdr:rowOff>33618</xdr:rowOff>
    </xdr:to>
    <xdr:sp macro="" textlink="">
      <xdr:nvSpPr>
        <xdr:cNvPr id="95" name="TextBox 94">
          <a:extLst>
            <a:ext uri="{FF2B5EF4-FFF2-40B4-BE49-F238E27FC236}">
              <a16:creationId xmlns:a16="http://schemas.microsoft.com/office/drawing/2014/main" id="{00000000-0008-0000-0100-00005F000000}"/>
            </a:ext>
          </a:extLst>
        </xdr:cNvPr>
        <xdr:cNvSpPr txBox="1"/>
      </xdr:nvSpPr>
      <xdr:spPr>
        <a:xfrm>
          <a:off x="6565047" y="3635507"/>
          <a:ext cx="1133393" cy="4770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oxygen is injeted here</a:t>
          </a:r>
        </a:p>
      </xdr:txBody>
    </xdr:sp>
    <xdr:clientData/>
  </xdr:twoCellAnchor>
  <xdr:twoCellAnchor>
    <xdr:from>
      <xdr:col>4</xdr:col>
      <xdr:colOff>258536</xdr:colOff>
      <xdr:row>9</xdr:row>
      <xdr:rowOff>54428</xdr:rowOff>
    </xdr:from>
    <xdr:to>
      <xdr:col>5</xdr:col>
      <xdr:colOff>204107</xdr:colOff>
      <xdr:row>12</xdr:row>
      <xdr:rowOff>13607</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6926036" y="9919607"/>
          <a:ext cx="1238250" cy="4490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spark igniter - ignition</a:t>
          </a:r>
          <a:r>
            <a:rPr lang="en-US" sz="1100" baseline="0"/>
            <a:t> source</a:t>
          </a:r>
          <a:endParaRPr lang="en-US" sz="1100"/>
        </a:p>
      </xdr:txBody>
    </xdr:sp>
    <xdr:clientData/>
  </xdr:twoCellAnchor>
  <xdr:twoCellAnchor>
    <xdr:from>
      <xdr:col>4</xdr:col>
      <xdr:colOff>598715</xdr:colOff>
      <xdr:row>12</xdr:row>
      <xdr:rowOff>13607</xdr:rowOff>
    </xdr:from>
    <xdr:to>
      <xdr:col>4</xdr:col>
      <xdr:colOff>877661</xdr:colOff>
      <xdr:row>24</xdr:row>
      <xdr:rowOff>68036</xdr:rowOff>
    </xdr:to>
    <xdr:cxnSp macro="">
      <xdr:nvCxnSpPr>
        <xdr:cNvPr id="18" name="Straight Arrow Connector 17">
          <a:extLst>
            <a:ext uri="{FF2B5EF4-FFF2-40B4-BE49-F238E27FC236}">
              <a16:creationId xmlns:a16="http://schemas.microsoft.com/office/drawing/2014/main" id="{00000000-0008-0000-0100-000012000000}"/>
            </a:ext>
          </a:extLst>
        </xdr:cNvPr>
        <xdr:cNvCxnSpPr>
          <a:stCxn id="15" idx="2"/>
        </xdr:cNvCxnSpPr>
      </xdr:nvCxnSpPr>
      <xdr:spPr>
        <a:xfrm flipH="1">
          <a:off x="7266215" y="10368643"/>
          <a:ext cx="278946" cy="2013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1197432</xdr:colOff>
      <xdr:row>24</xdr:row>
      <xdr:rowOff>108857</xdr:rowOff>
    </xdr:from>
    <xdr:to>
      <xdr:col>5</xdr:col>
      <xdr:colOff>244929</xdr:colOff>
      <xdr:row>24</xdr:row>
      <xdr:rowOff>149679</xdr:rowOff>
    </xdr:to>
    <xdr:cxnSp macro="">
      <xdr:nvCxnSpPr>
        <xdr:cNvPr id="21" name="Straight Arrow Connector 20">
          <a:extLst>
            <a:ext uri="{FF2B5EF4-FFF2-40B4-BE49-F238E27FC236}">
              <a16:creationId xmlns:a16="http://schemas.microsoft.com/office/drawing/2014/main" id="{00000000-0008-0000-0100-000015000000}"/>
            </a:ext>
          </a:extLst>
        </xdr:cNvPr>
        <xdr:cNvCxnSpPr>
          <a:stCxn id="95" idx="1"/>
        </xdr:cNvCxnSpPr>
      </xdr:nvCxnSpPr>
      <xdr:spPr>
        <a:xfrm flipH="1">
          <a:off x="6228873" y="3874033"/>
          <a:ext cx="336174" cy="4082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612321</xdr:colOff>
      <xdr:row>28</xdr:row>
      <xdr:rowOff>217714</xdr:rowOff>
    </xdr:from>
    <xdr:to>
      <xdr:col>4</xdr:col>
      <xdr:colOff>666750</xdr:colOff>
      <xdr:row>29</xdr:row>
      <xdr:rowOff>13607</xdr:rowOff>
    </xdr:to>
    <xdr:cxnSp macro="">
      <xdr:nvCxnSpPr>
        <xdr:cNvPr id="25" name="Straight Arrow Connector 24">
          <a:extLst>
            <a:ext uri="{FF2B5EF4-FFF2-40B4-BE49-F238E27FC236}">
              <a16:creationId xmlns:a16="http://schemas.microsoft.com/office/drawing/2014/main" id="{00000000-0008-0000-0100-000019000000}"/>
            </a:ext>
          </a:extLst>
        </xdr:cNvPr>
        <xdr:cNvCxnSpPr/>
      </xdr:nvCxnSpPr>
      <xdr:spPr>
        <a:xfrm flipH="1" flipV="1">
          <a:off x="7279821" y="13185321"/>
          <a:ext cx="54429" cy="1224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98652</xdr:colOff>
      <xdr:row>25</xdr:row>
      <xdr:rowOff>11907</xdr:rowOff>
    </xdr:from>
    <xdr:to>
      <xdr:col>3</xdr:col>
      <xdr:colOff>488156</xdr:colOff>
      <xdr:row>28</xdr:row>
      <xdr:rowOff>250031</xdr:rowOff>
    </xdr:to>
    <xdr:cxnSp macro="">
      <xdr:nvCxnSpPr>
        <xdr:cNvPr id="30" name="Straight Arrow Connector 29">
          <a:extLst>
            <a:ext uri="{FF2B5EF4-FFF2-40B4-BE49-F238E27FC236}">
              <a16:creationId xmlns:a16="http://schemas.microsoft.com/office/drawing/2014/main" id="{00000000-0008-0000-0100-00001E000000}"/>
            </a:ext>
          </a:extLst>
        </xdr:cNvPr>
        <xdr:cNvCxnSpPr>
          <a:stCxn id="13" idx="3"/>
        </xdr:cNvCxnSpPr>
      </xdr:nvCxnSpPr>
      <xdr:spPr>
        <a:xfrm flipV="1">
          <a:off x="6194652" y="12692063"/>
          <a:ext cx="389504" cy="738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345281</xdr:colOff>
      <xdr:row>20</xdr:row>
      <xdr:rowOff>11906</xdr:rowOff>
    </xdr:from>
    <xdr:to>
      <xdr:col>2</xdr:col>
      <xdr:colOff>702469</xdr:colOff>
      <xdr:row>24</xdr:row>
      <xdr:rowOff>154781</xdr:rowOff>
    </xdr:to>
    <xdr:cxnSp macro="">
      <xdr:nvCxnSpPr>
        <xdr:cNvPr id="35" name="Straight Arrow Connector 34">
          <a:extLst>
            <a:ext uri="{FF2B5EF4-FFF2-40B4-BE49-F238E27FC236}">
              <a16:creationId xmlns:a16="http://schemas.microsoft.com/office/drawing/2014/main" id="{00000000-0008-0000-0100-000023000000}"/>
            </a:ext>
          </a:extLst>
        </xdr:cNvPr>
        <xdr:cNvCxnSpPr/>
      </xdr:nvCxnSpPr>
      <xdr:spPr>
        <a:xfrm flipH="1">
          <a:off x="5572125" y="11858625"/>
          <a:ext cx="357188" cy="809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273844</xdr:colOff>
      <xdr:row>8</xdr:row>
      <xdr:rowOff>47625</xdr:rowOff>
    </xdr:from>
    <xdr:to>
      <xdr:col>8</xdr:col>
      <xdr:colOff>440531</xdr:colOff>
      <xdr:row>10</xdr:row>
      <xdr:rowOff>23812</xdr:rowOff>
    </xdr:to>
    <xdr:sp macro="" textlink="">
      <xdr:nvSpPr>
        <xdr:cNvPr id="53" name="TextBox 52">
          <a:extLst>
            <a:ext uri="{FF2B5EF4-FFF2-40B4-BE49-F238E27FC236}">
              <a16:creationId xmlns:a16="http://schemas.microsoft.com/office/drawing/2014/main" id="{00000000-0008-0000-0100-000035000000}"/>
            </a:ext>
          </a:extLst>
        </xdr:cNvPr>
        <xdr:cNvSpPr txBox="1"/>
      </xdr:nvSpPr>
      <xdr:spPr>
        <a:xfrm>
          <a:off x="8941594" y="9894094"/>
          <a:ext cx="1381125" cy="3095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outside of chamber</a:t>
          </a:r>
        </a:p>
      </xdr:txBody>
    </xdr:sp>
    <xdr:clientData/>
  </xdr:twoCellAnchor>
  <xdr:twoCellAnchor>
    <xdr:from>
      <xdr:col>6</xdr:col>
      <xdr:colOff>440519</xdr:colOff>
      <xdr:row>33</xdr:row>
      <xdr:rowOff>130966</xdr:rowOff>
    </xdr:from>
    <xdr:to>
      <xdr:col>9</xdr:col>
      <xdr:colOff>273844</xdr:colOff>
      <xdr:row>37</xdr:row>
      <xdr:rowOff>130970</xdr:rowOff>
    </xdr:to>
    <xdr:sp macro="" textlink="">
      <xdr:nvSpPr>
        <xdr:cNvPr id="100" name="TextBox 99">
          <a:extLst>
            <a:ext uri="{FF2B5EF4-FFF2-40B4-BE49-F238E27FC236}">
              <a16:creationId xmlns:a16="http://schemas.microsoft.com/office/drawing/2014/main" id="{00000000-0008-0000-0100-000064000000}"/>
            </a:ext>
          </a:extLst>
        </xdr:cNvPr>
        <xdr:cNvSpPr txBox="1"/>
      </xdr:nvSpPr>
      <xdr:spPr>
        <a:xfrm>
          <a:off x="9108269" y="14454185"/>
          <a:ext cx="1654981" cy="666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where the bolts go that connect</a:t>
          </a:r>
          <a:r>
            <a:rPr lang="en-US" sz="1100" baseline="0"/>
            <a:t> the chamber to the  injector</a:t>
          </a:r>
          <a:endParaRPr lang="en-US" sz="1100"/>
        </a:p>
      </xdr:txBody>
    </xdr:sp>
    <xdr:clientData/>
  </xdr:twoCellAnchor>
  <xdr:twoCellAnchor>
    <xdr:from>
      <xdr:col>6</xdr:col>
      <xdr:colOff>71438</xdr:colOff>
      <xdr:row>34</xdr:row>
      <xdr:rowOff>0</xdr:rowOff>
    </xdr:from>
    <xdr:to>
      <xdr:col>6</xdr:col>
      <xdr:colOff>404813</xdr:colOff>
      <xdr:row>34</xdr:row>
      <xdr:rowOff>154781</xdr:rowOff>
    </xdr:to>
    <xdr:cxnSp macro="">
      <xdr:nvCxnSpPr>
        <xdr:cNvPr id="55" name="Straight Arrow Connector 54">
          <a:extLst>
            <a:ext uri="{FF2B5EF4-FFF2-40B4-BE49-F238E27FC236}">
              <a16:creationId xmlns:a16="http://schemas.microsoft.com/office/drawing/2014/main" id="{00000000-0008-0000-0100-000037000000}"/>
            </a:ext>
          </a:extLst>
        </xdr:cNvPr>
        <xdr:cNvCxnSpPr/>
      </xdr:nvCxnSpPr>
      <xdr:spPr>
        <a:xfrm flipH="1" flipV="1">
          <a:off x="8739188" y="14799469"/>
          <a:ext cx="333375" cy="1547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583406</xdr:colOff>
      <xdr:row>10</xdr:row>
      <xdr:rowOff>23812</xdr:rowOff>
    </xdr:from>
    <xdr:to>
      <xdr:col>7</xdr:col>
      <xdr:colOff>357188</xdr:colOff>
      <xdr:row>14</xdr:row>
      <xdr:rowOff>83344</xdr:rowOff>
    </xdr:to>
    <xdr:cxnSp macro="">
      <xdr:nvCxnSpPr>
        <xdr:cNvPr id="102" name="Straight Arrow Connector 101">
          <a:extLst>
            <a:ext uri="{FF2B5EF4-FFF2-40B4-BE49-F238E27FC236}">
              <a16:creationId xmlns:a16="http://schemas.microsoft.com/office/drawing/2014/main" id="{00000000-0008-0000-0100-000066000000}"/>
            </a:ext>
          </a:extLst>
        </xdr:cNvPr>
        <xdr:cNvCxnSpPr>
          <a:stCxn id="53" idx="2"/>
        </xdr:cNvCxnSpPr>
      </xdr:nvCxnSpPr>
      <xdr:spPr>
        <a:xfrm flipH="1">
          <a:off x="8524875" y="10203656"/>
          <a:ext cx="1107282" cy="7262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1039574</xdr:colOff>
      <xdr:row>18</xdr:row>
      <xdr:rowOff>153865</xdr:rowOff>
    </xdr:from>
    <xdr:to>
      <xdr:col>10</xdr:col>
      <xdr:colOff>478362</xdr:colOff>
      <xdr:row>55</xdr:row>
      <xdr:rowOff>60253</xdr:rowOff>
    </xdr:to>
    <xdr:cxnSp macro="">
      <xdr:nvCxnSpPr>
        <xdr:cNvPr id="1264" name="Straight Arrow Connector 1263">
          <a:extLst>
            <a:ext uri="{FF2B5EF4-FFF2-40B4-BE49-F238E27FC236}">
              <a16:creationId xmlns:a16="http://schemas.microsoft.com/office/drawing/2014/main" id="{00000000-0008-0000-0200-0000F0040000}"/>
            </a:ext>
          </a:extLst>
        </xdr:cNvPr>
        <xdr:cNvCxnSpPr>
          <a:stCxn id="329" idx="2"/>
          <a:endCxn id="1238" idx="3"/>
        </xdr:cNvCxnSpPr>
      </xdr:nvCxnSpPr>
      <xdr:spPr>
        <a:xfrm>
          <a:off x="7135574" y="3154240"/>
          <a:ext cx="962788" cy="58976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1038841</xdr:colOff>
      <xdr:row>18</xdr:row>
      <xdr:rowOff>153865</xdr:rowOff>
    </xdr:from>
    <xdr:to>
      <xdr:col>10</xdr:col>
      <xdr:colOff>45682</xdr:colOff>
      <xdr:row>56</xdr:row>
      <xdr:rowOff>159282</xdr:rowOff>
    </xdr:to>
    <xdr:cxnSp macro="">
      <xdr:nvCxnSpPr>
        <xdr:cNvPr id="1268" name="Straight Arrow Connector 1267">
          <a:extLst>
            <a:ext uri="{FF2B5EF4-FFF2-40B4-BE49-F238E27FC236}">
              <a16:creationId xmlns:a16="http://schemas.microsoft.com/office/drawing/2014/main" id="{00000000-0008-0000-0200-0000F4040000}"/>
            </a:ext>
          </a:extLst>
        </xdr:cNvPr>
        <xdr:cNvCxnSpPr>
          <a:stCxn id="329" idx="2"/>
          <a:endCxn id="1195" idx="1"/>
        </xdr:cNvCxnSpPr>
      </xdr:nvCxnSpPr>
      <xdr:spPr>
        <a:xfrm>
          <a:off x="7142168" y="3143250"/>
          <a:ext cx="530841" cy="6130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86763</xdr:colOff>
      <xdr:row>35</xdr:row>
      <xdr:rowOff>70056</xdr:rowOff>
    </xdr:from>
    <xdr:to>
      <xdr:col>25</xdr:col>
      <xdr:colOff>503222</xdr:colOff>
      <xdr:row>43</xdr:row>
      <xdr:rowOff>130511</xdr:rowOff>
    </xdr:to>
    <xdr:cxnSp macro="">
      <xdr:nvCxnSpPr>
        <xdr:cNvPr id="1097" name="Straight Arrow Connector 1096">
          <a:extLst>
            <a:ext uri="{FF2B5EF4-FFF2-40B4-BE49-F238E27FC236}">
              <a16:creationId xmlns:a16="http://schemas.microsoft.com/office/drawing/2014/main" id="{00000000-0008-0000-0200-000049040000}"/>
            </a:ext>
          </a:extLst>
        </xdr:cNvPr>
        <xdr:cNvCxnSpPr>
          <a:stCxn id="971" idx="0"/>
          <a:endCxn id="934" idx="1"/>
        </xdr:cNvCxnSpPr>
      </xdr:nvCxnSpPr>
      <xdr:spPr>
        <a:xfrm flipH="1" flipV="1">
          <a:off x="14249705" y="5799710"/>
          <a:ext cx="3457132" cy="134999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1340985</xdr:colOff>
      <xdr:row>23</xdr:row>
      <xdr:rowOff>143059</xdr:rowOff>
    </xdr:from>
    <xdr:to>
      <xdr:col>21</xdr:col>
      <xdr:colOff>91342</xdr:colOff>
      <xdr:row>32</xdr:row>
      <xdr:rowOff>100872</xdr:rowOff>
    </xdr:to>
    <xdr:cxnSp macro="">
      <xdr:nvCxnSpPr>
        <xdr:cNvPr id="1092" name="Straight Arrow Connector 1091">
          <a:extLst>
            <a:ext uri="{FF2B5EF4-FFF2-40B4-BE49-F238E27FC236}">
              <a16:creationId xmlns:a16="http://schemas.microsoft.com/office/drawing/2014/main" id="{00000000-0008-0000-0200-000044040000}"/>
            </a:ext>
          </a:extLst>
        </xdr:cNvPr>
        <xdr:cNvCxnSpPr>
          <a:stCxn id="568" idx="2"/>
          <a:endCxn id="1084" idx="1"/>
        </xdr:cNvCxnSpPr>
      </xdr:nvCxnSpPr>
      <xdr:spPr>
        <a:xfrm>
          <a:off x="7444312" y="3938405"/>
          <a:ext cx="7418107" cy="140854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143030</xdr:colOff>
      <xdr:row>32</xdr:row>
      <xdr:rowOff>25640</xdr:rowOff>
    </xdr:from>
    <xdr:to>
      <xdr:col>27</xdr:col>
      <xdr:colOff>349771</xdr:colOff>
      <xdr:row>33</xdr:row>
      <xdr:rowOff>105318</xdr:rowOff>
    </xdr:to>
    <xdr:cxnSp macro="">
      <xdr:nvCxnSpPr>
        <xdr:cNvPr id="523" name="Straight Arrow Connector 522">
          <a:extLst>
            <a:ext uri="{FF2B5EF4-FFF2-40B4-BE49-F238E27FC236}">
              <a16:creationId xmlns:a16="http://schemas.microsoft.com/office/drawing/2014/main" id="{00000000-0008-0000-0200-00000B020000}"/>
            </a:ext>
          </a:extLst>
        </xdr:cNvPr>
        <xdr:cNvCxnSpPr>
          <a:endCxn id="304" idx="2"/>
        </xdr:cNvCxnSpPr>
      </xdr:nvCxnSpPr>
      <xdr:spPr>
        <a:xfrm flipH="1" flipV="1">
          <a:off x="14305972" y="5271717"/>
          <a:ext cx="4463684" cy="24087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70931</xdr:colOff>
      <xdr:row>24</xdr:row>
      <xdr:rowOff>102577</xdr:rowOff>
    </xdr:from>
    <xdr:to>
      <xdr:col>22</xdr:col>
      <xdr:colOff>234461</xdr:colOff>
      <xdr:row>25</xdr:row>
      <xdr:rowOff>3663</xdr:rowOff>
    </xdr:to>
    <xdr:cxnSp macro="">
      <xdr:nvCxnSpPr>
        <xdr:cNvPr id="1150" name="Straight Arrow Connector 1149">
          <a:extLst>
            <a:ext uri="{FF2B5EF4-FFF2-40B4-BE49-F238E27FC236}">
              <a16:creationId xmlns:a16="http://schemas.microsoft.com/office/drawing/2014/main" id="{00000000-0008-0000-0200-00007E040000}"/>
            </a:ext>
          </a:extLst>
        </xdr:cNvPr>
        <xdr:cNvCxnSpPr>
          <a:stCxn id="1149" idx="1"/>
          <a:endCxn id="1043" idx="3"/>
        </xdr:cNvCxnSpPr>
      </xdr:nvCxnSpPr>
      <xdr:spPr>
        <a:xfrm flipH="1" flipV="1">
          <a:off x="14842008" y="4059115"/>
          <a:ext cx="771665" cy="6227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43178</xdr:colOff>
      <xdr:row>24</xdr:row>
      <xdr:rowOff>126761</xdr:rowOff>
    </xdr:from>
    <xdr:to>
      <xdr:col>22</xdr:col>
      <xdr:colOff>234461</xdr:colOff>
      <xdr:row>25</xdr:row>
      <xdr:rowOff>3663</xdr:rowOff>
    </xdr:to>
    <xdr:cxnSp macro="">
      <xdr:nvCxnSpPr>
        <xdr:cNvPr id="1153" name="Straight Arrow Connector 1152">
          <a:extLst>
            <a:ext uri="{FF2B5EF4-FFF2-40B4-BE49-F238E27FC236}">
              <a16:creationId xmlns:a16="http://schemas.microsoft.com/office/drawing/2014/main" id="{00000000-0008-0000-0200-000081040000}"/>
            </a:ext>
          </a:extLst>
        </xdr:cNvPr>
        <xdr:cNvCxnSpPr>
          <a:stCxn id="1149" idx="1"/>
          <a:endCxn id="514" idx="3"/>
        </xdr:cNvCxnSpPr>
      </xdr:nvCxnSpPr>
      <xdr:spPr>
        <a:xfrm flipH="1" flipV="1">
          <a:off x="14206120" y="4083299"/>
          <a:ext cx="1407553" cy="380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318147</xdr:colOff>
      <xdr:row>26</xdr:row>
      <xdr:rowOff>25400</xdr:rowOff>
    </xdr:from>
    <xdr:to>
      <xdr:col>6</xdr:col>
      <xdr:colOff>697523</xdr:colOff>
      <xdr:row>32</xdr:row>
      <xdr:rowOff>139212</xdr:rowOff>
    </xdr:to>
    <xdr:cxnSp macro="">
      <xdr:nvCxnSpPr>
        <xdr:cNvPr id="1140" name="Straight Arrow Connector 1139">
          <a:extLst>
            <a:ext uri="{FF2B5EF4-FFF2-40B4-BE49-F238E27FC236}">
              <a16:creationId xmlns:a16="http://schemas.microsoft.com/office/drawing/2014/main" id="{00000000-0008-0000-0200-000074040000}"/>
            </a:ext>
          </a:extLst>
        </xdr:cNvPr>
        <xdr:cNvCxnSpPr>
          <a:stCxn id="1139" idx="0"/>
          <a:endCxn id="1132" idx="1"/>
        </xdr:cNvCxnSpPr>
      </xdr:nvCxnSpPr>
      <xdr:spPr>
        <a:xfrm flipV="1">
          <a:off x="1615012" y="4304323"/>
          <a:ext cx="3031723" cy="10809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317781</xdr:colOff>
      <xdr:row>26</xdr:row>
      <xdr:rowOff>7327</xdr:rowOff>
    </xdr:from>
    <xdr:to>
      <xdr:col>4</xdr:col>
      <xdr:colOff>516486</xdr:colOff>
      <xdr:row>32</xdr:row>
      <xdr:rowOff>139212</xdr:rowOff>
    </xdr:to>
    <xdr:cxnSp macro="">
      <xdr:nvCxnSpPr>
        <xdr:cNvPr id="1143" name="Straight Arrow Connector 1142">
          <a:extLst>
            <a:ext uri="{FF2B5EF4-FFF2-40B4-BE49-F238E27FC236}">
              <a16:creationId xmlns:a16="http://schemas.microsoft.com/office/drawing/2014/main" id="{00000000-0008-0000-0200-000077040000}"/>
            </a:ext>
          </a:extLst>
        </xdr:cNvPr>
        <xdr:cNvCxnSpPr>
          <a:stCxn id="1139" idx="0"/>
          <a:endCxn id="1124" idx="0"/>
        </xdr:cNvCxnSpPr>
      </xdr:nvCxnSpPr>
      <xdr:spPr>
        <a:xfrm flipV="1">
          <a:off x="1613181" y="4303102"/>
          <a:ext cx="1522680" cy="11034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415351</xdr:colOff>
      <xdr:row>28</xdr:row>
      <xdr:rowOff>55367</xdr:rowOff>
    </xdr:from>
    <xdr:to>
      <xdr:col>21</xdr:col>
      <xdr:colOff>165110</xdr:colOff>
      <xdr:row>44</xdr:row>
      <xdr:rowOff>14410</xdr:rowOff>
    </xdr:to>
    <xdr:cxnSp macro="">
      <xdr:nvCxnSpPr>
        <xdr:cNvPr id="1080" name="Straight Arrow Connector 1079">
          <a:extLst>
            <a:ext uri="{FF2B5EF4-FFF2-40B4-BE49-F238E27FC236}">
              <a16:creationId xmlns:a16="http://schemas.microsoft.com/office/drawing/2014/main" id="{00000000-0008-0000-0200-000038040000}"/>
            </a:ext>
          </a:extLst>
        </xdr:cNvPr>
        <xdr:cNvCxnSpPr>
          <a:stCxn id="699" idx="0"/>
          <a:endCxn id="1063" idx="3"/>
        </xdr:cNvCxnSpPr>
      </xdr:nvCxnSpPr>
      <xdr:spPr>
        <a:xfrm flipV="1">
          <a:off x="5910543" y="4656675"/>
          <a:ext cx="9025644" cy="25381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49779</xdr:colOff>
      <xdr:row>22</xdr:row>
      <xdr:rowOff>133349</xdr:rowOff>
    </xdr:from>
    <xdr:to>
      <xdr:col>20</xdr:col>
      <xdr:colOff>600808</xdr:colOff>
      <xdr:row>26</xdr:row>
      <xdr:rowOff>37312</xdr:rowOff>
    </xdr:to>
    <xdr:cxnSp macro="">
      <xdr:nvCxnSpPr>
        <xdr:cNvPr id="1051" name="Straight Arrow Connector 1050">
          <a:extLst>
            <a:ext uri="{FF2B5EF4-FFF2-40B4-BE49-F238E27FC236}">
              <a16:creationId xmlns:a16="http://schemas.microsoft.com/office/drawing/2014/main" id="{00000000-0008-0000-0200-00001B040000}"/>
            </a:ext>
          </a:extLst>
        </xdr:cNvPr>
        <xdr:cNvCxnSpPr>
          <a:stCxn id="374" idx="2"/>
          <a:endCxn id="1048" idx="0"/>
        </xdr:cNvCxnSpPr>
      </xdr:nvCxnSpPr>
      <xdr:spPr>
        <a:xfrm>
          <a:off x="13003779" y="3781424"/>
          <a:ext cx="1770229" cy="5516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1340985</xdr:colOff>
      <xdr:row>23</xdr:row>
      <xdr:rowOff>143059</xdr:rowOff>
    </xdr:from>
    <xdr:to>
      <xdr:col>20</xdr:col>
      <xdr:colOff>73486</xdr:colOff>
      <xdr:row>34</xdr:row>
      <xdr:rowOff>23938</xdr:rowOff>
    </xdr:to>
    <xdr:cxnSp macro="">
      <xdr:nvCxnSpPr>
        <xdr:cNvPr id="931" name="Straight Arrow Connector 930">
          <a:extLst>
            <a:ext uri="{FF2B5EF4-FFF2-40B4-BE49-F238E27FC236}">
              <a16:creationId xmlns:a16="http://schemas.microsoft.com/office/drawing/2014/main" id="{00000000-0008-0000-0200-0000A3030000}"/>
            </a:ext>
          </a:extLst>
        </xdr:cNvPr>
        <xdr:cNvCxnSpPr>
          <a:stCxn id="568" idx="2"/>
          <a:endCxn id="909" idx="1"/>
        </xdr:cNvCxnSpPr>
      </xdr:nvCxnSpPr>
      <xdr:spPr>
        <a:xfrm>
          <a:off x="7444312" y="3938405"/>
          <a:ext cx="6792116" cy="16539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506234</xdr:colOff>
      <xdr:row>30</xdr:row>
      <xdr:rowOff>93834</xdr:rowOff>
    </xdr:from>
    <xdr:to>
      <xdr:col>8</xdr:col>
      <xdr:colOff>447467</xdr:colOff>
      <xdr:row>39</xdr:row>
      <xdr:rowOff>160733</xdr:rowOff>
    </xdr:to>
    <xdr:cxnSp macro="">
      <xdr:nvCxnSpPr>
        <xdr:cNvPr id="785" name="Straight Arrow Connector 784">
          <a:extLst>
            <a:ext uri="{FF2B5EF4-FFF2-40B4-BE49-F238E27FC236}">
              <a16:creationId xmlns:a16="http://schemas.microsoft.com/office/drawing/2014/main" id="{00000000-0008-0000-0200-000011030000}"/>
            </a:ext>
          </a:extLst>
        </xdr:cNvPr>
        <xdr:cNvCxnSpPr>
          <a:stCxn id="783" idx="0"/>
          <a:endCxn id="686" idx="3"/>
        </xdr:cNvCxnSpPr>
      </xdr:nvCxnSpPr>
      <xdr:spPr>
        <a:xfrm flipH="1" flipV="1">
          <a:off x="3125609" y="5037309"/>
          <a:ext cx="2808258" cy="15242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230869</xdr:colOff>
      <xdr:row>20</xdr:row>
      <xdr:rowOff>160721</xdr:rowOff>
    </xdr:from>
    <xdr:to>
      <xdr:col>5</xdr:col>
      <xdr:colOff>456223</xdr:colOff>
      <xdr:row>39</xdr:row>
      <xdr:rowOff>52754</xdr:rowOff>
    </xdr:to>
    <xdr:cxnSp macro="">
      <xdr:nvCxnSpPr>
        <xdr:cNvPr id="770" name="Straight Arrow Connector 769">
          <a:extLst>
            <a:ext uri="{FF2B5EF4-FFF2-40B4-BE49-F238E27FC236}">
              <a16:creationId xmlns:a16="http://schemas.microsoft.com/office/drawing/2014/main" id="{00000000-0008-0000-0200-000002030000}"/>
            </a:ext>
          </a:extLst>
        </xdr:cNvPr>
        <xdr:cNvCxnSpPr>
          <a:stCxn id="766" idx="3"/>
          <a:endCxn id="748" idx="1"/>
        </xdr:cNvCxnSpPr>
      </xdr:nvCxnSpPr>
      <xdr:spPr>
        <a:xfrm flipV="1">
          <a:off x="2853907" y="3472490"/>
          <a:ext cx="958047" cy="29546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369794</xdr:colOff>
      <xdr:row>18</xdr:row>
      <xdr:rowOff>76200</xdr:rowOff>
    </xdr:from>
    <xdr:to>
      <xdr:col>13</xdr:col>
      <xdr:colOff>380999</xdr:colOff>
      <xdr:row>21</xdr:row>
      <xdr:rowOff>11206</xdr:rowOff>
    </xdr:to>
    <xdr:cxnSp macro="">
      <xdr:nvCxnSpPr>
        <xdr:cNvPr id="2" name="Straight Arrow Connector 1">
          <a:extLst>
            <a:ext uri="{FF2B5EF4-FFF2-40B4-BE49-F238E27FC236}">
              <a16:creationId xmlns:a16="http://schemas.microsoft.com/office/drawing/2014/main" id="{00000000-0008-0000-0200-000002000000}"/>
            </a:ext>
          </a:extLst>
        </xdr:cNvPr>
        <xdr:cNvCxnSpPr>
          <a:stCxn id="166" idx="1"/>
        </xdr:cNvCxnSpPr>
      </xdr:nvCxnSpPr>
      <xdr:spPr>
        <a:xfrm flipH="1">
          <a:off x="5246594" y="3505200"/>
          <a:ext cx="5478555" cy="5065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381000</xdr:colOff>
      <xdr:row>16</xdr:row>
      <xdr:rowOff>66675</xdr:rowOff>
    </xdr:from>
    <xdr:to>
      <xdr:col>13</xdr:col>
      <xdr:colOff>380999</xdr:colOff>
      <xdr:row>20</xdr:row>
      <xdr:rowOff>38100</xdr:rowOff>
    </xdr:to>
    <xdr:cxnSp macro="">
      <xdr:nvCxnSpPr>
        <xdr:cNvPr id="3" name="Straight Arrow Connector 2">
          <a:extLst>
            <a:ext uri="{FF2B5EF4-FFF2-40B4-BE49-F238E27FC236}">
              <a16:creationId xmlns:a16="http://schemas.microsoft.com/office/drawing/2014/main" id="{00000000-0008-0000-0200-000003000000}"/>
            </a:ext>
          </a:extLst>
        </xdr:cNvPr>
        <xdr:cNvCxnSpPr>
          <a:stCxn id="167" idx="1"/>
        </xdr:cNvCxnSpPr>
      </xdr:nvCxnSpPr>
      <xdr:spPr>
        <a:xfrm flipH="1">
          <a:off x="5084885" y="2733675"/>
          <a:ext cx="5202114" cy="61619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129109</xdr:colOff>
      <xdr:row>1</xdr:row>
      <xdr:rowOff>148857</xdr:rowOff>
    </xdr:from>
    <xdr:to>
      <xdr:col>7</xdr:col>
      <xdr:colOff>340009</xdr:colOff>
      <xdr:row>15</xdr:row>
      <xdr:rowOff>106143</xdr:rowOff>
    </xdr:to>
    <xdr:cxnSp macro="">
      <xdr:nvCxnSpPr>
        <xdr:cNvPr id="5" name="Straight Arrow Connector 4">
          <a:extLst>
            <a:ext uri="{FF2B5EF4-FFF2-40B4-BE49-F238E27FC236}">
              <a16:creationId xmlns:a16="http://schemas.microsoft.com/office/drawing/2014/main" id="{00000000-0008-0000-0200-000005000000}"/>
            </a:ext>
          </a:extLst>
        </xdr:cNvPr>
        <xdr:cNvCxnSpPr>
          <a:stCxn id="481" idx="0"/>
          <a:endCxn id="121" idx="2"/>
        </xdr:cNvCxnSpPr>
      </xdr:nvCxnSpPr>
      <xdr:spPr>
        <a:xfrm>
          <a:off x="4072459" y="310782"/>
          <a:ext cx="963375" cy="230996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510504</xdr:colOff>
      <xdr:row>23</xdr:row>
      <xdr:rowOff>87100</xdr:rowOff>
    </xdr:from>
    <xdr:to>
      <xdr:col>6</xdr:col>
      <xdr:colOff>399589</xdr:colOff>
      <xdr:row>25</xdr:row>
      <xdr:rowOff>55461</xdr:rowOff>
    </xdr:to>
    <xdr:cxnSp macro="">
      <xdr:nvCxnSpPr>
        <xdr:cNvPr id="8" name="Straight Arrow Connector 7">
          <a:extLst>
            <a:ext uri="{FF2B5EF4-FFF2-40B4-BE49-F238E27FC236}">
              <a16:creationId xmlns:a16="http://schemas.microsoft.com/office/drawing/2014/main" id="{00000000-0008-0000-0200-000008000000}"/>
            </a:ext>
          </a:extLst>
        </xdr:cNvPr>
        <xdr:cNvCxnSpPr>
          <a:stCxn id="333" idx="3"/>
          <a:endCxn id="251" idx="3"/>
        </xdr:cNvCxnSpPr>
      </xdr:nvCxnSpPr>
      <xdr:spPr>
        <a:xfrm>
          <a:off x="3129879" y="3897100"/>
          <a:ext cx="1213060" cy="2922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336005</xdr:colOff>
      <xdr:row>16</xdr:row>
      <xdr:rowOff>173513</xdr:rowOff>
    </xdr:from>
    <xdr:to>
      <xdr:col>8</xdr:col>
      <xdr:colOff>81631</xdr:colOff>
      <xdr:row>22</xdr:row>
      <xdr:rowOff>97696</xdr:rowOff>
    </xdr:to>
    <xdr:cxnSp macro="">
      <xdr:nvCxnSpPr>
        <xdr:cNvPr id="10" name="Straight Arrow Connector 9">
          <a:extLst>
            <a:ext uri="{FF2B5EF4-FFF2-40B4-BE49-F238E27FC236}">
              <a16:creationId xmlns:a16="http://schemas.microsoft.com/office/drawing/2014/main" id="{00000000-0008-0000-0200-00000A000000}"/>
            </a:ext>
          </a:extLst>
        </xdr:cNvPr>
        <xdr:cNvCxnSpPr>
          <a:stCxn id="329" idx="1"/>
          <a:endCxn id="226" idx="3"/>
        </xdr:cNvCxnSpPr>
      </xdr:nvCxnSpPr>
      <xdr:spPr>
        <a:xfrm flipH="1">
          <a:off x="5212805" y="3221513"/>
          <a:ext cx="536201" cy="10671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528977</xdr:colOff>
      <xdr:row>16</xdr:row>
      <xdr:rowOff>158860</xdr:rowOff>
    </xdr:from>
    <xdr:to>
      <xdr:col>8</xdr:col>
      <xdr:colOff>81631</xdr:colOff>
      <xdr:row>19</xdr:row>
      <xdr:rowOff>33287</xdr:rowOff>
    </xdr:to>
    <xdr:cxnSp macro="">
      <xdr:nvCxnSpPr>
        <xdr:cNvPr id="11" name="Straight Arrow Connector 10">
          <a:extLst>
            <a:ext uri="{FF2B5EF4-FFF2-40B4-BE49-F238E27FC236}">
              <a16:creationId xmlns:a16="http://schemas.microsoft.com/office/drawing/2014/main" id="{00000000-0008-0000-0200-00000B000000}"/>
            </a:ext>
          </a:extLst>
        </xdr:cNvPr>
        <xdr:cNvCxnSpPr>
          <a:stCxn id="329" idx="1"/>
          <a:endCxn id="220" idx="1"/>
        </xdr:cNvCxnSpPr>
      </xdr:nvCxnSpPr>
      <xdr:spPr>
        <a:xfrm flipH="1">
          <a:off x="3884708" y="2825860"/>
          <a:ext cx="1692115" cy="35800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244917</xdr:colOff>
      <xdr:row>16</xdr:row>
      <xdr:rowOff>173513</xdr:rowOff>
    </xdr:from>
    <xdr:to>
      <xdr:col>12</xdr:col>
      <xdr:colOff>517071</xdr:colOff>
      <xdr:row>23</xdr:row>
      <xdr:rowOff>16057</xdr:rowOff>
    </xdr:to>
    <xdr:cxnSp macro="">
      <xdr:nvCxnSpPr>
        <xdr:cNvPr id="12" name="Straight Arrow Connector 11">
          <a:extLst>
            <a:ext uri="{FF2B5EF4-FFF2-40B4-BE49-F238E27FC236}">
              <a16:creationId xmlns:a16="http://schemas.microsoft.com/office/drawing/2014/main" id="{00000000-0008-0000-0200-00000C000000}"/>
            </a:ext>
          </a:extLst>
        </xdr:cNvPr>
        <xdr:cNvCxnSpPr>
          <a:stCxn id="329" idx="3"/>
          <a:endCxn id="185" idx="1"/>
        </xdr:cNvCxnSpPr>
      </xdr:nvCxnSpPr>
      <xdr:spPr>
        <a:xfrm>
          <a:off x="8884092" y="3221513"/>
          <a:ext cx="881754" cy="117604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736299</xdr:colOff>
      <xdr:row>31</xdr:row>
      <xdr:rowOff>150993</xdr:rowOff>
    </xdr:from>
    <xdr:to>
      <xdr:col>9</xdr:col>
      <xdr:colOff>658116</xdr:colOff>
      <xdr:row>35</xdr:row>
      <xdr:rowOff>62539</xdr:rowOff>
    </xdr:to>
    <xdr:cxnSp macro="">
      <xdr:nvCxnSpPr>
        <xdr:cNvPr id="13" name="Straight Arrow Connector 12">
          <a:extLst>
            <a:ext uri="{FF2B5EF4-FFF2-40B4-BE49-F238E27FC236}">
              <a16:creationId xmlns:a16="http://schemas.microsoft.com/office/drawing/2014/main" id="{00000000-0008-0000-0200-00000D000000}"/>
            </a:ext>
          </a:extLst>
        </xdr:cNvPr>
        <xdr:cNvCxnSpPr>
          <a:stCxn id="331" idx="0"/>
          <a:endCxn id="243" idx="3"/>
        </xdr:cNvCxnSpPr>
      </xdr:nvCxnSpPr>
      <xdr:spPr>
        <a:xfrm flipH="1" flipV="1">
          <a:off x="4685511" y="5235878"/>
          <a:ext cx="2075932" cy="5563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658116</xdr:colOff>
      <xdr:row>29</xdr:row>
      <xdr:rowOff>20132</xdr:rowOff>
    </xdr:from>
    <xdr:to>
      <xdr:col>19</xdr:col>
      <xdr:colOff>570743</xdr:colOff>
      <xdr:row>35</xdr:row>
      <xdr:rowOff>62539</xdr:rowOff>
    </xdr:to>
    <xdr:cxnSp macro="">
      <xdr:nvCxnSpPr>
        <xdr:cNvPr id="15" name="Straight Arrow Connector 14">
          <a:extLst>
            <a:ext uri="{FF2B5EF4-FFF2-40B4-BE49-F238E27FC236}">
              <a16:creationId xmlns:a16="http://schemas.microsoft.com/office/drawing/2014/main" id="{00000000-0008-0000-0200-00000F000000}"/>
            </a:ext>
          </a:extLst>
        </xdr:cNvPr>
        <xdr:cNvCxnSpPr>
          <a:stCxn id="331" idx="0"/>
          <a:endCxn id="296" idx="3"/>
        </xdr:cNvCxnSpPr>
      </xdr:nvCxnSpPr>
      <xdr:spPr>
        <a:xfrm flipV="1">
          <a:off x="6761443" y="4782632"/>
          <a:ext cx="7364108" cy="100956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51368</xdr:colOff>
      <xdr:row>4</xdr:row>
      <xdr:rowOff>33849</xdr:rowOff>
    </xdr:from>
    <xdr:to>
      <xdr:col>9</xdr:col>
      <xdr:colOff>241016</xdr:colOff>
      <xdr:row>11</xdr:row>
      <xdr:rowOff>118699</xdr:rowOff>
    </xdr:to>
    <xdr:cxnSp macro="">
      <xdr:nvCxnSpPr>
        <xdr:cNvPr id="16" name="Straight Arrow Connector 15">
          <a:extLst>
            <a:ext uri="{FF2B5EF4-FFF2-40B4-BE49-F238E27FC236}">
              <a16:creationId xmlns:a16="http://schemas.microsoft.com/office/drawing/2014/main" id="{00000000-0008-0000-0200-000010000000}"/>
            </a:ext>
          </a:extLst>
        </xdr:cNvPr>
        <xdr:cNvCxnSpPr>
          <a:stCxn id="69" idx="1"/>
          <a:endCxn id="121" idx="3"/>
        </xdr:cNvCxnSpPr>
      </xdr:nvCxnSpPr>
      <xdr:spPr>
        <a:xfrm flipH="1">
          <a:off x="5718743" y="795849"/>
          <a:ext cx="799248" cy="1418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693964</xdr:colOff>
      <xdr:row>17</xdr:row>
      <xdr:rowOff>176893</xdr:rowOff>
    </xdr:from>
    <xdr:to>
      <xdr:col>7</xdr:col>
      <xdr:colOff>49501</xdr:colOff>
      <xdr:row>18</xdr:row>
      <xdr:rowOff>36391</xdr:rowOff>
    </xdr:to>
    <xdr:sp macro="" textlink="">
      <xdr:nvSpPr>
        <xdr:cNvPr id="17" name="Pentagon 16">
          <a:extLst>
            <a:ext uri="{FF2B5EF4-FFF2-40B4-BE49-F238E27FC236}">
              <a16:creationId xmlns:a16="http://schemas.microsoft.com/office/drawing/2014/main" id="{00000000-0008-0000-0200-000011000000}"/>
            </a:ext>
          </a:extLst>
        </xdr:cNvPr>
        <xdr:cNvSpPr/>
      </xdr:nvSpPr>
      <xdr:spPr>
        <a:xfrm>
          <a:off x="4818289" y="3415393"/>
          <a:ext cx="108012" cy="49998"/>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6</xdr:col>
      <xdr:colOff>626035</xdr:colOff>
      <xdr:row>18</xdr:row>
      <xdr:rowOff>85721</xdr:rowOff>
    </xdr:from>
    <xdr:to>
      <xdr:col>9</xdr:col>
      <xdr:colOff>264312</xdr:colOff>
      <xdr:row>32</xdr:row>
      <xdr:rowOff>43880</xdr:rowOff>
    </xdr:to>
    <xdr:cxnSp macro="">
      <xdr:nvCxnSpPr>
        <xdr:cNvPr id="18" name="Straight Arrow Connector 17">
          <a:extLst>
            <a:ext uri="{FF2B5EF4-FFF2-40B4-BE49-F238E27FC236}">
              <a16:creationId xmlns:a16="http://schemas.microsoft.com/office/drawing/2014/main" id="{00000000-0008-0000-0200-000012000000}"/>
            </a:ext>
          </a:extLst>
        </xdr:cNvPr>
        <xdr:cNvCxnSpPr>
          <a:stCxn id="91" idx="0"/>
          <a:endCxn id="161" idx="2"/>
        </xdr:cNvCxnSpPr>
      </xdr:nvCxnSpPr>
      <xdr:spPr>
        <a:xfrm flipH="1" flipV="1">
          <a:off x="4573983" y="3120583"/>
          <a:ext cx="1792898" cy="22572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9</xdr:row>
      <xdr:rowOff>174625</xdr:rowOff>
    </xdr:from>
    <xdr:to>
      <xdr:col>16</xdr:col>
      <xdr:colOff>373062</xdr:colOff>
      <xdr:row>18</xdr:row>
      <xdr:rowOff>7938</xdr:rowOff>
    </xdr:to>
    <xdr:cxnSp macro="">
      <xdr:nvCxnSpPr>
        <xdr:cNvPr id="19" name="Straight Arrow Connector 18">
          <a:extLst>
            <a:ext uri="{FF2B5EF4-FFF2-40B4-BE49-F238E27FC236}">
              <a16:creationId xmlns:a16="http://schemas.microsoft.com/office/drawing/2014/main" id="{00000000-0008-0000-0200-000013000000}"/>
            </a:ext>
          </a:extLst>
        </xdr:cNvPr>
        <xdr:cNvCxnSpPr/>
      </xdr:nvCxnSpPr>
      <xdr:spPr>
        <a:xfrm flipH="1">
          <a:off x="5186363" y="1889125"/>
          <a:ext cx="7359649" cy="15478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119828</xdr:colOff>
      <xdr:row>10</xdr:row>
      <xdr:rowOff>133350</xdr:rowOff>
    </xdr:from>
    <xdr:to>
      <xdr:col>9</xdr:col>
      <xdr:colOff>1026999</xdr:colOff>
      <xdr:row>18</xdr:row>
      <xdr:rowOff>36390</xdr:rowOff>
    </xdr:to>
    <xdr:cxnSp macro="">
      <xdr:nvCxnSpPr>
        <xdr:cNvPr id="20" name="Straight Arrow Connector 19">
          <a:extLst>
            <a:ext uri="{FF2B5EF4-FFF2-40B4-BE49-F238E27FC236}">
              <a16:creationId xmlns:a16="http://schemas.microsoft.com/office/drawing/2014/main" id="{00000000-0008-0000-0200-000014000000}"/>
            </a:ext>
          </a:extLst>
        </xdr:cNvPr>
        <xdr:cNvCxnSpPr>
          <a:stCxn id="90" idx="2"/>
          <a:endCxn id="174" idx="2"/>
        </xdr:cNvCxnSpPr>
      </xdr:nvCxnSpPr>
      <xdr:spPr>
        <a:xfrm flipH="1">
          <a:off x="4996628" y="2038350"/>
          <a:ext cx="2307346" cy="14270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326869</xdr:colOff>
      <xdr:row>5</xdr:row>
      <xdr:rowOff>57150</xdr:rowOff>
    </xdr:from>
    <xdr:to>
      <xdr:col>12</xdr:col>
      <xdr:colOff>647700</xdr:colOff>
      <xdr:row>16</xdr:row>
      <xdr:rowOff>60198</xdr:rowOff>
    </xdr:to>
    <xdr:cxnSp macro="">
      <xdr:nvCxnSpPr>
        <xdr:cNvPr id="21" name="Straight Arrow Connector 20">
          <a:extLst>
            <a:ext uri="{FF2B5EF4-FFF2-40B4-BE49-F238E27FC236}">
              <a16:creationId xmlns:a16="http://schemas.microsoft.com/office/drawing/2014/main" id="{00000000-0008-0000-0200-000015000000}"/>
            </a:ext>
          </a:extLst>
        </xdr:cNvPr>
        <xdr:cNvCxnSpPr>
          <a:stCxn id="173" idx="1"/>
          <a:endCxn id="126" idx="1"/>
        </xdr:cNvCxnSpPr>
      </xdr:nvCxnSpPr>
      <xdr:spPr>
        <a:xfrm flipH="1">
          <a:off x="5203669" y="1009650"/>
          <a:ext cx="4692806" cy="209854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542472</xdr:colOff>
      <xdr:row>24</xdr:row>
      <xdr:rowOff>97972</xdr:rowOff>
    </xdr:from>
    <xdr:to>
      <xdr:col>13</xdr:col>
      <xdr:colOff>254113</xdr:colOff>
      <xdr:row>32</xdr:row>
      <xdr:rowOff>115660</xdr:rowOff>
    </xdr:to>
    <xdr:cxnSp macro="">
      <xdr:nvCxnSpPr>
        <xdr:cNvPr id="22" name="Straight Arrow Connector 21">
          <a:extLst>
            <a:ext uri="{FF2B5EF4-FFF2-40B4-BE49-F238E27FC236}">
              <a16:creationId xmlns:a16="http://schemas.microsoft.com/office/drawing/2014/main" id="{00000000-0008-0000-0200-000016000000}"/>
            </a:ext>
          </a:extLst>
        </xdr:cNvPr>
        <xdr:cNvCxnSpPr>
          <a:stCxn id="89" idx="0"/>
          <a:endCxn id="192" idx="1"/>
        </xdr:cNvCxnSpPr>
      </xdr:nvCxnSpPr>
      <xdr:spPr>
        <a:xfrm flipH="1" flipV="1">
          <a:off x="9597175" y="4044894"/>
          <a:ext cx="551032" cy="13035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500464</xdr:colOff>
      <xdr:row>28</xdr:row>
      <xdr:rowOff>1465</xdr:rowOff>
    </xdr:from>
    <xdr:to>
      <xdr:col>13</xdr:col>
      <xdr:colOff>254113</xdr:colOff>
      <xdr:row>32</xdr:row>
      <xdr:rowOff>115660</xdr:rowOff>
    </xdr:to>
    <xdr:cxnSp macro="">
      <xdr:nvCxnSpPr>
        <xdr:cNvPr id="23" name="Straight Arrow Connector 22">
          <a:extLst>
            <a:ext uri="{FF2B5EF4-FFF2-40B4-BE49-F238E27FC236}">
              <a16:creationId xmlns:a16="http://schemas.microsoft.com/office/drawing/2014/main" id="{00000000-0008-0000-0200-000017000000}"/>
            </a:ext>
          </a:extLst>
        </xdr:cNvPr>
        <xdr:cNvCxnSpPr>
          <a:stCxn id="89" idx="0"/>
          <a:endCxn id="428" idx="2"/>
        </xdr:cNvCxnSpPr>
      </xdr:nvCxnSpPr>
      <xdr:spPr>
        <a:xfrm flipH="1" flipV="1">
          <a:off x="8947948" y="4591324"/>
          <a:ext cx="1200259" cy="75713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241016</xdr:colOff>
      <xdr:row>4</xdr:row>
      <xdr:rowOff>33849</xdr:rowOff>
    </xdr:from>
    <xdr:to>
      <xdr:col>13</xdr:col>
      <xdr:colOff>23812</xdr:colOff>
      <xdr:row>13</xdr:row>
      <xdr:rowOff>70241</xdr:rowOff>
    </xdr:to>
    <xdr:cxnSp macro="">
      <xdr:nvCxnSpPr>
        <xdr:cNvPr id="25" name="Straight Arrow Connector 24">
          <a:extLst>
            <a:ext uri="{FF2B5EF4-FFF2-40B4-BE49-F238E27FC236}">
              <a16:creationId xmlns:a16="http://schemas.microsoft.com/office/drawing/2014/main" id="{00000000-0008-0000-0200-000019000000}"/>
            </a:ext>
          </a:extLst>
        </xdr:cNvPr>
        <xdr:cNvCxnSpPr>
          <a:stCxn id="69" idx="1"/>
          <a:endCxn id="58" idx="3"/>
        </xdr:cNvCxnSpPr>
      </xdr:nvCxnSpPr>
      <xdr:spPr>
        <a:xfrm>
          <a:off x="6517991" y="795849"/>
          <a:ext cx="3849971" cy="17508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254112</xdr:colOff>
      <xdr:row>32</xdr:row>
      <xdr:rowOff>115660</xdr:rowOff>
    </xdr:from>
    <xdr:to>
      <xdr:col>13</xdr:col>
      <xdr:colOff>580004</xdr:colOff>
      <xdr:row>35</xdr:row>
      <xdr:rowOff>44733</xdr:rowOff>
    </xdr:to>
    <xdr:cxnSp macro="">
      <xdr:nvCxnSpPr>
        <xdr:cNvPr id="27" name="Straight Arrow Connector 26">
          <a:extLst>
            <a:ext uri="{FF2B5EF4-FFF2-40B4-BE49-F238E27FC236}">
              <a16:creationId xmlns:a16="http://schemas.microsoft.com/office/drawing/2014/main" id="{00000000-0008-0000-0200-00001B000000}"/>
            </a:ext>
          </a:extLst>
        </xdr:cNvPr>
        <xdr:cNvCxnSpPr>
          <a:stCxn id="89" idx="0"/>
        </xdr:cNvCxnSpPr>
      </xdr:nvCxnSpPr>
      <xdr:spPr>
        <a:xfrm>
          <a:off x="10148206" y="5348457"/>
          <a:ext cx="325892" cy="411276"/>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439510</xdr:colOff>
      <xdr:row>7</xdr:row>
      <xdr:rowOff>95248</xdr:rowOff>
    </xdr:from>
    <xdr:to>
      <xdr:col>21</xdr:col>
      <xdr:colOff>213292</xdr:colOff>
      <xdr:row>15</xdr:row>
      <xdr:rowOff>70137</xdr:rowOff>
    </xdr:to>
    <xdr:sp macro="" textlink="">
      <xdr:nvSpPr>
        <xdr:cNvPr id="28" name="Rounded Rectangle 27">
          <a:extLst>
            <a:ext uri="{FF2B5EF4-FFF2-40B4-BE49-F238E27FC236}">
              <a16:creationId xmlns:a16="http://schemas.microsoft.com/office/drawing/2014/main" id="{00000000-0008-0000-0200-00001C000000}"/>
            </a:ext>
          </a:extLst>
        </xdr:cNvPr>
        <xdr:cNvSpPr/>
      </xdr:nvSpPr>
      <xdr:spPr>
        <a:xfrm>
          <a:off x="14441260" y="1428748"/>
          <a:ext cx="992982" cy="1498889"/>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aseline="0">
              <a:solidFill>
                <a:sysClr val="windowText" lastClr="000000"/>
              </a:solidFill>
            </a:rPr>
            <a:t>Oxidizer Tank</a:t>
          </a:r>
          <a:endParaRPr lang="en-US" sz="1100">
            <a:solidFill>
              <a:sysClr val="windowText" lastClr="000000"/>
            </a:solidFill>
          </a:endParaRPr>
        </a:p>
      </xdr:txBody>
    </xdr:sp>
    <xdr:clientData/>
  </xdr:twoCellAnchor>
  <xdr:twoCellAnchor>
    <xdr:from>
      <xdr:col>35</xdr:col>
      <xdr:colOff>0</xdr:colOff>
      <xdr:row>8</xdr:row>
      <xdr:rowOff>0</xdr:rowOff>
    </xdr:from>
    <xdr:to>
      <xdr:col>35</xdr:col>
      <xdr:colOff>428625</xdr:colOff>
      <xdr:row>9</xdr:row>
      <xdr:rowOff>35718</xdr:rowOff>
    </xdr:to>
    <xdr:grpSp>
      <xdr:nvGrpSpPr>
        <xdr:cNvPr id="29" name="Group 28">
          <a:extLst>
            <a:ext uri="{FF2B5EF4-FFF2-40B4-BE49-F238E27FC236}">
              <a16:creationId xmlns:a16="http://schemas.microsoft.com/office/drawing/2014/main" id="{00000000-0008-0000-0200-00001D000000}"/>
            </a:ext>
          </a:extLst>
        </xdr:cNvPr>
        <xdr:cNvGrpSpPr/>
      </xdr:nvGrpSpPr>
      <xdr:grpSpPr>
        <a:xfrm>
          <a:off x="26022300" y="1397000"/>
          <a:ext cx="428625" cy="200818"/>
          <a:chOff x="2667000" y="1262063"/>
          <a:chExt cx="428625" cy="226218"/>
        </a:xfrm>
      </xdr:grpSpPr>
      <xdr:sp macro="" textlink="">
        <xdr:nvSpPr>
          <xdr:cNvPr id="30" name="Rectangle 29">
            <a:extLst>
              <a:ext uri="{FF2B5EF4-FFF2-40B4-BE49-F238E27FC236}">
                <a16:creationId xmlns:a16="http://schemas.microsoft.com/office/drawing/2014/main" id="{00000000-0008-0000-0200-00001E000000}"/>
              </a:ext>
            </a:extLst>
          </xdr:cNvPr>
          <xdr:cNvSpPr/>
        </xdr:nvSpPr>
        <xdr:spPr>
          <a:xfrm>
            <a:off x="2678906" y="1262063"/>
            <a:ext cx="416719" cy="2262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31" name="Straight Arrow Connector 30">
            <a:extLst>
              <a:ext uri="{FF2B5EF4-FFF2-40B4-BE49-F238E27FC236}">
                <a16:creationId xmlns:a16="http://schemas.microsoft.com/office/drawing/2014/main" id="{00000000-0008-0000-0200-00001F000000}"/>
              </a:ext>
            </a:extLst>
          </xdr:cNvPr>
          <xdr:cNvCxnSpPr/>
        </xdr:nvCxnSpPr>
        <xdr:spPr>
          <a:xfrm flipH="1">
            <a:off x="2667000" y="1363266"/>
            <a:ext cx="416719" cy="1588"/>
          </a:xfrm>
          <a:prstGeom prst="straightConnector1">
            <a:avLst/>
          </a:prstGeom>
          <a:ln w="2667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35</xdr:col>
      <xdr:colOff>0</xdr:colOff>
      <xdr:row>10</xdr:row>
      <xdr:rowOff>0</xdr:rowOff>
    </xdr:from>
    <xdr:to>
      <xdr:col>35</xdr:col>
      <xdr:colOff>416719</xdr:colOff>
      <xdr:row>11</xdr:row>
      <xdr:rowOff>40474</xdr:rowOff>
    </xdr:to>
    <xdr:grpSp>
      <xdr:nvGrpSpPr>
        <xdr:cNvPr id="32" name="Group 31">
          <a:extLst>
            <a:ext uri="{FF2B5EF4-FFF2-40B4-BE49-F238E27FC236}">
              <a16:creationId xmlns:a16="http://schemas.microsoft.com/office/drawing/2014/main" id="{00000000-0008-0000-0200-000020000000}"/>
            </a:ext>
          </a:extLst>
        </xdr:cNvPr>
        <xdr:cNvGrpSpPr/>
      </xdr:nvGrpSpPr>
      <xdr:grpSpPr>
        <a:xfrm>
          <a:off x="26022300" y="1727200"/>
          <a:ext cx="416719" cy="205574"/>
          <a:chOff x="4869656" y="2090744"/>
          <a:chExt cx="416719" cy="230974"/>
        </a:xfrm>
      </xdr:grpSpPr>
      <xdr:sp macro="" textlink="">
        <xdr:nvSpPr>
          <xdr:cNvPr id="33" name="Rectangle 32">
            <a:extLst>
              <a:ext uri="{FF2B5EF4-FFF2-40B4-BE49-F238E27FC236}">
                <a16:creationId xmlns:a16="http://schemas.microsoft.com/office/drawing/2014/main" id="{00000000-0008-0000-0200-000021000000}"/>
              </a:ext>
            </a:extLst>
          </xdr:cNvPr>
          <xdr:cNvSpPr/>
        </xdr:nvSpPr>
        <xdr:spPr>
          <a:xfrm>
            <a:off x="4869656" y="2095500"/>
            <a:ext cx="416719" cy="226218"/>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34" name="Straight Connector 33">
            <a:extLst>
              <a:ext uri="{FF2B5EF4-FFF2-40B4-BE49-F238E27FC236}">
                <a16:creationId xmlns:a16="http://schemas.microsoft.com/office/drawing/2014/main" id="{00000000-0008-0000-0200-000022000000}"/>
              </a:ext>
            </a:extLst>
          </xdr:cNvPr>
          <xdr:cNvCxnSpPr/>
        </xdr:nvCxnSpPr>
        <xdr:spPr>
          <a:xfrm rot="16200000" flipH="1">
            <a:off x="4845847" y="2208609"/>
            <a:ext cx="226218" cy="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00000000-0008-0000-0200-000023000000}"/>
              </a:ext>
            </a:extLst>
          </xdr:cNvPr>
          <xdr:cNvCxnSpPr/>
        </xdr:nvCxnSpPr>
        <xdr:spPr>
          <a:xfrm rot="16200000" flipH="1">
            <a:off x="4974435" y="2206231"/>
            <a:ext cx="226218" cy="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0200-000024000000}"/>
              </a:ext>
            </a:extLst>
          </xdr:cNvPr>
          <xdr:cNvCxnSpPr/>
        </xdr:nvCxnSpPr>
        <xdr:spPr>
          <a:xfrm rot="16200000" flipH="1">
            <a:off x="5079211" y="2203853"/>
            <a:ext cx="226218" cy="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35</xdr:col>
      <xdr:colOff>130966</xdr:colOff>
      <xdr:row>12</xdr:row>
      <xdr:rowOff>1359</xdr:rowOff>
    </xdr:from>
    <xdr:to>
      <xdr:col>35</xdr:col>
      <xdr:colOff>345278</xdr:colOff>
      <xdr:row>12</xdr:row>
      <xdr:rowOff>158521</xdr:rowOff>
    </xdr:to>
    <xdr:grpSp>
      <xdr:nvGrpSpPr>
        <xdr:cNvPr id="37" name="Group 36">
          <a:extLst>
            <a:ext uri="{FF2B5EF4-FFF2-40B4-BE49-F238E27FC236}">
              <a16:creationId xmlns:a16="http://schemas.microsoft.com/office/drawing/2014/main" id="{00000000-0008-0000-0200-000025000000}"/>
            </a:ext>
          </a:extLst>
        </xdr:cNvPr>
        <xdr:cNvGrpSpPr/>
      </xdr:nvGrpSpPr>
      <xdr:grpSpPr>
        <a:xfrm>
          <a:off x="26153266" y="2058759"/>
          <a:ext cx="214312" cy="157162"/>
          <a:chOff x="3250407" y="1738312"/>
          <a:chExt cx="214312" cy="214312"/>
        </a:xfrm>
      </xdr:grpSpPr>
      <xdr:sp macro="" textlink="">
        <xdr:nvSpPr>
          <xdr:cNvPr id="38" name="Oval 37">
            <a:extLst>
              <a:ext uri="{FF2B5EF4-FFF2-40B4-BE49-F238E27FC236}">
                <a16:creationId xmlns:a16="http://schemas.microsoft.com/office/drawing/2014/main" id="{00000000-0008-0000-0200-000026000000}"/>
              </a:ext>
            </a:extLst>
          </xdr:cNvPr>
          <xdr:cNvSpPr/>
        </xdr:nvSpPr>
        <xdr:spPr>
          <a:xfrm>
            <a:off x="3250407" y="1738312"/>
            <a:ext cx="214312" cy="214312"/>
          </a:xfrm>
          <a:prstGeom prst="ellips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39" name="Straight Connector 38">
            <a:extLst>
              <a:ext uri="{FF2B5EF4-FFF2-40B4-BE49-F238E27FC236}">
                <a16:creationId xmlns:a16="http://schemas.microsoft.com/office/drawing/2014/main" id="{00000000-0008-0000-0200-000027000000}"/>
              </a:ext>
            </a:extLst>
          </xdr:cNvPr>
          <xdr:cNvCxnSpPr/>
        </xdr:nvCxnSpPr>
        <xdr:spPr>
          <a:xfrm rot="16200000" flipH="1">
            <a:off x="3305604" y="1769697"/>
            <a:ext cx="151542" cy="151542"/>
          </a:xfrm>
          <a:prstGeom prst="line">
            <a:avLst/>
          </a:prstGeom>
          <a:ln w="2794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35</xdr:col>
      <xdr:colOff>119063</xdr:colOff>
      <xdr:row>19</xdr:row>
      <xdr:rowOff>86069</xdr:rowOff>
    </xdr:from>
    <xdr:to>
      <xdr:col>35</xdr:col>
      <xdr:colOff>345282</xdr:colOff>
      <xdr:row>20</xdr:row>
      <xdr:rowOff>52736</xdr:rowOff>
    </xdr:to>
    <xdr:grpSp>
      <xdr:nvGrpSpPr>
        <xdr:cNvPr id="40" name="Group 39">
          <a:extLst>
            <a:ext uri="{FF2B5EF4-FFF2-40B4-BE49-F238E27FC236}">
              <a16:creationId xmlns:a16="http://schemas.microsoft.com/office/drawing/2014/main" id="{00000000-0008-0000-0200-000028000000}"/>
            </a:ext>
          </a:extLst>
        </xdr:cNvPr>
        <xdr:cNvGrpSpPr/>
      </xdr:nvGrpSpPr>
      <xdr:grpSpPr>
        <a:xfrm>
          <a:off x="26141363" y="3299169"/>
          <a:ext cx="226219" cy="131767"/>
          <a:chOff x="5703094" y="3033714"/>
          <a:chExt cx="226219" cy="157167"/>
        </a:xfrm>
      </xdr:grpSpPr>
      <xdr:sp macro="" textlink="">
        <xdr:nvSpPr>
          <xdr:cNvPr id="41" name="Rectangle 40">
            <a:extLst>
              <a:ext uri="{FF2B5EF4-FFF2-40B4-BE49-F238E27FC236}">
                <a16:creationId xmlns:a16="http://schemas.microsoft.com/office/drawing/2014/main" id="{00000000-0008-0000-0200-000029000000}"/>
              </a:ext>
            </a:extLst>
          </xdr:cNvPr>
          <xdr:cNvSpPr/>
        </xdr:nvSpPr>
        <xdr:spPr>
          <a:xfrm>
            <a:off x="5712618" y="3033714"/>
            <a:ext cx="216695" cy="157162"/>
          </a:xfrm>
          <a:prstGeom prst="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42" name="Straight Connector 41">
            <a:extLst>
              <a:ext uri="{FF2B5EF4-FFF2-40B4-BE49-F238E27FC236}">
                <a16:creationId xmlns:a16="http://schemas.microsoft.com/office/drawing/2014/main" id="{00000000-0008-0000-0200-00002A000000}"/>
              </a:ext>
            </a:extLst>
          </xdr:cNvPr>
          <xdr:cNvCxnSpPr/>
        </xdr:nvCxnSpPr>
        <xdr:spPr>
          <a:xfrm>
            <a:off x="5712617" y="3052765"/>
            <a:ext cx="204789" cy="138116"/>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Straight Connector 42">
            <a:extLst>
              <a:ext uri="{FF2B5EF4-FFF2-40B4-BE49-F238E27FC236}">
                <a16:creationId xmlns:a16="http://schemas.microsoft.com/office/drawing/2014/main" id="{00000000-0008-0000-0200-00002B000000}"/>
              </a:ext>
            </a:extLst>
          </xdr:cNvPr>
          <xdr:cNvCxnSpPr/>
        </xdr:nvCxnSpPr>
        <xdr:spPr>
          <a:xfrm flipV="1">
            <a:off x="5703094" y="3045625"/>
            <a:ext cx="200025" cy="14525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35</xdr:col>
      <xdr:colOff>130966</xdr:colOff>
      <xdr:row>21</xdr:row>
      <xdr:rowOff>23812</xdr:rowOff>
    </xdr:from>
    <xdr:to>
      <xdr:col>35</xdr:col>
      <xdr:colOff>347661</xdr:colOff>
      <xdr:row>21</xdr:row>
      <xdr:rowOff>158352</xdr:rowOff>
    </xdr:to>
    <xdr:grpSp>
      <xdr:nvGrpSpPr>
        <xdr:cNvPr id="45" name="Group 44">
          <a:extLst>
            <a:ext uri="{FF2B5EF4-FFF2-40B4-BE49-F238E27FC236}">
              <a16:creationId xmlns:a16="http://schemas.microsoft.com/office/drawing/2014/main" id="{00000000-0008-0000-0200-00002D000000}"/>
            </a:ext>
          </a:extLst>
        </xdr:cNvPr>
        <xdr:cNvGrpSpPr/>
      </xdr:nvGrpSpPr>
      <xdr:grpSpPr>
        <a:xfrm>
          <a:off x="26153266" y="3567112"/>
          <a:ext cx="216695" cy="134540"/>
          <a:chOff x="7915274" y="3042047"/>
          <a:chExt cx="216695" cy="163115"/>
        </a:xfrm>
      </xdr:grpSpPr>
      <xdr:sp macro="" textlink="">
        <xdr:nvSpPr>
          <xdr:cNvPr id="46" name="Rectangle 45">
            <a:extLst>
              <a:ext uri="{FF2B5EF4-FFF2-40B4-BE49-F238E27FC236}">
                <a16:creationId xmlns:a16="http://schemas.microsoft.com/office/drawing/2014/main" id="{00000000-0008-0000-0200-00002E000000}"/>
              </a:ext>
            </a:extLst>
          </xdr:cNvPr>
          <xdr:cNvSpPr/>
        </xdr:nvSpPr>
        <xdr:spPr>
          <a:xfrm>
            <a:off x="7915274" y="3048000"/>
            <a:ext cx="216695" cy="157162"/>
          </a:xfrm>
          <a:prstGeom prst="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47" name="Oval 46">
            <a:extLst>
              <a:ext uri="{FF2B5EF4-FFF2-40B4-BE49-F238E27FC236}">
                <a16:creationId xmlns:a16="http://schemas.microsoft.com/office/drawing/2014/main" id="{00000000-0008-0000-0200-00002F000000}"/>
              </a:ext>
            </a:extLst>
          </xdr:cNvPr>
          <xdr:cNvSpPr/>
        </xdr:nvSpPr>
        <xdr:spPr>
          <a:xfrm>
            <a:off x="7917656" y="3042047"/>
            <a:ext cx="208359" cy="160734"/>
          </a:xfrm>
          <a:prstGeom prst="ellips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13</xdr:col>
      <xdr:colOff>219417</xdr:colOff>
      <xdr:row>23</xdr:row>
      <xdr:rowOff>3427</xdr:rowOff>
    </xdr:from>
    <xdr:to>
      <xdr:col>18</xdr:col>
      <xdr:colOff>244929</xdr:colOff>
      <xdr:row>26</xdr:row>
      <xdr:rowOff>0</xdr:rowOff>
    </xdr:to>
    <xdr:sp macro="" textlink="">
      <xdr:nvSpPr>
        <xdr:cNvPr id="48" name="TextBox 47">
          <a:extLst>
            <a:ext uri="{FF2B5EF4-FFF2-40B4-BE49-F238E27FC236}">
              <a16:creationId xmlns:a16="http://schemas.microsoft.com/office/drawing/2014/main" id="{00000000-0008-0000-0200-000030000000}"/>
            </a:ext>
          </a:extLst>
        </xdr:cNvPr>
        <xdr:cNvSpPr txBox="1"/>
      </xdr:nvSpPr>
      <xdr:spPr>
        <a:xfrm>
          <a:off x="10125417" y="3798773"/>
          <a:ext cx="3066185" cy="48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1/8" NPT F/F</a:t>
          </a:r>
          <a:r>
            <a:rPr lang="en-US" sz="1100" baseline="0">
              <a:solidFill>
                <a:schemeClr val="dk1"/>
              </a:solidFill>
              <a:latin typeface="+mn-lt"/>
              <a:ea typeface="+mn-ea"/>
              <a:cs typeface="+mn-cs"/>
            </a:rPr>
            <a:t> </a:t>
          </a:r>
          <a:r>
            <a:rPr lang="en-US"/>
            <a:t>Brass Spring-Loaded Piston Check Valve. </a:t>
          </a:r>
          <a:r>
            <a:rPr lang="en-US" baseline="0"/>
            <a:t>1000psi 7775K51</a:t>
          </a:r>
          <a:endParaRPr lang="en-US"/>
        </a:p>
      </xdr:txBody>
    </xdr:sp>
    <xdr:clientData/>
  </xdr:twoCellAnchor>
  <xdr:twoCellAnchor>
    <xdr:from>
      <xdr:col>34</xdr:col>
      <xdr:colOff>154782</xdr:colOff>
      <xdr:row>22</xdr:row>
      <xdr:rowOff>154781</xdr:rowOff>
    </xdr:from>
    <xdr:to>
      <xdr:col>35</xdr:col>
      <xdr:colOff>577442</xdr:colOff>
      <xdr:row>23</xdr:row>
      <xdr:rowOff>172646</xdr:rowOff>
    </xdr:to>
    <xdr:sp macro="" textlink="">
      <xdr:nvSpPr>
        <xdr:cNvPr id="49" name="Isosceles Triangle 48">
          <a:extLst>
            <a:ext uri="{FF2B5EF4-FFF2-40B4-BE49-F238E27FC236}">
              <a16:creationId xmlns:a16="http://schemas.microsoft.com/office/drawing/2014/main" id="{00000000-0008-0000-0200-000031000000}"/>
            </a:ext>
          </a:extLst>
        </xdr:cNvPr>
        <xdr:cNvSpPr/>
      </xdr:nvSpPr>
      <xdr:spPr>
        <a:xfrm rot="5400000">
          <a:off x="23712479" y="2981334"/>
          <a:ext cx="208365" cy="1032260"/>
        </a:xfrm>
        <a:prstGeom prst="triangle">
          <a:avLst/>
        </a:prstGeom>
        <a:solidFill>
          <a:schemeClr val="accent2">
            <a:lumMod val="40000"/>
            <a:lumOff val="6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35</xdr:col>
      <xdr:colOff>107154</xdr:colOff>
      <xdr:row>25</xdr:row>
      <xdr:rowOff>47624</xdr:rowOff>
    </xdr:from>
    <xdr:to>
      <xdr:col>35</xdr:col>
      <xdr:colOff>471345</xdr:colOff>
      <xdr:row>25</xdr:row>
      <xdr:rowOff>158422</xdr:rowOff>
    </xdr:to>
    <xdr:grpSp>
      <xdr:nvGrpSpPr>
        <xdr:cNvPr id="50" name="Group 49">
          <a:extLst>
            <a:ext uri="{FF2B5EF4-FFF2-40B4-BE49-F238E27FC236}">
              <a16:creationId xmlns:a16="http://schemas.microsoft.com/office/drawing/2014/main" id="{00000000-0008-0000-0200-000032000000}"/>
            </a:ext>
          </a:extLst>
        </xdr:cNvPr>
        <xdr:cNvGrpSpPr/>
      </xdr:nvGrpSpPr>
      <xdr:grpSpPr>
        <a:xfrm>
          <a:off x="26129454" y="4251324"/>
          <a:ext cx="364191" cy="110798"/>
          <a:chOff x="16430623" y="2714624"/>
          <a:chExt cx="364191" cy="129848"/>
        </a:xfrm>
      </xdr:grpSpPr>
      <xdr:cxnSp macro="">
        <xdr:nvCxnSpPr>
          <xdr:cNvPr id="51" name="Straight Connector 50">
            <a:extLst>
              <a:ext uri="{FF2B5EF4-FFF2-40B4-BE49-F238E27FC236}">
                <a16:creationId xmlns:a16="http://schemas.microsoft.com/office/drawing/2014/main" id="{00000000-0008-0000-0200-000033000000}"/>
              </a:ext>
            </a:extLst>
          </xdr:cNvPr>
          <xdr:cNvCxnSpPr/>
        </xdr:nvCxnSpPr>
        <xdr:spPr>
          <a:xfrm rot="16200000">
            <a:off x="16545274" y="2795656"/>
            <a:ext cx="97632"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200-000034000000}"/>
              </a:ext>
            </a:extLst>
          </xdr:cNvPr>
          <xdr:cNvCxnSpPr/>
        </xdr:nvCxnSpPr>
        <xdr:spPr>
          <a:xfrm>
            <a:off x="16430623" y="2714624"/>
            <a:ext cx="364191"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35</xdr:col>
      <xdr:colOff>226220</xdr:colOff>
      <xdr:row>29</xdr:row>
      <xdr:rowOff>59528</xdr:rowOff>
    </xdr:from>
    <xdr:to>
      <xdr:col>35</xdr:col>
      <xdr:colOff>428626</xdr:colOff>
      <xdr:row>29</xdr:row>
      <xdr:rowOff>142872</xdr:rowOff>
    </xdr:to>
    <xdr:sp macro="" textlink="">
      <xdr:nvSpPr>
        <xdr:cNvPr id="53" name="Pentagon 52">
          <a:extLst>
            <a:ext uri="{FF2B5EF4-FFF2-40B4-BE49-F238E27FC236}">
              <a16:creationId xmlns:a16="http://schemas.microsoft.com/office/drawing/2014/main" id="{00000000-0008-0000-0200-000035000000}"/>
            </a:ext>
          </a:extLst>
        </xdr:cNvPr>
        <xdr:cNvSpPr/>
      </xdr:nvSpPr>
      <xdr:spPr>
        <a:xfrm>
          <a:off x="23981570" y="4631528"/>
          <a:ext cx="202406" cy="83344"/>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35</xdr:col>
      <xdr:colOff>250033</xdr:colOff>
      <xdr:row>27</xdr:row>
      <xdr:rowOff>47622</xdr:rowOff>
    </xdr:from>
    <xdr:to>
      <xdr:col>35</xdr:col>
      <xdr:colOff>387193</xdr:colOff>
      <xdr:row>28</xdr:row>
      <xdr:rowOff>3173</xdr:rowOff>
    </xdr:to>
    <xdr:grpSp>
      <xdr:nvGrpSpPr>
        <xdr:cNvPr id="54" name="Group 53">
          <a:extLst>
            <a:ext uri="{FF2B5EF4-FFF2-40B4-BE49-F238E27FC236}">
              <a16:creationId xmlns:a16="http://schemas.microsoft.com/office/drawing/2014/main" id="{00000000-0008-0000-0200-000036000000}"/>
            </a:ext>
          </a:extLst>
        </xdr:cNvPr>
        <xdr:cNvGrpSpPr/>
      </xdr:nvGrpSpPr>
      <xdr:grpSpPr>
        <a:xfrm rot="10800000">
          <a:off x="26272333" y="4581522"/>
          <a:ext cx="137160" cy="120651"/>
          <a:chOff x="11549063" y="1904999"/>
          <a:chExt cx="214312" cy="198439"/>
        </a:xfrm>
      </xdr:grpSpPr>
      <xdr:cxnSp macro="">
        <xdr:nvCxnSpPr>
          <xdr:cNvPr id="55" name="Straight Connector 54">
            <a:extLst>
              <a:ext uri="{FF2B5EF4-FFF2-40B4-BE49-F238E27FC236}">
                <a16:creationId xmlns:a16="http://schemas.microsoft.com/office/drawing/2014/main" id="{00000000-0008-0000-0200-00003700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200-00003800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200-00003900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464355</xdr:colOff>
      <xdr:row>7</xdr:row>
      <xdr:rowOff>123819</xdr:rowOff>
    </xdr:from>
    <xdr:to>
      <xdr:col>13</xdr:col>
      <xdr:colOff>23812</xdr:colOff>
      <xdr:row>19</xdr:row>
      <xdr:rowOff>16663</xdr:rowOff>
    </xdr:to>
    <xdr:sp macro="" textlink="">
      <xdr:nvSpPr>
        <xdr:cNvPr id="58" name="Rounded Rectangle 57">
          <a:extLst>
            <a:ext uri="{FF2B5EF4-FFF2-40B4-BE49-F238E27FC236}">
              <a16:creationId xmlns:a16="http://schemas.microsoft.com/office/drawing/2014/main" id="{00000000-0008-0000-0200-00003A000000}"/>
            </a:ext>
          </a:extLst>
        </xdr:cNvPr>
        <xdr:cNvSpPr/>
      </xdr:nvSpPr>
      <xdr:spPr>
        <a:xfrm>
          <a:off x="9103530" y="1457319"/>
          <a:ext cx="1264432" cy="2178844"/>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solidFill>
                <a:sysClr val="windowText" lastClr="000000"/>
              </a:solidFill>
            </a:rPr>
            <a:t>Pressurizing Gas</a:t>
          </a:r>
        </a:p>
        <a:p>
          <a:pPr algn="ctr"/>
          <a:r>
            <a:rPr lang="en-US" sz="1100">
              <a:solidFill>
                <a:sysClr val="windowText" lastClr="000000"/>
              </a:solidFill>
            </a:rPr>
            <a:t>(Nitrogen)</a:t>
          </a:r>
        </a:p>
      </xdr:txBody>
    </xdr:sp>
    <xdr:clientData/>
  </xdr:twoCellAnchor>
  <xdr:twoCellAnchor>
    <xdr:from>
      <xdr:col>12</xdr:col>
      <xdr:colOff>531019</xdr:colOff>
      <xdr:row>19</xdr:row>
      <xdr:rowOff>29372</xdr:rowOff>
    </xdr:from>
    <xdr:to>
      <xdr:col>12</xdr:col>
      <xdr:colOff>531019</xdr:colOff>
      <xdr:row>19</xdr:row>
      <xdr:rowOff>112731</xdr:rowOff>
    </xdr:to>
    <xdr:cxnSp macro="">
      <xdr:nvCxnSpPr>
        <xdr:cNvPr id="59" name="Straight Connector 58">
          <a:extLst>
            <a:ext uri="{FF2B5EF4-FFF2-40B4-BE49-F238E27FC236}">
              <a16:creationId xmlns:a16="http://schemas.microsoft.com/office/drawing/2014/main" id="{00000000-0008-0000-0200-00003B000000}"/>
            </a:ext>
          </a:extLst>
        </xdr:cNvPr>
        <xdr:cNvCxnSpPr/>
      </xdr:nvCxnSpPr>
      <xdr:spPr>
        <a:xfrm rot="5400000">
          <a:off x="9738114" y="3690552"/>
          <a:ext cx="83359" cy="0"/>
        </a:xfrm>
        <a:prstGeom prst="line">
          <a:avLst/>
        </a:prstGeom>
        <a:ln w="635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481017</xdr:colOff>
      <xdr:row>19</xdr:row>
      <xdr:rowOff>109535</xdr:rowOff>
    </xdr:from>
    <xdr:to>
      <xdr:col>12</xdr:col>
      <xdr:colOff>577320</xdr:colOff>
      <xdr:row>20</xdr:row>
      <xdr:rowOff>85717</xdr:rowOff>
    </xdr:to>
    <xdr:grpSp>
      <xdr:nvGrpSpPr>
        <xdr:cNvPr id="60" name="Group 59">
          <a:extLst>
            <a:ext uri="{FF2B5EF4-FFF2-40B4-BE49-F238E27FC236}">
              <a16:creationId xmlns:a16="http://schemas.microsoft.com/office/drawing/2014/main" id="{00000000-0008-0000-0200-00003C000000}"/>
            </a:ext>
          </a:extLst>
        </xdr:cNvPr>
        <xdr:cNvGrpSpPr/>
      </xdr:nvGrpSpPr>
      <xdr:grpSpPr>
        <a:xfrm rot="16200000">
          <a:off x="10720128" y="3345124"/>
          <a:ext cx="141282" cy="96303"/>
          <a:chOff x="4869656" y="2090744"/>
          <a:chExt cx="416719" cy="230974"/>
        </a:xfrm>
      </xdr:grpSpPr>
      <xdr:sp macro="" textlink="">
        <xdr:nvSpPr>
          <xdr:cNvPr id="61" name="Rectangle 60">
            <a:extLst>
              <a:ext uri="{FF2B5EF4-FFF2-40B4-BE49-F238E27FC236}">
                <a16:creationId xmlns:a16="http://schemas.microsoft.com/office/drawing/2014/main" id="{00000000-0008-0000-0200-00003D000000}"/>
              </a:ext>
            </a:extLst>
          </xdr:cNvPr>
          <xdr:cNvSpPr/>
        </xdr:nvSpPr>
        <xdr:spPr>
          <a:xfrm>
            <a:off x="4869656" y="2095500"/>
            <a:ext cx="416719" cy="226218"/>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62" name="Straight Connector 61">
            <a:extLst>
              <a:ext uri="{FF2B5EF4-FFF2-40B4-BE49-F238E27FC236}">
                <a16:creationId xmlns:a16="http://schemas.microsoft.com/office/drawing/2014/main" id="{00000000-0008-0000-0200-00003E000000}"/>
              </a:ext>
            </a:extLst>
          </xdr:cNvPr>
          <xdr:cNvCxnSpPr/>
        </xdr:nvCxnSpPr>
        <xdr:spPr>
          <a:xfrm rot="16200000" flipH="1">
            <a:off x="4845847" y="2208609"/>
            <a:ext cx="226218" cy="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200-00003F000000}"/>
              </a:ext>
            </a:extLst>
          </xdr:cNvPr>
          <xdr:cNvCxnSpPr/>
        </xdr:nvCxnSpPr>
        <xdr:spPr>
          <a:xfrm rot="16200000" flipH="1">
            <a:off x="4974435" y="2206231"/>
            <a:ext cx="226218" cy="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200-000040000000}"/>
              </a:ext>
            </a:extLst>
          </xdr:cNvPr>
          <xdr:cNvCxnSpPr/>
        </xdr:nvCxnSpPr>
        <xdr:spPr>
          <a:xfrm rot="16200000" flipH="1">
            <a:off x="5079211" y="2203853"/>
            <a:ext cx="226218" cy="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587375</xdr:colOff>
      <xdr:row>19</xdr:row>
      <xdr:rowOff>184079</xdr:rowOff>
    </xdr:from>
    <xdr:to>
      <xdr:col>12</xdr:col>
      <xdr:colOff>685688</xdr:colOff>
      <xdr:row>19</xdr:row>
      <xdr:rowOff>184079</xdr:rowOff>
    </xdr:to>
    <xdr:cxnSp macro="">
      <xdr:nvCxnSpPr>
        <xdr:cNvPr id="65" name="Straight Connector 64">
          <a:extLst>
            <a:ext uri="{FF2B5EF4-FFF2-40B4-BE49-F238E27FC236}">
              <a16:creationId xmlns:a16="http://schemas.microsoft.com/office/drawing/2014/main" id="{00000000-0008-0000-0200-000041000000}"/>
            </a:ext>
          </a:extLst>
        </xdr:cNvPr>
        <xdr:cNvCxnSpPr/>
      </xdr:nvCxnSpPr>
      <xdr:spPr>
        <a:xfrm>
          <a:off x="9836150" y="3803579"/>
          <a:ext cx="98313" cy="0"/>
        </a:xfrm>
        <a:prstGeom prst="line">
          <a:avLst/>
        </a:prstGeom>
        <a:ln w="635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514350</xdr:colOff>
      <xdr:row>20</xdr:row>
      <xdr:rowOff>85726</xdr:rowOff>
    </xdr:from>
    <xdr:to>
      <xdr:col>12</xdr:col>
      <xdr:colOff>560069</xdr:colOff>
      <xdr:row>21</xdr:row>
      <xdr:rowOff>9526</xdr:rowOff>
    </xdr:to>
    <xdr:sp macro="" textlink="">
      <xdr:nvSpPr>
        <xdr:cNvPr id="66" name="Rectangle 65">
          <a:extLst>
            <a:ext uri="{FF2B5EF4-FFF2-40B4-BE49-F238E27FC236}">
              <a16:creationId xmlns:a16="http://schemas.microsoft.com/office/drawing/2014/main" id="{00000000-0008-0000-0200-000042000000}"/>
            </a:ext>
          </a:extLst>
        </xdr:cNvPr>
        <xdr:cNvSpPr/>
      </xdr:nvSpPr>
      <xdr:spPr>
        <a:xfrm>
          <a:off x="9763125" y="3895726"/>
          <a:ext cx="45719" cy="114300"/>
        </a:xfrm>
        <a:prstGeom prst="rect">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35</xdr:col>
      <xdr:colOff>276225</xdr:colOff>
      <xdr:row>31</xdr:row>
      <xdr:rowOff>28575</xdr:rowOff>
    </xdr:from>
    <xdr:to>
      <xdr:col>35</xdr:col>
      <xdr:colOff>321944</xdr:colOff>
      <xdr:row>31</xdr:row>
      <xdr:rowOff>142875</xdr:rowOff>
    </xdr:to>
    <xdr:sp macro="" textlink="">
      <xdr:nvSpPr>
        <xdr:cNvPr id="67" name="Rectangle 66">
          <a:extLst>
            <a:ext uri="{FF2B5EF4-FFF2-40B4-BE49-F238E27FC236}">
              <a16:creationId xmlns:a16="http://schemas.microsoft.com/office/drawing/2014/main" id="{00000000-0008-0000-0200-000043000000}"/>
            </a:ext>
          </a:extLst>
        </xdr:cNvPr>
        <xdr:cNvSpPr/>
      </xdr:nvSpPr>
      <xdr:spPr>
        <a:xfrm>
          <a:off x="24031575" y="4981575"/>
          <a:ext cx="45719" cy="114300"/>
        </a:xfrm>
        <a:prstGeom prst="rect">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77561</xdr:colOff>
      <xdr:row>19</xdr:row>
      <xdr:rowOff>176853</xdr:rowOff>
    </xdr:from>
    <xdr:to>
      <xdr:col>12</xdr:col>
      <xdr:colOff>466613</xdr:colOff>
      <xdr:row>19</xdr:row>
      <xdr:rowOff>178668</xdr:rowOff>
    </xdr:to>
    <xdr:cxnSp macro="">
      <xdr:nvCxnSpPr>
        <xdr:cNvPr id="68" name="Straight Connector 67">
          <a:extLst>
            <a:ext uri="{FF2B5EF4-FFF2-40B4-BE49-F238E27FC236}">
              <a16:creationId xmlns:a16="http://schemas.microsoft.com/office/drawing/2014/main" id="{00000000-0008-0000-0200-000044000000}"/>
            </a:ext>
          </a:extLst>
        </xdr:cNvPr>
        <xdr:cNvCxnSpPr/>
      </xdr:nvCxnSpPr>
      <xdr:spPr>
        <a:xfrm>
          <a:off x="9326336" y="3796353"/>
          <a:ext cx="389052" cy="1815"/>
        </a:xfrm>
        <a:prstGeom prst="line">
          <a:avLst/>
        </a:prstGeom>
        <a:ln w="635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241016</xdr:colOff>
      <xdr:row>2</xdr:row>
      <xdr:rowOff>162947</xdr:rowOff>
    </xdr:from>
    <xdr:to>
      <xdr:col>11</xdr:col>
      <xdr:colOff>214313</xdr:colOff>
      <xdr:row>5</xdr:row>
      <xdr:rowOff>95251</xdr:rowOff>
    </xdr:to>
    <xdr:sp macro="" textlink="">
      <xdr:nvSpPr>
        <xdr:cNvPr id="69" name="TextBox 68">
          <a:extLst>
            <a:ext uri="{FF2B5EF4-FFF2-40B4-BE49-F238E27FC236}">
              <a16:creationId xmlns:a16="http://schemas.microsoft.com/office/drawing/2014/main" id="{00000000-0008-0000-0200-000045000000}"/>
            </a:ext>
          </a:extLst>
        </xdr:cNvPr>
        <xdr:cNvSpPr txBox="1"/>
      </xdr:nvSpPr>
      <xdr:spPr>
        <a:xfrm>
          <a:off x="6517991" y="543947"/>
          <a:ext cx="2335497" cy="503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Ninja Tank 3000PSI  62ci Tank w/ Regulator</a:t>
          </a:r>
          <a:r>
            <a:rPr lang="en-US" sz="1100" baseline="0"/>
            <a:t>.</a:t>
          </a:r>
          <a:endParaRPr lang="en-US" sz="1100"/>
        </a:p>
      </xdr:txBody>
    </xdr:sp>
    <xdr:clientData/>
  </xdr:twoCellAnchor>
  <xdr:twoCellAnchor>
    <xdr:from>
      <xdr:col>35</xdr:col>
      <xdr:colOff>219075</xdr:colOff>
      <xdr:row>32</xdr:row>
      <xdr:rowOff>160244</xdr:rowOff>
    </xdr:from>
    <xdr:to>
      <xdr:col>35</xdr:col>
      <xdr:colOff>419100</xdr:colOff>
      <xdr:row>34</xdr:row>
      <xdr:rowOff>97629</xdr:rowOff>
    </xdr:to>
    <xdr:grpSp>
      <xdr:nvGrpSpPr>
        <xdr:cNvPr id="70" name="Group 69">
          <a:extLst>
            <a:ext uri="{FF2B5EF4-FFF2-40B4-BE49-F238E27FC236}">
              <a16:creationId xmlns:a16="http://schemas.microsoft.com/office/drawing/2014/main" id="{00000000-0008-0000-0200-000046000000}"/>
            </a:ext>
          </a:extLst>
        </xdr:cNvPr>
        <xdr:cNvGrpSpPr/>
      </xdr:nvGrpSpPr>
      <xdr:grpSpPr>
        <a:xfrm>
          <a:off x="26241375" y="5519644"/>
          <a:ext cx="200025" cy="267585"/>
          <a:chOff x="19627663" y="4179794"/>
          <a:chExt cx="200025" cy="299335"/>
        </a:xfrm>
      </xdr:grpSpPr>
      <xdr:sp macro="" textlink="">
        <xdr:nvSpPr>
          <xdr:cNvPr id="71" name="Rectangle 70">
            <a:extLst>
              <a:ext uri="{FF2B5EF4-FFF2-40B4-BE49-F238E27FC236}">
                <a16:creationId xmlns:a16="http://schemas.microsoft.com/office/drawing/2014/main" id="{00000000-0008-0000-0200-000047000000}"/>
              </a:ext>
            </a:extLst>
          </xdr:cNvPr>
          <xdr:cNvSpPr/>
        </xdr:nvSpPr>
        <xdr:spPr>
          <a:xfrm>
            <a:off x="19660721" y="4179794"/>
            <a:ext cx="134470" cy="207309"/>
          </a:xfrm>
          <a:prstGeom prst="rect">
            <a:avLst/>
          </a:prstGeom>
          <a:solidFill>
            <a:schemeClr val="accent6">
              <a:lumMod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72" name="Chevron 71">
            <a:extLst>
              <a:ext uri="{FF2B5EF4-FFF2-40B4-BE49-F238E27FC236}">
                <a16:creationId xmlns:a16="http://schemas.microsoft.com/office/drawing/2014/main" id="{00000000-0008-0000-0200-000048000000}"/>
              </a:ext>
            </a:extLst>
          </xdr:cNvPr>
          <xdr:cNvSpPr/>
        </xdr:nvSpPr>
        <xdr:spPr>
          <a:xfrm rot="5400000">
            <a:off x="19637188" y="4288629"/>
            <a:ext cx="180975" cy="200025"/>
          </a:xfrm>
          <a:prstGeom prst="chevron">
            <a:avLst/>
          </a:prstGeom>
          <a:solidFill>
            <a:schemeClr val="accent6">
              <a:lumMod val="5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grpSp>
    <xdr:clientData/>
  </xdr:twoCellAnchor>
  <xdr:twoCellAnchor>
    <xdr:from>
      <xdr:col>12</xdr:col>
      <xdr:colOff>457455</xdr:colOff>
      <xdr:row>20</xdr:row>
      <xdr:rowOff>154998</xdr:rowOff>
    </xdr:from>
    <xdr:to>
      <xdr:col>12</xdr:col>
      <xdr:colOff>607003</xdr:colOff>
      <xdr:row>22</xdr:row>
      <xdr:rowOff>494</xdr:rowOff>
    </xdr:to>
    <xdr:grpSp>
      <xdr:nvGrpSpPr>
        <xdr:cNvPr id="73" name="Group 72">
          <a:extLst>
            <a:ext uri="{FF2B5EF4-FFF2-40B4-BE49-F238E27FC236}">
              <a16:creationId xmlns:a16="http://schemas.microsoft.com/office/drawing/2014/main" id="{00000000-0008-0000-0200-000049000000}"/>
            </a:ext>
          </a:extLst>
        </xdr:cNvPr>
        <xdr:cNvGrpSpPr/>
      </xdr:nvGrpSpPr>
      <xdr:grpSpPr>
        <a:xfrm rot="10800000">
          <a:off x="10719055" y="3533198"/>
          <a:ext cx="149548" cy="175696"/>
          <a:chOff x="19627663" y="4179794"/>
          <a:chExt cx="200025" cy="299335"/>
        </a:xfrm>
      </xdr:grpSpPr>
      <xdr:sp macro="" textlink="">
        <xdr:nvSpPr>
          <xdr:cNvPr id="74" name="Rectangle 73">
            <a:extLst>
              <a:ext uri="{FF2B5EF4-FFF2-40B4-BE49-F238E27FC236}">
                <a16:creationId xmlns:a16="http://schemas.microsoft.com/office/drawing/2014/main" id="{00000000-0008-0000-0200-00004A000000}"/>
              </a:ext>
            </a:extLst>
          </xdr:cNvPr>
          <xdr:cNvSpPr/>
        </xdr:nvSpPr>
        <xdr:spPr>
          <a:xfrm>
            <a:off x="19660721" y="4179794"/>
            <a:ext cx="134470" cy="207309"/>
          </a:xfrm>
          <a:prstGeom prst="rect">
            <a:avLst/>
          </a:prstGeom>
          <a:solidFill>
            <a:schemeClr val="accent6">
              <a:lumMod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75" name="Chevron 74">
            <a:extLst>
              <a:ext uri="{FF2B5EF4-FFF2-40B4-BE49-F238E27FC236}">
                <a16:creationId xmlns:a16="http://schemas.microsoft.com/office/drawing/2014/main" id="{00000000-0008-0000-0200-00004B000000}"/>
              </a:ext>
            </a:extLst>
          </xdr:cNvPr>
          <xdr:cNvSpPr/>
        </xdr:nvSpPr>
        <xdr:spPr>
          <a:xfrm rot="5400000">
            <a:off x="19637188" y="4288629"/>
            <a:ext cx="180975" cy="200025"/>
          </a:xfrm>
          <a:prstGeom prst="chevron">
            <a:avLst/>
          </a:prstGeom>
          <a:solidFill>
            <a:schemeClr val="accent6">
              <a:lumMod val="5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grpSp>
    <xdr:clientData/>
  </xdr:twoCellAnchor>
  <xdr:twoCellAnchor>
    <xdr:from>
      <xdr:col>12</xdr:col>
      <xdr:colOff>517764</xdr:colOff>
      <xdr:row>21</xdr:row>
      <xdr:rowOff>113437</xdr:rowOff>
    </xdr:from>
    <xdr:to>
      <xdr:col>12</xdr:col>
      <xdr:colOff>563484</xdr:colOff>
      <xdr:row>22</xdr:row>
      <xdr:rowOff>67253</xdr:rowOff>
    </xdr:to>
    <xdr:grpSp>
      <xdr:nvGrpSpPr>
        <xdr:cNvPr id="76" name="Group 75">
          <a:extLst>
            <a:ext uri="{FF2B5EF4-FFF2-40B4-BE49-F238E27FC236}">
              <a16:creationId xmlns:a16="http://schemas.microsoft.com/office/drawing/2014/main" id="{00000000-0008-0000-0200-00004C000000}"/>
            </a:ext>
          </a:extLst>
        </xdr:cNvPr>
        <xdr:cNvGrpSpPr/>
      </xdr:nvGrpSpPr>
      <xdr:grpSpPr>
        <a:xfrm rot="16200000">
          <a:off x="10742766" y="3693335"/>
          <a:ext cx="118916" cy="45720"/>
          <a:chOff x="11549063" y="1904999"/>
          <a:chExt cx="214312" cy="198439"/>
        </a:xfrm>
      </xdr:grpSpPr>
      <xdr:cxnSp macro="">
        <xdr:nvCxnSpPr>
          <xdr:cNvPr id="77" name="Straight Connector 76">
            <a:extLst>
              <a:ext uri="{FF2B5EF4-FFF2-40B4-BE49-F238E27FC236}">
                <a16:creationId xmlns:a16="http://schemas.microsoft.com/office/drawing/2014/main" id="{00000000-0008-0000-0200-00004D00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00000000-0008-0000-0200-00004E00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200-00004F00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35</xdr:col>
      <xdr:colOff>178383</xdr:colOff>
      <xdr:row>35</xdr:row>
      <xdr:rowOff>91788</xdr:rowOff>
    </xdr:from>
    <xdr:to>
      <xdr:col>35</xdr:col>
      <xdr:colOff>441614</xdr:colOff>
      <xdr:row>35</xdr:row>
      <xdr:rowOff>155864</xdr:rowOff>
    </xdr:to>
    <xdr:grpSp>
      <xdr:nvGrpSpPr>
        <xdr:cNvPr id="80" name="Group 79">
          <a:extLst>
            <a:ext uri="{FF2B5EF4-FFF2-40B4-BE49-F238E27FC236}">
              <a16:creationId xmlns:a16="http://schemas.microsoft.com/office/drawing/2014/main" id="{00000000-0008-0000-0200-000050000000}"/>
            </a:ext>
          </a:extLst>
        </xdr:cNvPr>
        <xdr:cNvGrpSpPr/>
      </xdr:nvGrpSpPr>
      <xdr:grpSpPr>
        <a:xfrm>
          <a:off x="26200683" y="5946488"/>
          <a:ext cx="263231" cy="64076"/>
          <a:chOff x="16085133" y="3919106"/>
          <a:chExt cx="826072" cy="142008"/>
        </a:xfrm>
      </xdr:grpSpPr>
      <xdr:sp macro="" textlink="">
        <xdr:nvSpPr>
          <xdr:cNvPr id="81" name="Flowchart: Delay 80">
            <a:extLst>
              <a:ext uri="{FF2B5EF4-FFF2-40B4-BE49-F238E27FC236}">
                <a16:creationId xmlns:a16="http://schemas.microsoft.com/office/drawing/2014/main" id="{00000000-0008-0000-0200-000051000000}"/>
              </a:ext>
            </a:extLst>
          </xdr:cNvPr>
          <xdr:cNvSpPr/>
        </xdr:nvSpPr>
        <xdr:spPr>
          <a:xfrm>
            <a:off x="16495568" y="3922568"/>
            <a:ext cx="415637" cy="138546"/>
          </a:xfrm>
          <a:prstGeom prst="flowChartDelay">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2" name="Flowchart: Delay 81">
            <a:extLst>
              <a:ext uri="{FF2B5EF4-FFF2-40B4-BE49-F238E27FC236}">
                <a16:creationId xmlns:a16="http://schemas.microsoft.com/office/drawing/2014/main" id="{00000000-0008-0000-0200-000052000000}"/>
              </a:ext>
            </a:extLst>
          </xdr:cNvPr>
          <xdr:cNvSpPr/>
        </xdr:nvSpPr>
        <xdr:spPr>
          <a:xfrm rot="10800000">
            <a:off x="16085133" y="3919106"/>
            <a:ext cx="415637" cy="138546"/>
          </a:xfrm>
          <a:prstGeom prst="flowChartDelay">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35</xdr:col>
      <xdr:colOff>44450</xdr:colOff>
      <xdr:row>37</xdr:row>
      <xdr:rowOff>82550</xdr:rowOff>
    </xdr:from>
    <xdr:to>
      <xdr:col>36</xdr:col>
      <xdr:colOff>6350</xdr:colOff>
      <xdr:row>37</xdr:row>
      <xdr:rowOff>133350</xdr:rowOff>
    </xdr:to>
    <xdr:grpSp>
      <xdr:nvGrpSpPr>
        <xdr:cNvPr id="83" name="Group 82">
          <a:extLst>
            <a:ext uri="{FF2B5EF4-FFF2-40B4-BE49-F238E27FC236}">
              <a16:creationId xmlns:a16="http://schemas.microsoft.com/office/drawing/2014/main" id="{00000000-0008-0000-0200-000053000000}"/>
            </a:ext>
          </a:extLst>
        </xdr:cNvPr>
        <xdr:cNvGrpSpPr/>
      </xdr:nvGrpSpPr>
      <xdr:grpSpPr>
        <a:xfrm>
          <a:off x="26066750" y="6267450"/>
          <a:ext cx="635000" cy="50800"/>
          <a:chOff x="19397518" y="5035550"/>
          <a:chExt cx="568037" cy="50800"/>
        </a:xfrm>
      </xdr:grpSpPr>
      <xdr:cxnSp macro="">
        <xdr:nvCxnSpPr>
          <xdr:cNvPr id="84" name="Straight Connector 83">
            <a:extLst>
              <a:ext uri="{FF2B5EF4-FFF2-40B4-BE49-F238E27FC236}">
                <a16:creationId xmlns:a16="http://schemas.microsoft.com/office/drawing/2014/main" id="{00000000-0008-0000-0200-000054000000}"/>
              </a:ext>
            </a:extLst>
          </xdr:cNvPr>
          <xdr:cNvCxnSpPr/>
        </xdr:nvCxnSpPr>
        <xdr:spPr>
          <a:xfrm rot="10800000">
            <a:off x="19556268" y="5060950"/>
            <a:ext cx="260350" cy="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85" name="Pentagon 84">
            <a:extLst>
              <a:ext uri="{FF2B5EF4-FFF2-40B4-BE49-F238E27FC236}">
                <a16:creationId xmlns:a16="http://schemas.microsoft.com/office/drawing/2014/main" id="{00000000-0008-0000-0200-000055000000}"/>
              </a:ext>
            </a:extLst>
          </xdr:cNvPr>
          <xdr:cNvSpPr/>
        </xdr:nvSpPr>
        <xdr:spPr>
          <a:xfrm>
            <a:off x="19816618" y="5035550"/>
            <a:ext cx="148937"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6" name="Pentagon 85">
            <a:extLst>
              <a:ext uri="{FF2B5EF4-FFF2-40B4-BE49-F238E27FC236}">
                <a16:creationId xmlns:a16="http://schemas.microsoft.com/office/drawing/2014/main" id="{00000000-0008-0000-0200-000056000000}"/>
              </a:ext>
            </a:extLst>
          </xdr:cNvPr>
          <xdr:cNvSpPr/>
        </xdr:nvSpPr>
        <xdr:spPr>
          <a:xfrm rot="10800000">
            <a:off x="19397518" y="5035550"/>
            <a:ext cx="15240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12</xdr:col>
      <xdr:colOff>102055</xdr:colOff>
      <xdr:row>19</xdr:row>
      <xdr:rowOff>176894</xdr:rowOff>
    </xdr:from>
    <xdr:to>
      <xdr:col>13</xdr:col>
      <xdr:colOff>102049</xdr:colOff>
      <xdr:row>20</xdr:row>
      <xdr:rowOff>156482</xdr:rowOff>
    </xdr:to>
    <xdr:cxnSp macro="">
      <xdr:nvCxnSpPr>
        <xdr:cNvPr id="87" name="Straight Arrow Connector 86">
          <a:extLst>
            <a:ext uri="{FF2B5EF4-FFF2-40B4-BE49-F238E27FC236}">
              <a16:creationId xmlns:a16="http://schemas.microsoft.com/office/drawing/2014/main" id="{00000000-0008-0000-0200-000057000000}"/>
            </a:ext>
          </a:extLst>
        </xdr:cNvPr>
        <xdr:cNvCxnSpPr>
          <a:stCxn id="88" idx="1"/>
        </xdr:cNvCxnSpPr>
      </xdr:nvCxnSpPr>
      <xdr:spPr>
        <a:xfrm flipH="1" flipV="1">
          <a:off x="9350830" y="3796394"/>
          <a:ext cx="1095369" cy="1700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102049</xdr:colOff>
      <xdr:row>19</xdr:row>
      <xdr:rowOff>108856</xdr:rowOff>
    </xdr:from>
    <xdr:to>
      <xdr:col>15</xdr:col>
      <xdr:colOff>299357</xdr:colOff>
      <xdr:row>22</xdr:row>
      <xdr:rowOff>13607</xdr:rowOff>
    </xdr:to>
    <xdr:sp macro="" textlink="">
      <xdr:nvSpPr>
        <xdr:cNvPr id="88" name="TextBox 87">
          <a:extLst>
            <a:ext uri="{FF2B5EF4-FFF2-40B4-BE49-F238E27FC236}">
              <a16:creationId xmlns:a16="http://schemas.microsoft.com/office/drawing/2014/main" id="{00000000-0008-0000-0200-000058000000}"/>
            </a:ext>
          </a:extLst>
        </xdr:cNvPr>
        <xdr:cNvSpPr txBox="1"/>
      </xdr:nvSpPr>
      <xdr:spPr>
        <a:xfrm>
          <a:off x="10446199" y="3728356"/>
          <a:ext cx="1416508" cy="47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Air Fill Valve on Ninja</a:t>
          </a:r>
          <a:r>
            <a:rPr lang="en-US" sz="1100" baseline="0"/>
            <a:t> Tank (3000 PSI)</a:t>
          </a:r>
          <a:endParaRPr lang="en-US" sz="1100"/>
        </a:p>
      </xdr:txBody>
    </xdr:sp>
    <xdr:clientData/>
  </xdr:twoCellAnchor>
  <xdr:twoCellAnchor>
    <xdr:from>
      <xdr:col>10</xdr:col>
      <xdr:colOff>787173</xdr:colOff>
      <xdr:row>32</xdr:row>
      <xdr:rowOff>115660</xdr:rowOff>
    </xdr:from>
    <xdr:to>
      <xdr:col>16</xdr:col>
      <xdr:colOff>185396</xdr:colOff>
      <xdr:row>36</xdr:row>
      <xdr:rowOff>9357</xdr:rowOff>
    </xdr:to>
    <xdr:sp macro="" textlink="">
      <xdr:nvSpPr>
        <xdr:cNvPr id="89" name="TextBox 88">
          <a:extLst>
            <a:ext uri="{FF2B5EF4-FFF2-40B4-BE49-F238E27FC236}">
              <a16:creationId xmlns:a16="http://schemas.microsoft.com/office/drawing/2014/main" id="{00000000-0008-0000-0200-000059000000}"/>
            </a:ext>
          </a:extLst>
        </xdr:cNvPr>
        <xdr:cNvSpPr txBox="1"/>
      </xdr:nvSpPr>
      <xdr:spPr>
        <a:xfrm>
          <a:off x="8395267" y="5348457"/>
          <a:ext cx="3505879" cy="5366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Ninja Stainless Steel Flexible</a:t>
          </a:r>
          <a:r>
            <a:rPr lang="en-US" sz="1100" baseline="0">
              <a:solidFill>
                <a:schemeClr val="dk1"/>
              </a:solidFill>
              <a:latin typeface="+mn-lt"/>
              <a:ea typeface="+mn-ea"/>
              <a:cs typeface="+mn-cs"/>
            </a:rPr>
            <a:t> Tubing. Rated at 3000psi (Burst at 12000 PSI). Male/Male 1/8" NPT</a:t>
          </a:r>
        </a:p>
        <a:p>
          <a:r>
            <a:rPr lang="en-US" sz="1100" baseline="0">
              <a:solidFill>
                <a:schemeClr val="dk1"/>
              </a:solidFill>
              <a:latin typeface="+mn-lt"/>
              <a:ea typeface="+mn-ea"/>
              <a:cs typeface="+mn-cs"/>
            </a:rPr>
            <a:t>(various lengths)</a:t>
          </a:r>
        </a:p>
      </xdr:txBody>
    </xdr:sp>
    <xdr:clientData/>
  </xdr:twoCellAnchor>
  <xdr:twoCellAnchor>
    <xdr:from>
      <xdr:col>8</xdr:col>
      <xdr:colOff>427944</xdr:colOff>
      <xdr:row>7</xdr:row>
      <xdr:rowOff>95250</xdr:rowOff>
    </xdr:from>
    <xdr:to>
      <xdr:col>10</xdr:col>
      <xdr:colOff>714375</xdr:colOff>
      <xdr:row>10</xdr:row>
      <xdr:rowOff>133350</xdr:rowOff>
    </xdr:to>
    <xdr:sp macro="" textlink="">
      <xdr:nvSpPr>
        <xdr:cNvPr id="90" name="TextBox 89">
          <a:extLst>
            <a:ext uri="{FF2B5EF4-FFF2-40B4-BE49-F238E27FC236}">
              <a16:creationId xmlns:a16="http://schemas.microsoft.com/office/drawing/2014/main" id="{00000000-0008-0000-0200-00005A000000}"/>
            </a:ext>
          </a:extLst>
        </xdr:cNvPr>
        <xdr:cNvSpPr txBox="1"/>
      </xdr:nvSpPr>
      <xdr:spPr>
        <a:xfrm>
          <a:off x="6095319" y="1428750"/>
          <a:ext cx="2420031"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t>4464K381 $3.49 </a:t>
          </a:r>
          <a:r>
            <a:rPr lang="en-US" sz="1100">
              <a:solidFill>
                <a:schemeClr val="dk1"/>
              </a:solidFill>
              <a:latin typeface="+mn-lt"/>
              <a:ea typeface="+mn-ea"/>
              <a:cs typeface="+mn-cs"/>
            </a:rPr>
            <a:t> McMaster. </a:t>
          </a:r>
          <a:r>
            <a:rPr lang="en-US"/>
            <a:t>Stainless Steel Bushing.  1/4" Male  x  1/8" Female.</a:t>
          </a:r>
          <a:r>
            <a:rPr lang="en-US" baseline="0"/>
            <a:t> </a:t>
          </a:r>
          <a:r>
            <a:rPr lang="en-US"/>
            <a:t>3000 psi @ 72° F.</a:t>
          </a:r>
        </a:p>
      </xdr:txBody>
    </xdr:sp>
    <xdr:clientData/>
  </xdr:twoCellAnchor>
  <xdr:twoCellAnchor>
    <xdr:from>
      <xdr:col>7</xdr:col>
      <xdr:colOff>422151</xdr:colOff>
      <xdr:row>32</xdr:row>
      <xdr:rowOff>43880</xdr:rowOff>
    </xdr:from>
    <xdr:to>
      <xdr:col>9</xdr:col>
      <xdr:colOff>1505663</xdr:colOff>
      <xdr:row>34</xdr:row>
      <xdr:rowOff>157656</xdr:rowOff>
    </xdr:to>
    <xdr:sp macro="" textlink="">
      <xdr:nvSpPr>
        <xdr:cNvPr id="91" name="TextBox 90">
          <a:extLst>
            <a:ext uri="{FF2B5EF4-FFF2-40B4-BE49-F238E27FC236}">
              <a16:creationId xmlns:a16="http://schemas.microsoft.com/office/drawing/2014/main" id="{00000000-0008-0000-0200-00005B000000}"/>
            </a:ext>
          </a:extLst>
        </xdr:cNvPr>
        <xdr:cNvSpPr txBox="1"/>
      </xdr:nvSpPr>
      <xdr:spPr>
        <a:xfrm>
          <a:off x="5125530" y="5377880"/>
          <a:ext cx="2482702" cy="4422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Mcmaster.</a:t>
          </a:r>
          <a:r>
            <a:rPr lang="en-US" sz="1100" baseline="0">
              <a:solidFill>
                <a:schemeClr val="dk1"/>
              </a:solidFill>
              <a:latin typeface="+mn-lt"/>
              <a:ea typeface="+mn-ea"/>
              <a:cs typeface="+mn-cs"/>
            </a:rPr>
            <a:t> </a:t>
          </a:r>
          <a:r>
            <a:rPr lang="en-US"/>
            <a:t>Brass 1/8"NPT F/F</a:t>
          </a:r>
          <a:r>
            <a:rPr lang="en-US" baseline="0"/>
            <a:t> Ball Valve </a:t>
          </a:r>
          <a:r>
            <a:rPr lang="en-US"/>
            <a:t>1000 psi @ 70° F</a:t>
          </a:r>
        </a:p>
      </xdr:txBody>
    </xdr:sp>
    <xdr:clientData/>
  </xdr:twoCellAnchor>
  <xdr:twoCellAnchor>
    <xdr:from>
      <xdr:col>35</xdr:col>
      <xdr:colOff>259773</xdr:colOff>
      <xdr:row>39</xdr:row>
      <xdr:rowOff>0</xdr:rowOff>
    </xdr:from>
    <xdr:to>
      <xdr:col>35</xdr:col>
      <xdr:colOff>399324</xdr:colOff>
      <xdr:row>39</xdr:row>
      <xdr:rowOff>133873</xdr:rowOff>
    </xdr:to>
    <xdr:grpSp>
      <xdr:nvGrpSpPr>
        <xdr:cNvPr id="93" name="Group 92">
          <a:extLst>
            <a:ext uri="{FF2B5EF4-FFF2-40B4-BE49-F238E27FC236}">
              <a16:creationId xmlns:a16="http://schemas.microsoft.com/office/drawing/2014/main" id="{00000000-0008-0000-0200-00005D000000}"/>
            </a:ext>
          </a:extLst>
        </xdr:cNvPr>
        <xdr:cNvGrpSpPr/>
      </xdr:nvGrpSpPr>
      <xdr:grpSpPr>
        <a:xfrm>
          <a:off x="26282073" y="6515100"/>
          <a:ext cx="139551" cy="133873"/>
          <a:chOff x="5012011" y="4068536"/>
          <a:chExt cx="139551" cy="133873"/>
        </a:xfrm>
      </xdr:grpSpPr>
      <xdr:cxnSp macro="">
        <xdr:nvCxnSpPr>
          <xdr:cNvPr id="94" name="Straight Connector 93">
            <a:extLst>
              <a:ext uri="{FF2B5EF4-FFF2-40B4-BE49-F238E27FC236}">
                <a16:creationId xmlns:a16="http://schemas.microsoft.com/office/drawing/2014/main" id="{00000000-0008-0000-0200-00005E000000}"/>
              </a:ext>
            </a:extLst>
          </xdr:cNvPr>
          <xdr:cNvCxnSpPr/>
        </xdr:nvCxnSpPr>
        <xdr:spPr>
          <a:xfrm rot="5400000">
            <a:off x="5073935" y="4138401"/>
            <a:ext cx="128016" cy="0"/>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95" name="Straight Connector 94">
            <a:extLst>
              <a:ext uri="{FF2B5EF4-FFF2-40B4-BE49-F238E27FC236}">
                <a16:creationId xmlns:a16="http://schemas.microsoft.com/office/drawing/2014/main" id="{00000000-0008-0000-0200-00005F000000}"/>
              </a:ext>
            </a:extLst>
          </xdr:cNvPr>
          <xdr:cNvCxnSpPr/>
        </xdr:nvCxnSpPr>
        <xdr:spPr>
          <a:xfrm rot="10800000">
            <a:off x="5012011" y="4187964"/>
            <a:ext cx="137160" cy="1"/>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96" name="Straight Connector 95">
            <a:extLst>
              <a:ext uri="{FF2B5EF4-FFF2-40B4-BE49-F238E27FC236}">
                <a16:creationId xmlns:a16="http://schemas.microsoft.com/office/drawing/2014/main" id="{00000000-0008-0000-0200-000060000000}"/>
              </a:ext>
            </a:extLst>
          </xdr:cNvPr>
          <xdr:cNvCxnSpPr/>
        </xdr:nvCxnSpPr>
        <xdr:spPr>
          <a:xfrm rot="5400000">
            <a:off x="4957478" y="4135102"/>
            <a:ext cx="128016" cy="2247"/>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a:extLst>
              <a:ext uri="{FF2B5EF4-FFF2-40B4-BE49-F238E27FC236}">
                <a16:creationId xmlns:a16="http://schemas.microsoft.com/office/drawing/2014/main" id="{00000000-0008-0000-0200-000061000000}"/>
              </a:ext>
            </a:extLst>
          </xdr:cNvPr>
          <xdr:cNvCxnSpPr/>
        </xdr:nvCxnSpPr>
        <xdr:spPr>
          <a:xfrm rot="10800000" flipH="1">
            <a:off x="5096698" y="4068536"/>
            <a:ext cx="54864" cy="2"/>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98" name="Straight Connector 97">
            <a:extLst>
              <a:ext uri="{FF2B5EF4-FFF2-40B4-BE49-F238E27FC236}">
                <a16:creationId xmlns:a16="http://schemas.microsoft.com/office/drawing/2014/main" id="{00000000-0008-0000-0200-000062000000}"/>
              </a:ext>
            </a:extLst>
          </xdr:cNvPr>
          <xdr:cNvCxnSpPr/>
        </xdr:nvCxnSpPr>
        <xdr:spPr>
          <a:xfrm rot="10800000" flipH="1">
            <a:off x="5015288" y="4071248"/>
            <a:ext cx="54864" cy="2"/>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35</xdr:col>
      <xdr:colOff>261938</xdr:colOff>
      <xdr:row>41</xdr:row>
      <xdr:rowOff>1588</xdr:rowOff>
    </xdr:from>
    <xdr:to>
      <xdr:col>35</xdr:col>
      <xdr:colOff>373244</xdr:colOff>
      <xdr:row>41</xdr:row>
      <xdr:rowOff>158751</xdr:rowOff>
    </xdr:to>
    <xdr:grpSp>
      <xdr:nvGrpSpPr>
        <xdr:cNvPr id="99" name="Group 98">
          <a:extLst>
            <a:ext uri="{FF2B5EF4-FFF2-40B4-BE49-F238E27FC236}">
              <a16:creationId xmlns:a16="http://schemas.microsoft.com/office/drawing/2014/main" id="{00000000-0008-0000-0200-000063000000}"/>
            </a:ext>
          </a:extLst>
        </xdr:cNvPr>
        <xdr:cNvGrpSpPr/>
      </xdr:nvGrpSpPr>
      <xdr:grpSpPr>
        <a:xfrm>
          <a:off x="26284238" y="6846888"/>
          <a:ext cx="111306" cy="157163"/>
          <a:chOff x="6415980" y="2404798"/>
          <a:chExt cx="111306" cy="185738"/>
        </a:xfrm>
      </xdr:grpSpPr>
      <xdr:cxnSp macro="">
        <xdr:nvCxnSpPr>
          <xdr:cNvPr id="100" name="Straight Connector 99">
            <a:extLst>
              <a:ext uri="{FF2B5EF4-FFF2-40B4-BE49-F238E27FC236}">
                <a16:creationId xmlns:a16="http://schemas.microsoft.com/office/drawing/2014/main" id="{00000000-0008-0000-0200-000064000000}"/>
              </a:ext>
            </a:extLst>
          </xdr:cNvPr>
          <xdr:cNvCxnSpPr/>
        </xdr:nvCxnSpPr>
        <xdr:spPr>
          <a:xfrm rot="5400000">
            <a:off x="6422340" y="2499096"/>
            <a:ext cx="182880" cy="0"/>
          </a:xfrm>
          <a:prstGeom prst="line">
            <a:avLst/>
          </a:prstGeom>
          <a:ln w="2540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00000000-0008-0000-0200-000065000000}"/>
              </a:ext>
            </a:extLst>
          </xdr:cNvPr>
          <xdr:cNvCxnSpPr/>
        </xdr:nvCxnSpPr>
        <xdr:spPr>
          <a:xfrm rot="5400000">
            <a:off x="6328805" y="2495729"/>
            <a:ext cx="182880" cy="1017"/>
          </a:xfrm>
          <a:prstGeom prst="line">
            <a:avLst/>
          </a:prstGeom>
          <a:ln w="2540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a:extLst>
              <a:ext uri="{FF2B5EF4-FFF2-40B4-BE49-F238E27FC236}">
                <a16:creationId xmlns:a16="http://schemas.microsoft.com/office/drawing/2014/main" id="{00000000-0008-0000-0200-000066000000}"/>
              </a:ext>
            </a:extLst>
          </xdr:cNvPr>
          <xdr:cNvCxnSpPr/>
        </xdr:nvCxnSpPr>
        <xdr:spPr>
          <a:xfrm>
            <a:off x="6415980" y="2413356"/>
            <a:ext cx="109728" cy="0"/>
          </a:xfrm>
          <a:prstGeom prst="line">
            <a:avLst/>
          </a:prstGeom>
          <a:ln w="2540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03" name="Straight Connector 102">
            <a:extLst>
              <a:ext uri="{FF2B5EF4-FFF2-40B4-BE49-F238E27FC236}">
                <a16:creationId xmlns:a16="http://schemas.microsoft.com/office/drawing/2014/main" id="{00000000-0008-0000-0200-000067000000}"/>
              </a:ext>
            </a:extLst>
          </xdr:cNvPr>
          <xdr:cNvCxnSpPr/>
        </xdr:nvCxnSpPr>
        <xdr:spPr>
          <a:xfrm>
            <a:off x="6417558" y="2581632"/>
            <a:ext cx="109728" cy="0"/>
          </a:xfrm>
          <a:prstGeom prst="line">
            <a:avLst/>
          </a:prstGeom>
          <a:ln w="25400">
            <a:solidFill>
              <a:srgbClr val="00B0F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189704</xdr:colOff>
      <xdr:row>41</xdr:row>
      <xdr:rowOff>86932</xdr:rowOff>
    </xdr:from>
    <xdr:to>
      <xdr:col>10</xdr:col>
      <xdr:colOff>675716</xdr:colOff>
      <xdr:row>41</xdr:row>
      <xdr:rowOff>159755</xdr:rowOff>
    </xdr:to>
    <xdr:grpSp>
      <xdr:nvGrpSpPr>
        <xdr:cNvPr id="858" name="Group 857">
          <a:extLst>
            <a:ext uri="{FF2B5EF4-FFF2-40B4-BE49-F238E27FC236}">
              <a16:creationId xmlns:a16="http://schemas.microsoft.com/office/drawing/2014/main" id="{00000000-0008-0000-0200-00005A030000}"/>
            </a:ext>
          </a:extLst>
        </xdr:cNvPr>
        <xdr:cNvGrpSpPr/>
      </xdr:nvGrpSpPr>
      <xdr:grpSpPr>
        <a:xfrm rot="16200000">
          <a:off x="9032298" y="6725638"/>
          <a:ext cx="72823" cy="486012"/>
          <a:chOff x="8939493" y="6687051"/>
          <a:chExt cx="72823" cy="486012"/>
        </a:xfrm>
      </xdr:grpSpPr>
      <xdr:sp macro="" textlink="">
        <xdr:nvSpPr>
          <xdr:cNvPr id="116" name="Pentagon 115">
            <a:extLst>
              <a:ext uri="{FF2B5EF4-FFF2-40B4-BE49-F238E27FC236}">
                <a16:creationId xmlns:a16="http://schemas.microsoft.com/office/drawing/2014/main" id="{00000000-0008-0000-0200-000074000000}"/>
              </a:ext>
            </a:extLst>
          </xdr:cNvPr>
          <xdr:cNvSpPr/>
        </xdr:nvSpPr>
        <xdr:spPr>
          <a:xfrm rot="16200000">
            <a:off x="8894315" y="6737444"/>
            <a:ext cx="162020" cy="61233"/>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117" name="Isosceles Triangle 116">
            <a:extLst>
              <a:ext uri="{FF2B5EF4-FFF2-40B4-BE49-F238E27FC236}">
                <a16:creationId xmlns:a16="http://schemas.microsoft.com/office/drawing/2014/main" id="{00000000-0008-0000-0200-000075000000}"/>
              </a:ext>
            </a:extLst>
          </xdr:cNvPr>
          <xdr:cNvSpPr/>
        </xdr:nvSpPr>
        <xdr:spPr>
          <a:xfrm rot="10800000">
            <a:off x="8939493" y="6860360"/>
            <a:ext cx="72823" cy="312703"/>
          </a:xfrm>
          <a:prstGeom prst="triangle">
            <a:avLst/>
          </a:prstGeom>
          <a:solidFill>
            <a:schemeClr val="accent2">
              <a:lumMod val="40000"/>
              <a:lumOff val="6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590550</xdr:colOff>
      <xdr:row>7</xdr:row>
      <xdr:rowOff>131254</xdr:rowOff>
    </xdr:from>
    <xdr:to>
      <xdr:col>8</xdr:col>
      <xdr:colOff>51368</xdr:colOff>
      <xdr:row>15</xdr:row>
      <xdr:rowOff>106143</xdr:rowOff>
    </xdr:to>
    <xdr:sp macro="" textlink="">
      <xdr:nvSpPr>
        <xdr:cNvPr id="121" name="Rounded Rectangle 120">
          <a:extLst>
            <a:ext uri="{FF2B5EF4-FFF2-40B4-BE49-F238E27FC236}">
              <a16:creationId xmlns:a16="http://schemas.microsoft.com/office/drawing/2014/main" id="{00000000-0008-0000-0200-000079000000}"/>
            </a:ext>
          </a:extLst>
        </xdr:cNvPr>
        <xdr:cNvSpPr/>
      </xdr:nvSpPr>
      <xdr:spPr>
        <a:xfrm>
          <a:off x="4714875" y="1464754"/>
          <a:ext cx="1003868" cy="1498889"/>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aseline="0">
              <a:solidFill>
                <a:sysClr val="windowText" lastClr="000000"/>
              </a:solidFill>
            </a:rPr>
            <a:t>Fuel Tank</a:t>
          </a:r>
          <a:endParaRPr lang="en-US" sz="1100">
            <a:solidFill>
              <a:sysClr val="windowText" lastClr="000000"/>
            </a:solidFill>
          </a:endParaRPr>
        </a:p>
      </xdr:txBody>
    </xdr:sp>
    <xdr:clientData/>
  </xdr:twoCellAnchor>
  <xdr:twoCellAnchor>
    <xdr:from>
      <xdr:col>7</xdr:col>
      <xdr:colOff>257176</xdr:colOff>
      <xdr:row>15</xdr:row>
      <xdr:rowOff>60348</xdr:rowOff>
    </xdr:from>
    <xdr:to>
      <xdr:col>7</xdr:col>
      <xdr:colOff>384177</xdr:colOff>
      <xdr:row>16</xdr:row>
      <xdr:rowOff>7008</xdr:rowOff>
    </xdr:to>
    <xdr:grpSp>
      <xdr:nvGrpSpPr>
        <xdr:cNvPr id="122" name="Group 121">
          <a:extLst>
            <a:ext uri="{FF2B5EF4-FFF2-40B4-BE49-F238E27FC236}">
              <a16:creationId xmlns:a16="http://schemas.microsoft.com/office/drawing/2014/main" id="{00000000-0008-0000-0200-00007A000000}"/>
            </a:ext>
          </a:extLst>
        </xdr:cNvPr>
        <xdr:cNvGrpSpPr/>
      </xdr:nvGrpSpPr>
      <xdr:grpSpPr>
        <a:xfrm rot="16200000">
          <a:off x="5586097" y="2605427"/>
          <a:ext cx="111760" cy="127001"/>
          <a:chOff x="11549063" y="1904999"/>
          <a:chExt cx="214312" cy="198439"/>
        </a:xfrm>
      </xdr:grpSpPr>
      <xdr:cxnSp macro="">
        <xdr:nvCxnSpPr>
          <xdr:cNvPr id="123" name="Straight Connector 122">
            <a:extLst>
              <a:ext uri="{FF2B5EF4-FFF2-40B4-BE49-F238E27FC236}">
                <a16:creationId xmlns:a16="http://schemas.microsoft.com/office/drawing/2014/main" id="{00000000-0008-0000-0200-00007B00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a:extLst>
              <a:ext uri="{FF2B5EF4-FFF2-40B4-BE49-F238E27FC236}">
                <a16:creationId xmlns:a16="http://schemas.microsoft.com/office/drawing/2014/main" id="{00000000-0008-0000-0200-00007C00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25" name="Straight Connector 124">
            <a:extLst>
              <a:ext uri="{FF2B5EF4-FFF2-40B4-BE49-F238E27FC236}">
                <a16:creationId xmlns:a16="http://schemas.microsoft.com/office/drawing/2014/main" id="{00000000-0008-0000-0200-00007D00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302673</xdr:colOff>
      <xdr:row>15</xdr:row>
      <xdr:rowOff>90342</xdr:rowOff>
    </xdr:from>
    <xdr:to>
      <xdr:col>7</xdr:col>
      <xdr:colOff>351065</xdr:colOff>
      <xdr:row>16</xdr:row>
      <xdr:rowOff>60197</xdr:rowOff>
    </xdr:to>
    <xdr:sp macro="" textlink="">
      <xdr:nvSpPr>
        <xdr:cNvPr id="126" name="Pentagon 125">
          <a:extLst>
            <a:ext uri="{FF2B5EF4-FFF2-40B4-BE49-F238E27FC236}">
              <a16:creationId xmlns:a16="http://schemas.microsoft.com/office/drawing/2014/main" id="{00000000-0008-0000-0200-00007E000000}"/>
            </a:ext>
          </a:extLst>
        </xdr:cNvPr>
        <xdr:cNvSpPr/>
      </xdr:nvSpPr>
      <xdr:spPr>
        <a:xfrm rot="16200000">
          <a:off x="5123491" y="3003824"/>
          <a:ext cx="160355" cy="48392"/>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256434</xdr:colOff>
      <xdr:row>20</xdr:row>
      <xdr:rowOff>106356</xdr:rowOff>
    </xdr:from>
    <xdr:to>
      <xdr:col>7</xdr:col>
      <xdr:colOff>402734</xdr:colOff>
      <xdr:row>21</xdr:row>
      <xdr:rowOff>129514</xdr:rowOff>
    </xdr:to>
    <xdr:grpSp>
      <xdr:nvGrpSpPr>
        <xdr:cNvPr id="127" name="Group 126">
          <a:extLst>
            <a:ext uri="{FF2B5EF4-FFF2-40B4-BE49-F238E27FC236}">
              <a16:creationId xmlns:a16="http://schemas.microsoft.com/office/drawing/2014/main" id="{00000000-0008-0000-0200-00007F000000}"/>
            </a:ext>
          </a:extLst>
        </xdr:cNvPr>
        <xdr:cNvGrpSpPr/>
      </xdr:nvGrpSpPr>
      <xdr:grpSpPr>
        <a:xfrm>
          <a:off x="5577734" y="3484556"/>
          <a:ext cx="146300" cy="188258"/>
          <a:chOff x="5136596" y="3916356"/>
          <a:chExt cx="146300" cy="213658"/>
        </a:xfrm>
      </xdr:grpSpPr>
      <xdr:grpSp>
        <xdr:nvGrpSpPr>
          <xdr:cNvPr id="128" name="Group 127">
            <a:extLst>
              <a:ext uri="{FF2B5EF4-FFF2-40B4-BE49-F238E27FC236}">
                <a16:creationId xmlns:a16="http://schemas.microsoft.com/office/drawing/2014/main" id="{00000000-0008-0000-0200-000080000000}"/>
              </a:ext>
            </a:extLst>
          </xdr:cNvPr>
          <xdr:cNvGrpSpPr/>
        </xdr:nvGrpSpPr>
        <xdr:grpSpPr>
          <a:xfrm rot="16200000">
            <a:off x="5147037" y="4021573"/>
            <a:ext cx="107308" cy="109573"/>
            <a:chOff x="11549063" y="1904999"/>
            <a:chExt cx="214312" cy="198439"/>
          </a:xfrm>
        </xdr:grpSpPr>
        <xdr:cxnSp macro="">
          <xdr:nvCxnSpPr>
            <xdr:cNvPr id="135" name="Straight Connector 134">
              <a:extLst>
                <a:ext uri="{FF2B5EF4-FFF2-40B4-BE49-F238E27FC236}">
                  <a16:creationId xmlns:a16="http://schemas.microsoft.com/office/drawing/2014/main" id="{00000000-0008-0000-0200-00008700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a:extLst>
                <a:ext uri="{FF2B5EF4-FFF2-40B4-BE49-F238E27FC236}">
                  <a16:creationId xmlns:a16="http://schemas.microsoft.com/office/drawing/2014/main" id="{00000000-0008-0000-0200-00008800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37" name="Straight Connector 136">
              <a:extLst>
                <a:ext uri="{FF2B5EF4-FFF2-40B4-BE49-F238E27FC236}">
                  <a16:creationId xmlns:a16="http://schemas.microsoft.com/office/drawing/2014/main" id="{00000000-0008-0000-0200-00008900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129" name="Group 128">
            <a:extLst>
              <a:ext uri="{FF2B5EF4-FFF2-40B4-BE49-F238E27FC236}">
                <a16:creationId xmlns:a16="http://schemas.microsoft.com/office/drawing/2014/main" id="{00000000-0008-0000-0200-000081000000}"/>
              </a:ext>
            </a:extLst>
          </xdr:cNvPr>
          <xdr:cNvGrpSpPr/>
        </xdr:nvGrpSpPr>
        <xdr:grpSpPr>
          <a:xfrm>
            <a:off x="5136596" y="3916356"/>
            <a:ext cx="146300" cy="130191"/>
            <a:chOff x="5003895" y="3916356"/>
            <a:chExt cx="146300" cy="130191"/>
          </a:xfrm>
        </xdr:grpSpPr>
        <xdr:cxnSp macro="">
          <xdr:nvCxnSpPr>
            <xdr:cNvPr id="130" name="Straight Connector 129">
              <a:extLst>
                <a:ext uri="{FF2B5EF4-FFF2-40B4-BE49-F238E27FC236}">
                  <a16:creationId xmlns:a16="http://schemas.microsoft.com/office/drawing/2014/main" id="{00000000-0008-0000-0200-000082000000}"/>
                </a:ext>
              </a:extLst>
            </xdr:cNvPr>
            <xdr:cNvCxnSpPr/>
          </xdr:nvCxnSpPr>
          <xdr:spPr>
            <a:xfrm rot="5400000">
              <a:off x="5067555" y="3982539"/>
              <a:ext cx="128016" cy="0"/>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31" name="Straight Connector 130">
              <a:extLst>
                <a:ext uri="{FF2B5EF4-FFF2-40B4-BE49-F238E27FC236}">
                  <a16:creationId xmlns:a16="http://schemas.microsoft.com/office/drawing/2014/main" id="{00000000-0008-0000-0200-000083000000}"/>
                </a:ext>
              </a:extLst>
            </xdr:cNvPr>
            <xdr:cNvCxnSpPr/>
          </xdr:nvCxnSpPr>
          <xdr:spPr>
            <a:xfrm rot="10800000">
              <a:off x="5005631" y="4032102"/>
              <a:ext cx="137160" cy="1"/>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32" name="Straight Connector 131">
              <a:extLst>
                <a:ext uri="{FF2B5EF4-FFF2-40B4-BE49-F238E27FC236}">
                  <a16:creationId xmlns:a16="http://schemas.microsoft.com/office/drawing/2014/main" id="{00000000-0008-0000-0200-000084000000}"/>
                </a:ext>
              </a:extLst>
            </xdr:cNvPr>
            <xdr:cNvCxnSpPr/>
          </xdr:nvCxnSpPr>
          <xdr:spPr>
            <a:xfrm rot="5400000">
              <a:off x="4951098" y="3979240"/>
              <a:ext cx="128016" cy="2247"/>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33" name="Straight Connector 132">
              <a:extLst>
                <a:ext uri="{FF2B5EF4-FFF2-40B4-BE49-F238E27FC236}">
                  <a16:creationId xmlns:a16="http://schemas.microsoft.com/office/drawing/2014/main" id="{00000000-0008-0000-0200-000085000000}"/>
                </a:ext>
              </a:extLst>
            </xdr:cNvPr>
            <xdr:cNvCxnSpPr/>
          </xdr:nvCxnSpPr>
          <xdr:spPr>
            <a:xfrm rot="10800000" flipH="1">
              <a:off x="5095331" y="3922700"/>
              <a:ext cx="54864" cy="2"/>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a:extLst>
                <a:ext uri="{FF2B5EF4-FFF2-40B4-BE49-F238E27FC236}">
                  <a16:creationId xmlns:a16="http://schemas.microsoft.com/office/drawing/2014/main" id="{00000000-0008-0000-0200-000086000000}"/>
                </a:ext>
              </a:extLst>
            </xdr:cNvPr>
            <xdr:cNvCxnSpPr/>
          </xdr:nvCxnSpPr>
          <xdr:spPr>
            <a:xfrm rot="10800000" flipH="1">
              <a:off x="5003895" y="3920399"/>
              <a:ext cx="54864" cy="2"/>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7</xdr:col>
      <xdr:colOff>256434</xdr:colOff>
      <xdr:row>19</xdr:row>
      <xdr:rowOff>134931</xdr:rowOff>
    </xdr:from>
    <xdr:to>
      <xdr:col>7</xdr:col>
      <xdr:colOff>402734</xdr:colOff>
      <xdr:row>20</xdr:row>
      <xdr:rowOff>74622</xdr:rowOff>
    </xdr:to>
    <xdr:grpSp>
      <xdr:nvGrpSpPr>
        <xdr:cNvPr id="138" name="Group 137">
          <a:extLst>
            <a:ext uri="{FF2B5EF4-FFF2-40B4-BE49-F238E27FC236}">
              <a16:creationId xmlns:a16="http://schemas.microsoft.com/office/drawing/2014/main" id="{00000000-0008-0000-0200-00008A000000}"/>
            </a:ext>
          </a:extLst>
        </xdr:cNvPr>
        <xdr:cNvGrpSpPr/>
      </xdr:nvGrpSpPr>
      <xdr:grpSpPr>
        <a:xfrm rot="10800000">
          <a:off x="5577734" y="3348031"/>
          <a:ext cx="146300" cy="104791"/>
          <a:chOff x="5003895" y="3916356"/>
          <a:chExt cx="146300" cy="130191"/>
        </a:xfrm>
      </xdr:grpSpPr>
      <xdr:cxnSp macro="">
        <xdr:nvCxnSpPr>
          <xdr:cNvPr id="139" name="Straight Connector 138">
            <a:extLst>
              <a:ext uri="{FF2B5EF4-FFF2-40B4-BE49-F238E27FC236}">
                <a16:creationId xmlns:a16="http://schemas.microsoft.com/office/drawing/2014/main" id="{00000000-0008-0000-0200-00008B000000}"/>
              </a:ext>
            </a:extLst>
          </xdr:cNvPr>
          <xdr:cNvCxnSpPr/>
        </xdr:nvCxnSpPr>
        <xdr:spPr>
          <a:xfrm rot="5400000">
            <a:off x="5067555" y="3982539"/>
            <a:ext cx="128016" cy="0"/>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40" name="Straight Connector 139">
            <a:extLst>
              <a:ext uri="{FF2B5EF4-FFF2-40B4-BE49-F238E27FC236}">
                <a16:creationId xmlns:a16="http://schemas.microsoft.com/office/drawing/2014/main" id="{00000000-0008-0000-0200-00008C000000}"/>
              </a:ext>
            </a:extLst>
          </xdr:cNvPr>
          <xdr:cNvCxnSpPr/>
        </xdr:nvCxnSpPr>
        <xdr:spPr>
          <a:xfrm rot="10800000">
            <a:off x="5005631" y="4032102"/>
            <a:ext cx="137160" cy="1"/>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41" name="Straight Connector 140">
            <a:extLst>
              <a:ext uri="{FF2B5EF4-FFF2-40B4-BE49-F238E27FC236}">
                <a16:creationId xmlns:a16="http://schemas.microsoft.com/office/drawing/2014/main" id="{00000000-0008-0000-0200-00008D000000}"/>
              </a:ext>
            </a:extLst>
          </xdr:cNvPr>
          <xdr:cNvCxnSpPr/>
        </xdr:nvCxnSpPr>
        <xdr:spPr>
          <a:xfrm rot="5400000">
            <a:off x="4951098" y="3979240"/>
            <a:ext cx="128016" cy="2247"/>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42" name="Straight Connector 141">
            <a:extLst>
              <a:ext uri="{FF2B5EF4-FFF2-40B4-BE49-F238E27FC236}">
                <a16:creationId xmlns:a16="http://schemas.microsoft.com/office/drawing/2014/main" id="{00000000-0008-0000-0200-00008E000000}"/>
              </a:ext>
            </a:extLst>
          </xdr:cNvPr>
          <xdr:cNvCxnSpPr/>
        </xdr:nvCxnSpPr>
        <xdr:spPr>
          <a:xfrm rot="10800000" flipH="1">
            <a:off x="5095331" y="3922700"/>
            <a:ext cx="54864" cy="2"/>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43" name="Straight Connector 142">
            <a:extLst>
              <a:ext uri="{FF2B5EF4-FFF2-40B4-BE49-F238E27FC236}">
                <a16:creationId xmlns:a16="http://schemas.microsoft.com/office/drawing/2014/main" id="{00000000-0008-0000-0200-00008F000000}"/>
              </a:ext>
            </a:extLst>
          </xdr:cNvPr>
          <xdr:cNvCxnSpPr/>
        </xdr:nvCxnSpPr>
        <xdr:spPr>
          <a:xfrm rot="10800000" flipH="1">
            <a:off x="5003895" y="3920399"/>
            <a:ext cx="54864" cy="2"/>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264107</xdr:colOff>
      <xdr:row>19</xdr:row>
      <xdr:rowOff>16881</xdr:rowOff>
    </xdr:from>
    <xdr:to>
      <xdr:col>7</xdr:col>
      <xdr:colOff>391108</xdr:colOff>
      <xdr:row>19</xdr:row>
      <xdr:rowOff>154041</xdr:rowOff>
    </xdr:to>
    <xdr:grpSp>
      <xdr:nvGrpSpPr>
        <xdr:cNvPr id="144" name="Group 143">
          <a:extLst>
            <a:ext uri="{FF2B5EF4-FFF2-40B4-BE49-F238E27FC236}">
              <a16:creationId xmlns:a16="http://schemas.microsoft.com/office/drawing/2014/main" id="{00000000-0008-0000-0200-000090000000}"/>
            </a:ext>
          </a:extLst>
        </xdr:cNvPr>
        <xdr:cNvGrpSpPr/>
      </xdr:nvGrpSpPr>
      <xdr:grpSpPr>
        <a:xfrm rot="5400000">
          <a:off x="5580328" y="3235060"/>
          <a:ext cx="137160" cy="127001"/>
          <a:chOff x="11549063" y="1904999"/>
          <a:chExt cx="214312" cy="198439"/>
        </a:xfrm>
      </xdr:grpSpPr>
      <xdr:cxnSp macro="">
        <xdr:nvCxnSpPr>
          <xdr:cNvPr id="145" name="Straight Connector 144">
            <a:extLst>
              <a:ext uri="{FF2B5EF4-FFF2-40B4-BE49-F238E27FC236}">
                <a16:creationId xmlns:a16="http://schemas.microsoft.com/office/drawing/2014/main" id="{00000000-0008-0000-0200-00009100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46" name="Straight Connector 145">
            <a:extLst>
              <a:ext uri="{FF2B5EF4-FFF2-40B4-BE49-F238E27FC236}">
                <a16:creationId xmlns:a16="http://schemas.microsoft.com/office/drawing/2014/main" id="{00000000-0008-0000-0200-00009200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a:extLst>
              <a:ext uri="{FF2B5EF4-FFF2-40B4-BE49-F238E27FC236}">
                <a16:creationId xmlns:a16="http://schemas.microsoft.com/office/drawing/2014/main" id="{00000000-0008-0000-0200-00009300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297658</xdr:colOff>
      <xdr:row>18</xdr:row>
      <xdr:rowOff>137432</xdr:rowOff>
    </xdr:from>
    <xdr:to>
      <xdr:col>7</xdr:col>
      <xdr:colOff>371475</xdr:colOff>
      <xdr:row>19</xdr:row>
      <xdr:rowOff>126201</xdr:rowOff>
    </xdr:to>
    <xdr:sp macro="" textlink="">
      <xdr:nvSpPr>
        <xdr:cNvPr id="148" name="Pentagon 147">
          <a:extLst>
            <a:ext uri="{FF2B5EF4-FFF2-40B4-BE49-F238E27FC236}">
              <a16:creationId xmlns:a16="http://schemas.microsoft.com/office/drawing/2014/main" id="{00000000-0008-0000-0200-000094000000}"/>
            </a:ext>
          </a:extLst>
        </xdr:cNvPr>
        <xdr:cNvSpPr/>
      </xdr:nvSpPr>
      <xdr:spPr>
        <a:xfrm rot="5400000">
          <a:off x="5121732" y="3619158"/>
          <a:ext cx="179269" cy="73817"/>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200895</xdr:colOff>
      <xdr:row>17</xdr:row>
      <xdr:rowOff>36369</xdr:rowOff>
    </xdr:from>
    <xdr:to>
      <xdr:col>7</xdr:col>
      <xdr:colOff>330743</xdr:colOff>
      <xdr:row>19</xdr:row>
      <xdr:rowOff>19560</xdr:rowOff>
    </xdr:to>
    <xdr:grpSp>
      <xdr:nvGrpSpPr>
        <xdr:cNvPr id="149" name="Group 148">
          <a:extLst>
            <a:ext uri="{FF2B5EF4-FFF2-40B4-BE49-F238E27FC236}">
              <a16:creationId xmlns:a16="http://schemas.microsoft.com/office/drawing/2014/main" id="{00000000-0008-0000-0200-000095000000}"/>
            </a:ext>
          </a:extLst>
        </xdr:cNvPr>
        <xdr:cNvGrpSpPr/>
      </xdr:nvGrpSpPr>
      <xdr:grpSpPr>
        <a:xfrm rot="16200000">
          <a:off x="5430423" y="3011041"/>
          <a:ext cx="313391" cy="129848"/>
          <a:chOff x="4356988" y="4795137"/>
          <a:chExt cx="364191" cy="129848"/>
        </a:xfrm>
      </xdr:grpSpPr>
      <xdr:cxnSp macro="">
        <xdr:nvCxnSpPr>
          <xdr:cNvPr id="150" name="Straight Connector 149">
            <a:extLst>
              <a:ext uri="{FF2B5EF4-FFF2-40B4-BE49-F238E27FC236}">
                <a16:creationId xmlns:a16="http://schemas.microsoft.com/office/drawing/2014/main" id="{00000000-0008-0000-0200-000096000000}"/>
              </a:ext>
            </a:extLst>
          </xdr:cNvPr>
          <xdr:cNvCxnSpPr/>
        </xdr:nvCxnSpPr>
        <xdr:spPr>
          <a:xfrm rot="5400000">
            <a:off x="4508896" y="4843953"/>
            <a:ext cx="97632"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cxnSp macro="">
        <xdr:nvCxnSpPr>
          <xdr:cNvPr id="151" name="Straight Connector 150">
            <a:extLst>
              <a:ext uri="{FF2B5EF4-FFF2-40B4-BE49-F238E27FC236}">
                <a16:creationId xmlns:a16="http://schemas.microsoft.com/office/drawing/2014/main" id="{00000000-0008-0000-0200-000097000000}"/>
              </a:ext>
            </a:extLst>
          </xdr:cNvPr>
          <xdr:cNvCxnSpPr/>
        </xdr:nvCxnSpPr>
        <xdr:spPr>
          <a:xfrm>
            <a:off x="4356988" y="4924985"/>
            <a:ext cx="364191"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318408</xdr:colOff>
      <xdr:row>8</xdr:row>
      <xdr:rowOff>17770</xdr:rowOff>
    </xdr:from>
    <xdr:to>
      <xdr:col>7</xdr:col>
      <xdr:colOff>344506</xdr:colOff>
      <xdr:row>21</xdr:row>
      <xdr:rowOff>10150</xdr:rowOff>
    </xdr:to>
    <xdr:grpSp>
      <xdr:nvGrpSpPr>
        <xdr:cNvPr id="152" name="Group 151">
          <a:extLst>
            <a:ext uri="{FF2B5EF4-FFF2-40B4-BE49-F238E27FC236}">
              <a16:creationId xmlns:a16="http://schemas.microsoft.com/office/drawing/2014/main" id="{00000000-0008-0000-0200-000098000000}"/>
            </a:ext>
          </a:extLst>
        </xdr:cNvPr>
        <xdr:cNvGrpSpPr/>
      </xdr:nvGrpSpPr>
      <xdr:grpSpPr>
        <a:xfrm>
          <a:off x="5639708" y="1414770"/>
          <a:ext cx="26098" cy="2138680"/>
          <a:chOff x="5022415" y="2686835"/>
          <a:chExt cx="26098" cy="1668382"/>
        </a:xfrm>
      </xdr:grpSpPr>
      <xdr:cxnSp macro="">
        <xdr:nvCxnSpPr>
          <xdr:cNvPr id="153" name="Straight Connector 152">
            <a:extLst>
              <a:ext uri="{FF2B5EF4-FFF2-40B4-BE49-F238E27FC236}">
                <a16:creationId xmlns:a16="http://schemas.microsoft.com/office/drawing/2014/main" id="{00000000-0008-0000-0200-000099000000}"/>
              </a:ext>
            </a:extLst>
          </xdr:cNvPr>
          <xdr:cNvCxnSpPr/>
        </xdr:nvCxnSpPr>
        <xdr:spPr>
          <a:xfrm flipH="1" flipV="1">
            <a:off x="5022415" y="2686835"/>
            <a:ext cx="1243" cy="1656021"/>
          </a:xfrm>
          <a:prstGeom prst="line">
            <a:avLst/>
          </a:prstGeom>
          <a:ln w="9525">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54" name="Straight Connector 153">
            <a:extLst>
              <a:ext uri="{FF2B5EF4-FFF2-40B4-BE49-F238E27FC236}">
                <a16:creationId xmlns:a16="http://schemas.microsoft.com/office/drawing/2014/main" id="{00000000-0008-0000-0200-00009A000000}"/>
              </a:ext>
            </a:extLst>
          </xdr:cNvPr>
          <xdr:cNvCxnSpPr/>
        </xdr:nvCxnSpPr>
        <xdr:spPr>
          <a:xfrm flipH="1" flipV="1">
            <a:off x="5046703" y="2699075"/>
            <a:ext cx="1810" cy="1656142"/>
          </a:xfrm>
          <a:prstGeom prst="line">
            <a:avLst/>
          </a:prstGeom>
          <a:ln w="9525">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292895</xdr:colOff>
      <xdr:row>16</xdr:row>
      <xdr:rowOff>94593</xdr:rowOff>
    </xdr:from>
    <xdr:to>
      <xdr:col>7</xdr:col>
      <xdr:colOff>366712</xdr:colOff>
      <xdr:row>17</xdr:row>
      <xdr:rowOff>83362</xdr:rowOff>
    </xdr:to>
    <xdr:sp macro="" textlink="">
      <xdr:nvSpPr>
        <xdr:cNvPr id="155" name="Pentagon 154">
          <a:extLst>
            <a:ext uri="{FF2B5EF4-FFF2-40B4-BE49-F238E27FC236}">
              <a16:creationId xmlns:a16="http://schemas.microsoft.com/office/drawing/2014/main" id="{00000000-0008-0000-0200-00009B000000}"/>
            </a:ext>
          </a:extLst>
        </xdr:cNvPr>
        <xdr:cNvSpPr/>
      </xdr:nvSpPr>
      <xdr:spPr>
        <a:xfrm rot="5400000">
          <a:off x="5116969" y="3195319"/>
          <a:ext cx="179269" cy="73817"/>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126552</xdr:colOff>
      <xdr:row>17</xdr:row>
      <xdr:rowOff>133350</xdr:rowOff>
    </xdr:from>
    <xdr:to>
      <xdr:col>7</xdr:col>
      <xdr:colOff>263712</xdr:colOff>
      <xdr:row>18</xdr:row>
      <xdr:rowOff>69851</xdr:rowOff>
    </xdr:to>
    <xdr:grpSp>
      <xdr:nvGrpSpPr>
        <xdr:cNvPr id="156" name="Group 155">
          <a:extLst>
            <a:ext uri="{FF2B5EF4-FFF2-40B4-BE49-F238E27FC236}">
              <a16:creationId xmlns:a16="http://schemas.microsoft.com/office/drawing/2014/main" id="{00000000-0008-0000-0200-00009C000000}"/>
            </a:ext>
          </a:extLst>
        </xdr:cNvPr>
        <xdr:cNvGrpSpPr/>
      </xdr:nvGrpSpPr>
      <xdr:grpSpPr>
        <a:xfrm>
          <a:off x="5447852" y="3016250"/>
          <a:ext cx="137160" cy="101601"/>
          <a:chOff x="11549063" y="1904999"/>
          <a:chExt cx="214312" cy="198439"/>
        </a:xfrm>
      </xdr:grpSpPr>
      <xdr:cxnSp macro="">
        <xdr:nvCxnSpPr>
          <xdr:cNvPr id="157" name="Straight Connector 156">
            <a:extLst>
              <a:ext uri="{FF2B5EF4-FFF2-40B4-BE49-F238E27FC236}">
                <a16:creationId xmlns:a16="http://schemas.microsoft.com/office/drawing/2014/main" id="{00000000-0008-0000-0200-00009D00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58" name="Straight Connector 157">
            <a:extLst>
              <a:ext uri="{FF2B5EF4-FFF2-40B4-BE49-F238E27FC236}">
                <a16:creationId xmlns:a16="http://schemas.microsoft.com/office/drawing/2014/main" id="{00000000-0008-0000-0200-00009E00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59" name="Straight Connector 158">
            <a:extLst>
              <a:ext uri="{FF2B5EF4-FFF2-40B4-BE49-F238E27FC236}">
                <a16:creationId xmlns:a16="http://schemas.microsoft.com/office/drawing/2014/main" id="{00000000-0008-0000-0200-00009F00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485264</xdr:colOff>
      <xdr:row>17</xdr:row>
      <xdr:rowOff>125694</xdr:rowOff>
    </xdr:from>
    <xdr:to>
      <xdr:col>7</xdr:col>
      <xdr:colOff>0</xdr:colOff>
      <xdr:row>18</xdr:row>
      <xdr:rowOff>85725</xdr:rowOff>
    </xdr:to>
    <xdr:grpSp>
      <xdr:nvGrpSpPr>
        <xdr:cNvPr id="160" name="Group 159">
          <a:extLst>
            <a:ext uri="{FF2B5EF4-FFF2-40B4-BE49-F238E27FC236}">
              <a16:creationId xmlns:a16="http://schemas.microsoft.com/office/drawing/2014/main" id="{00000000-0008-0000-0200-0000A0000000}"/>
            </a:ext>
          </a:extLst>
        </xdr:cNvPr>
        <xdr:cNvGrpSpPr/>
      </xdr:nvGrpSpPr>
      <xdr:grpSpPr>
        <a:xfrm>
          <a:off x="4942964" y="3008594"/>
          <a:ext cx="378336" cy="125131"/>
          <a:chOff x="5703094" y="3033714"/>
          <a:chExt cx="226219" cy="157167"/>
        </a:xfrm>
      </xdr:grpSpPr>
      <xdr:sp macro="" textlink="">
        <xdr:nvSpPr>
          <xdr:cNvPr id="161" name="Rectangle 160">
            <a:extLst>
              <a:ext uri="{FF2B5EF4-FFF2-40B4-BE49-F238E27FC236}">
                <a16:creationId xmlns:a16="http://schemas.microsoft.com/office/drawing/2014/main" id="{00000000-0008-0000-0200-0000A1000000}"/>
              </a:ext>
            </a:extLst>
          </xdr:cNvPr>
          <xdr:cNvSpPr/>
        </xdr:nvSpPr>
        <xdr:spPr>
          <a:xfrm>
            <a:off x="5712618" y="3033714"/>
            <a:ext cx="216695" cy="157162"/>
          </a:xfrm>
          <a:prstGeom prst="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62" name="Straight Connector 161">
            <a:extLst>
              <a:ext uri="{FF2B5EF4-FFF2-40B4-BE49-F238E27FC236}">
                <a16:creationId xmlns:a16="http://schemas.microsoft.com/office/drawing/2014/main" id="{00000000-0008-0000-0200-0000A2000000}"/>
              </a:ext>
            </a:extLst>
          </xdr:cNvPr>
          <xdr:cNvCxnSpPr/>
        </xdr:nvCxnSpPr>
        <xdr:spPr>
          <a:xfrm>
            <a:off x="5712617" y="3052765"/>
            <a:ext cx="204789" cy="138116"/>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3" name="Straight Connector 162">
            <a:extLst>
              <a:ext uri="{FF2B5EF4-FFF2-40B4-BE49-F238E27FC236}">
                <a16:creationId xmlns:a16="http://schemas.microsoft.com/office/drawing/2014/main" id="{00000000-0008-0000-0200-0000A3000000}"/>
              </a:ext>
            </a:extLst>
          </xdr:cNvPr>
          <xdr:cNvCxnSpPr/>
        </xdr:nvCxnSpPr>
        <xdr:spPr>
          <a:xfrm flipV="1">
            <a:off x="5703094" y="3045625"/>
            <a:ext cx="200025" cy="14525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337606</xdr:colOff>
      <xdr:row>18</xdr:row>
      <xdr:rowOff>2917</xdr:rowOff>
    </xdr:from>
    <xdr:to>
      <xdr:col>6</xdr:col>
      <xdr:colOff>448034</xdr:colOff>
      <xdr:row>18</xdr:row>
      <xdr:rowOff>44368</xdr:rowOff>
    </xdr:to>
    <xdr:sp macro="" textlink="">
      <xdr:nvSpPr>
        <xdr:cNvPr id="164" name="Pentagon 163">
          <a:extLst>
            <a:ext uri="{FF2B5EF4-FFF2-40B4-BE49-F238E27FC236}">
              <a16:creationId xmlns:a16="http://schemas.microsoft.com/office/drawing/2014/main" id="{00000000-0008-0000-0200-0000A4000000}"/>
            </a:ext>
          </a:extLst>
        </xdr:cNvPr>
        <xdr:cNvSpPr/>
      </xdr:nvSpPr>
      <xdr:spPr>
        <a:xfrm>
          <a:off x="4286818" y="2992302"/>
          <a:ext cx="110428" cy="41451"/>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380999</xdr:colOff>
      <xdr:row>17</xdr:row>
      <xdr:rowOff>123825</xdr:rowOff>
    </xdr:from>
    <xdr:to>
      <xdr:col>18</xdr:col>
      <xdr:colOff>495300</xdr:colOff>
      <xdr:row>19</xdr:row>
      <xdr:rowOff>28574</xdr:rowOff>
    </xdr:to>
    <xdr:sp macro="" textlink="">
      <xdr:nvSpPr>
        <xdr:cNvPr id="166" name="TextBox 165">
          <a:extLst>
            <a:ext uri="{FF2B5EF4-FFF2-40B4-BE49-F238E27FC236}">
              <a16:creationId xmlns:a16="http://schemas.microsoft.com/office/drawing/2014/main" id="{00000000-0008-0000-0200-0000A6000000}"/>
            </a:ext>
          </a:extLst>
        </xdr:cNvPr>
        <xdr:cNvSpPr txBox="1"/>
      </xdr:nvSpPr>
      <xdr:spPr>
        <a:xfrm>
          <a:off x="10725149" y="3362325"/>
          <a:ext cx="3162301" cy="285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1/8" Tube OD x 1/8" NPT F pipe. 5272K283. 2900 psi</a:t>
          </a:r>
        </a:p>
      </xdr:txBody>
    </xdr:sp>
    <xdr:clientData/>
  </xdr:twoCellAnchor>
  <xdr:twoCellAnchor>
    <xdr:from>
      <xdr:col>13</xdr:col>
      <xdr:colOff>380999</xdr:colOff>
      <xdr:row>15</xdr:row>
      <xdr:rowOff>114300</xdr:rowOff>
    </xdr:from>
    <xdr:to>
      <xdr:col>18</xdr:col>
      <xdr:colOff>495300</xdr:colOff>
      <xdr:row>17</xdr:row>
      <xdr:rowOff>19049</xdr:rowOff>
    </xdr:to>
    <xdr:sp macro="" textlink="">
      <xdr:nvSpPr>
        <xdr:cNvPr id="167" name="TextBox 166">
          <a:extLst>
            <a:ext uri="{FF2B5EF4-FFF2-40B4-BE49-F238E27FC236}">
              <a16:creationId xmlns:a16="http://schemas.microsoft.com/office/drawing/2014/main" id="{00000000-0008-0000-0200-0000A7000000}"/>
            </a:ext>
          </a:extLst>
        </xdr:cNvPr>
        <xdr:cNvSpPr txBox="1"/>
      </xdr:nvSpPr>
      <xdr:spPr>
        <a:xfrm>
          <a:off x="10286999" y="2620108"/>
          <a:ext cx="3154974" cy="2271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1/8" Tube OD x 1/4" NPT F pipe. 5272K282. 2900 psi</a:t>
          </a:r>
        </a:p>
      </xdr:txBody>
    </xdr:sp>
    <xdr:clientData/>
  </xdr:twoCellAnchor>
  <xdr:twoCellAnchor>
    <xdr:from>
      <xdr:col>7</xdr:col>
      <xdr:colOff>272267</xdr:colOff>
      <xdr:row>16</xdr:row>
      <xdr:rowOff>1363</xdr:rowOff>
    </xdr:from>
    <xdr:to>
      <xdr:col>7</xdr:col>
      <xdr:colOff>383573</xdr:colOff>
      <xdr:row>16</xdr:row>
      <xdr:rowOff>158526</xdr:rowOff>
    </xdr:to>
    <xdr:grpSp>
      <xdr:nvGrpSpPr>
        <xdr:cNvPr id="168" name="Group 167">
          <a:extLst>
            <a:ext uri="{FF2B5EF4-FFF2-40B4-BE49-F238E27FC236}">
              <a16:creationId xmlns:a16="http://schemas.microsoft.com/office/drawing/2014/main" id="{00000000-0008-0000-0200-0000A8000000}"/>
            </a:ext>
          </a:extLst>
        </xdr:cNvPr>
        <xdr:cNvGrpSpPr/>
      </xdr:nvGrpSpPr>
      <xdr:grpSpPr>
        <a:xfrm>
          <a:off x="5593567" y="2719163"/>
          <a:ext cx="111306" cy="157163"/>
          <a:chOff x="6415980" y="2404798"/>
          <a:chExt cx="111306" cy="185738"/>
        </a:xfrm>
      </xdr:grpSpPr>
      <xdr:cxnSp macro="">
        <xdr:nvCxnSpPr>
          <xdr:cNvPr id="169" name="Straight Connector 168">
            <a:extLst>
              <a:ext uri="{FF2B5EF4-FFF2-40B4-BE49-F238E27FC236}">
                <a16:creationId xmlns:a16="http://schemas.microsoft.com/office/drawing/2014/main" id="{00000000-0008-0000-0200-0000A9000000}"/>
              </a:ext>
            </a:extLst>
          </xdr:cNvPr>
          <xdr:cNvCxnSpPr/>
        </xdr:nvCxnSpPr>
        <xdr:spPr>
          <a:xfrm rot="5400000">
            <a:off x="6422340" y="2499096"/>
            <a:ext cx="182880" cy="0"/>
          </a:xfrm>
          <a:prstGeom prst="line">
            <a:avLst/>
          </a:prstGeom>
          <a:ln w="2540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70" name="Straight Connector 169">
            <a:extLst>
              <a:ext uri="{FF2B5EF4-FFF2-40B4-BE49-F238E27FC236}">
                <a16:creationId xmlns:a16="http://schemas.microsoft.com/office/drawing/2014/main" id="{00000000-0008-0000-0200-0000AA000000}"/>
              </a:ext>
            </a:extLst>
          </xdr:cNvPr>
          <xdr:cNvCxnSpPr/>
        </xdr:nvCxnSpPr>
        <xdr:spPr>
          <a:xfrm rot="5400000">
            <a:off x="6328805" y="2495729"/>
            <a:ext cx="182880" cy="1017"/>
          </a:xfrm>
          <a:prstGeom prst="line">
            <a:avLst/>
          </a:prstGeom>
          <a:ln w="2540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71" name="Straight Connector 170">
            <a:extLst>
              <a:ext uri="{FF2B5EF4-FFF2-40B4-BE49-F238E27FC236}">
                <a16:creationId xmlns:a16="http://schemas.microsoft.com/office/drawing/2014/main" id="{00000000-0008-0000-0200-0000AB000000}"/>
              </a:ext>
            </a:extLst>
          </xdr:cNvPr>
          <xdr:cNvCxnSpPr/>
        </xdr:nvCxnSpPr>
        <xdr:spPr>
          <a:xfrm>
            <a:off x="6415980" y="2413356"/>
            <a:ext cx="109728" cy="0"/>
          </a:xfrm>
          <a:prstGeom prst="line">
            <a:avLst/>
          </a:prstGeom>
          <a:ln w="2540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72" name="Straight Connector 171">
            <a:extLst>
              <a:ext uri="{FF2B5EF4-FFF2-40B4-BE49-F238E27FC236}">
                <a16:creationId xmlns:a16="http://schemas.microsoft.com/office/drawing/2014/main" id="{00000000-0008-0000-0200-0000AC000000}"/>
              </a:ext>
            </a:extLst>
          </xdr:cNvPr>
          <xdr:cNvCxnSpPr/>
        </xdr:nvCxnSpPr>
        <xdr:spPr>
          <a:xfrm>
            <a:off x="6417558" y="2581632"/>
            <a:ext cx="109728" cy="0"/>
          </a:xfrm>
          <a:prstGeom prst="line">
            <a:avLst/>
          </a:prstGeom>
          <a:ln w="25400">
            <a:solidFill>
              <a:srgbClr val="00B0F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647700</xdr:colOff>
      <xdr:row>3</xdr:row>
      <xdr:rowOff>104774</xdr:rowOff>
    </xdr:from>
    <xdr:to>
      <xdr:col>16</xdr:col>
      <xdr:colOff>514350</xdr:colOff>
      <xdr:row>6</xdr:row>
      <xdr:rowOff>200025</xdr:rowOff>
    </xdr:to>
    <xdr:sp macro="" textlink="">
      <xdr:nvSpPr>
        <xdr:cNvPr id="173" name="TextBox 172">
          <a:extLst>
            <a:ext uri="{FF2B5EF4-FFF2-40B4-BE49-F238E27FC236}">
              <a16:creationId xmlns:a16="http://schemas.microsoft.com/office/drawing/2014/main" id="{00000000-0008-0000-0200-0000AD000000}"/>
            </a:ext>
          </a:extLst>
        </xdr:cNvPr>
        <xdr:cNvSpPr txBox="1"/>
      </xdr:nvSpPr>
      <xdr:spPr>
        <a:xfrm>
          <a:off x="9896475" y="676274"/>
          <a:ext cx="2790825" cy="65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2 Parts: 5/18"-18 O-Ring Male to -6 AN Male. (RUS-648040) and  AN -6 Female to 1/4NPT Male Swivel (EAR-916106ERL). </a:t>
          </a:r>
          <a:endParaRPr lang="en-US" sz="1100" baseline="0">
            <a:solidFill>
              <a:schemeClr val="dk1"/>
            </a:solidFill>
            <a:latin typeface="+mn-lt"/>
            <a:ea typeface="+mn-ea"/>
            <a:cs typeface="+mn-cs"/>
          </a:endParaRPr>
        </a:p>
      </xdr:txBody>
    </xdr:sp>
    <xdr:clientData/>
  </xdr:twoCellAnchor>
  <xdr:twoCellAnchor>
    <xdr:from>
      <xdr:col>7</xdr:col>
      <xdr:colOff>65055</xdr:colOff>
      <xdr:row>17</xdr:row>
      <xdr:rowOff>170088</xdr:rowOff>
    </xdr:from>
    <xdr:to>
      <xdr:col>7</xdr:col>
      <xdr:colOff>203002</xdr:colOff>
      <xdr:row>18</xdr:row>
      <xdr:rowOff>36390</xdr:rowOff>
    </xdr:to>
    <xdr:sp macro="" textlink="">
      <xdr:nvSpPr>
        <xdr:cNvPr id="174" name="Pentagon 173">
          <a:extLst>
            <a:ext uri="{FF2B5EF4-FFF2-40B4-BE49-F238E27FC236}">
              <a16:creationId xmlns:a16="http://schemas.microsoft.com/office/drawing/2014/main" id="{00000000-0008-0000-0200-0000AE000000}"/>
            </a:ext>
          </a:extLst>
        </xdr:cNvPr>
        <xdr:cNvSpPr/>
      </xdr:nvSpPr>
      <xdr:spPr>
        <a:xfrm>
          <a:off x="4941855" y="3408588"/>
          <a:ext cx="137947" cy="56802"/>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0</xdr:colOff>
      <xdr:row>17</xdr:row>
      <xdr:rowOff>147668</xdr:rowOff>
    </xdr:from>
    <xdr:to>
      <xdr:col>7</xdr:col>
      <xdr:colOff>69107</xdr:colOff>
      <xdr:row>18</xdr:row>
      <xdr:rowOff>58955</xdr:rowOff>
    </xdr:to>
    <xdr:grpSp>
      <xdr:nvGrpSpPr>
        <xdr:cNvPr id="175" name="Group 174">
          <a:extLst>
            <a:ext uri="{FF2B5EF4-FFF2-40B4-BE49-F238E27FC236}">
              <a16:creationId xmlns:a16="http://schemas.microsoft.com/office/drawing/2014/main" id="{00000000-0008-0000-0200-0000AF000000}"/>
            </a:ext>
          </a:extLst>
        </xdr:cNvPr>
        <xdr:cNvGrpSpPr/>
      </xdr:nvGrpSpPr>
      <xdr:grpSpPr>
        <a:xfrm>
          <a:off x="5321300" y="3030568"/>
          <a:ext cx="69107" cy="76387"/>
          <a:chOff x="11549063" y="1904999"/>
          <a:chExt cx="214312" cy="198439"/>
        </a:xfrm>
      </xdr:grpSpPr>
      <xdr:cxnSp macro="">
        <xdr:nvCxnSpPr>
          <xdr:cNvPr id="176" name="Straight Connector 175">
            <a:extLst>
              <a:ext uri="{FF2B5EF4-FFF2-40B4-BE49-F238E27FC236}">
                <a16:creationId xmlns:a16="http://schemas.microsoft.com/office/drawing/2014/main" id="{00000000-0008-0000-0200-0000B000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77" name="Straight Connector 176">
            <a:extLst>
              <a:ext uri="{FF2B5EF4-FFF2-40B4-BE49-F238E27FC236}">
                <a16:creationId xmlns:a16="http://schemas.microsoft.com/office/drawing/2014/main" id="{00000000-0008-0000-0200-0000B100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78" name="Straight Connector 177">
            <a:extLst>
              <a:ext uri="{FF2B5EF4-FFF2-40B4-BE49-F238E27FC236}">
                <a16:creationId xmlns:a16="http://schemas.microsoft.com/office/drawing/2014/main" id="{00000000-0008-0000-0200-0000B200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260350</xdr:colOff>
      <xdr:row>16</xdr:row>
      <xdr:rowOff>139700</xdr:rowOff>
    </xdr:from>
    <xdr:to>
      <xdr:col>7</xdr:col>
      <xdr:colOff>387351</xdr:colOff>
      <xdr:row>17</xdr:row>
      <xdr:rowOff>86360</xdr:rowOff>
    </xdr:to>
    <xdr:grpSp>
      <xdr:nvGrpSpPr>
        <xdr:cNvPr id="179" name="Group 178">
          <a:extLst>
            <a:ext uri="{FF2B5EF4-FFF2-40B4-BE49-F238E27FC236}">
              <a16:creationId xmlns:a16="http://schemas.microsoft.com/office/drawing/2014/main" id="{00000000-0008-0000-0200-0000B3000000}"/>
            </a:ext>
          </a:extLst>
        </xdr:cNvPr>
        <xdr:cNvGrpSpPr/>
      </xdr:nvGrpSpPr>
      <xdr:grpSpPr>
        <a:xfrm rot="5400000">
          <a:off x="5589271" y="2849879"/>
          <a:ext cx="111760" cy="127001"/>
          <a:chOff x="11549063" y="1904999"/>
          <a:chExt cx="214312" cy="198439"/>
        </a:xfrm>
      </xdr:grpSpPr>
      <xdr:cxnSp macro="">
        <xdr:nvCxnSpPr>
          <xdr:cNvPr id="180" name="Straight Connector 179">
            <a:extLst>
              <a:ext uri="{FF2B5EF4-FFF2-40B4-BE49-F238E27FC236}">
                <a16:creationId xmlns:a16="http://schemas.microsoft.com/office/drawing/2014/main" id="{00000000-0008-0000-0200-0000B400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81" name="Straight Connector 180">
            <a:extLst>
              <a:ext uri="{FF2B5EF4-FFF2-40B4-BE49-F238E27FC236}">
                <a16:creationId xmlns:a16="http://schemas.microsoft.com/office/drawing/2014/main" id="{00000000-0008-0000-0200-0000B500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82" name="Straight Connector 181">
            <a:extLst>
              <a:ext uri="{FF2B5EF4-FFF2-40B4-BE49-F238E27FC236}">
                <a16:creationId xmlns:a16="http://schemas.microsoft.com/office/drawing/2014/main" id="{00000000-0008-0000-0200-0000B600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xdr:col>
      <xdr:colOff>87312</xdr:colOff>
      <xdr:row>7</xdr:row>
      <xdr:rowOff>119063</xdr:rowOff>
    </xdr:from>
    <xdr:to>
      <xdr:col>18</xdr:col>
      <xdr:colOff>254000</xdr:colOff>
      <xdr:row>9</xdr:row>
      <xdr:rowOff>174625</xdr:rowOff>
    </xdr:to>
    <xdr:sp macro="" textlink="">
      <xdr:nvSpPr>
        <xdr:cNvPr id="183" name="TextBox 182">
          <a:extLst>
            <a:ext uri="{FF2B5EF4-FFF2-40B4-BE49-F238E27FC236}">
              <a16:creationId xmlns:a16="http://schemas.microsoft.com/office/drawing/2014/main" id="{00000000-0008-0000-0200-0000B7000000}"/>
            </a:ext>
          </a:extLst>
        </xdr:cNvPr>
        <xdr:cNvSpPr txBox="1"/>
      </xdr:nvSpPr>
      <xdr:spPr>
        <a:xfrm>
          <a:off x="11041062" y="1452563"/>
          <a:ext cx="2605088" cy="4365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Brass 1/4" NPT Male x Female x Female. Max PSI = 3000 psi. 9171K32.</a:t>
          </a:r>
        </a:p>
      </xdr:txBody>
    </xdr:sp>
    <xdr:clientData/>
  </xdr:twoCellAnchor>
  <xdr:twoCellAnchor>
    <xdr:from>
      <xdr:col>12</xdr:col>
      <xdr:colOff>483052</xdr:colOff>
      <xdr:row>22</xdr:row>
      <xdr:rowOff>4</xdr:rowOff>
    </xdr:from>
    <xdr:to>
      <xdr:col>12</xdr:col>
      <xdr:colOff>598713</xdr:colOff>
      <xdr:row>24</xdr:row>
      <xdr:rowOff>61232</xdr:rowOff>
    </xdr:to>
    <xdr:grpSp>
      <xdr:nvGrpSpPr>
        <xdr:cNvPr id="184" name="Group 183">
          <a:extLst>
            <a:ext uri="{FF2B5EF4-FFF2-40B4-BE49-F238E27FC236}">
              <a16:creationId xmlns:a16="http://schemas.microsoft.com/office/drawing/2014/main" id="{00000000-0008-0000-0200-0000B8000000}"/>
            </a:ext>
          </a:extLst>
        </xdr:cNvPr>
        <xdr:cNvGrpSpPr/>
      </xdr:nvGrpSpPr>
      <xdr:grpSpPr>
        <a:xfrm>
          <a:off x="10744652" y="3708404"/>
          <a:ext cx="115661" cy="391428"/>
          <a:chOff x="12368892" y="4279450"/>
          <a:chExt cx="115661" cy="442228"/>
        </a:xfrm>
      </xdr:grpSpPr>
      <xdr:sp macro="" textlink="">
        <xdr:nvSpPr>
          <xdr:cNvPr id="185" name="Up Arrow 184">
            <a:extLst>
              <a:ext uri="{FF2B5EF4-FFF2-40B4-BE49-F238E27FC236}">
                <a16:creationId xmlns:a16="http://schemas.microsoft.com/office/drawing/2014/main" id="{00000000-0008-0000-0200-0000B9000000}"/>
              </a:ext>
            </a:extLst>
          </xdr:cNvPr>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6" name="Down Arrow 185">
            <a:extLst>
              <a:ext uri="{FF2B5EF4-FFF2-40B4-BE49-F238E27FC236}">
                <a16:creationId xmlns:a16="http://schemas.microsoft.com/office/drawing/2014/main" id="{00000000-0008-0000-0200-0000BA000000}"/>
              </a:ext>
            </a:extLst>
          </xdr:cNvPr>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87" name="Group 186">
            <a:extLst>
              <a:ext uri="{FF2B5EF4-FFF2-40B4-BE49-F238E27FC236}">
                <a16:creationId xmlns:a16="http://schemas.microsoft.com/office/drawing/2014/main" id="{00000000-0008-0000-0200-0000BB000000}"/>
              </a:ext>
            </a:extLst>
          </xdr:cNvPr>
          <xdr:cNvGrpSpPr/>
        </xdr:nvGrpSpPr>
        <xdr:grpSpPr>
          <a:xfrm rot="16200000">
            <a:off x="12341678" y="4578803"/>
            <a:ext cx="170089" cy="115661"/>
            <a:chOff x="11549063" y="1904999"/>
            <a:chExt cx="214312" cy="198439"/>
          </a:xfrm>
        </xdr:grpSpPr>
        <xdr:cxnSp macro="">
          <xdr:nvCxnSpPr>
            <xdr:cNvPr id="188" name="Straight Connector 187">
              <a:extLst>
                <a:ext uri="{FF2B5EF4-FFF2-40B4-BE49-F238E27FC236}">
                  <a16:creationId xmlns:a16="http://schemas.microsoft.com/office/drawing/2014/main" id="{00000000-0008-0000-0200-0000BC000000}"/>
                </a:ext>
              </a:extLst>
            </xdr:cNvPr>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89" name="Straight Connector 188">
              <a:extLst>
                <a:ext uri="{FF2B5EF4-FFF2-40B4-BE49-F238E27FC236}">
                  <a16:creationId xmlns:a16="http://schemas.microsoft.com/office/drawing/2014/main" id="{00000000-0008-0000-0200-0000BD000000}"/>
                </a:ext>
              </a:extLst>
            </xdr:cNvPr>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90" name="Straight Connector 189">
              <a:extLst>
                <a:ext uri="{FF2B5EF4-FFF2-40B4-BE49-F238E27FC236}">
                  <a16:creationId xmlns:a16="http://schemas.microsoft.com/office/drawing/2014/main" id="{00000000-0008-0000-0200-0000BE000000}"/>
                </a:ext>
              </a:extLst>
            </xdr:cNvPr>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12</xdr:col>
      <xdr:colOff>532804</xdr:colOff>
      <xdr:row>24</xdr:row>
      <xdr:rowOff>13607</xdr:rowOff>
    </xdr:from>
    <xdr:to>
      <xdr:col>12</xdr:col>
      <xdr:colOff>537483</xdr:colOff>
      <xdr:row>27</xdr:row>
      <xdr:rowOff>154136</xdr:rowOff>
    </xdr:to>
    <xdr:cxnSp macro="">
      <xdr:nvCxnSpPr>
        <xdr:cNvPr id="191" name="Straight Connector 190">
          <a:extLst>
            <a:ext uri="{FF2B5EF4-FFF2-40B4-BE49-F238E27FC236}">
              <a16:creationId xmlns:a16="http://schemas.microsoft.com/office/drawing/2014/main" id="{00000000-0008-0000-0200-0000BF000000}"/>
            </a:ext>
          </a:extLst>
        </xdr:cNvPr>
        <xdr:cNvCxnSpPr/>
      </xdr:nvCxnSpPr>
      <xdr:spPr>
        <a:xfrm flipV="1">
          <a:off x="9611633" y="3953949"/>
          <a:ext cx="4679" cy="621792"/>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517072</xdr:colOff>
      <xdr:row>23</xdr:row>
      <xdr:rowOff>136072</xdr:rowOff>
    </xdr:from>
    <xdr:to>
      <xdr:col>12</xdr:col>
      <xdr:colOff>567872</xdr:colOff>
      <xdr:row>24</xdr:row>
      <xdr:rowOff>97972</xdr:rowOff>
    </xdr:to>
    <xdr:sp macro="" textlink="">
      <xdr:nvSpPr>
        <xdr:cNvPr id="192" name="Pentagon 191">
          <a:extLst>
            <a:ext uri="{FF2B5EF4-FFF2-40B4-BE49-F238E27FC236}">
              <a16:creationId xmlns:a16="http://schemas.microsoft.com/office/drawing/2014/main" id="{00000000-0008-0000-0200-0000C0000000}"/>
            </a:ext>
          </a:extLst>
        </xdr:cNvPr>
        <xdr:cNvSpPr/>
      </xdr:nvSpPr>
      <xdr:spPr>
        <a:xfrm rot="16200000">
          <a:off x="9715047" y="4568372"/>
          <a:ext cx="15240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35</xdr:col>
      <xdr:colOff>272143</xdr:colOff>
      <xdr:row>42</xdr:row>
      <xdr:rowOff>88448</xdr:rowOff>
    </xdr:from>
    <xdr:to>
      <xdr:col>35</xdr:col>
      <xdr:colOff>387804</xdr:colOff>
      <xdr:row>44</xdr:row>
      <xdr:rowOff>149676</xdr:rowOff>
    </xdr:to>
    <xdr:grpSp>
      <xdr:nvGrpSpPr>
        <xdr:cNvPr id="193" name="Group 192">
          <a:extLst>
            <a:ext uri="{FF2B5EF4-FFF2-40B4-BE49-F238E27FC236}">
              <a16:creationId xmlns:a16="http://schemas.microsoft.com/office/drawing/2014/main" id="{00000000-0008-0000-0200-0000C1000000}"/>
            </a:ext>
          </a:extLst>
        </xdr:cNvPr>
        <xdr:cNvGrpSpPr/>
      </xdr:nvGrpSpPr>
      <xdr:grpSpPr>
        <a:xfrm>
          <a:off x="26294443" y="7098848"/>
          <a:ext cx="115661" cy="391428"/>
          <a:chOff x="12368892" y="4279450"/>
          <a:chExt cx="115661" cy="442228"/>
        </a:xfrm>
      </xdr:grpSpPr>
      <xdr:sp macro="" textlink="">
        <xdr:nvSpPr>
          <xdr:cNvPr id="194" name="Up Arrow 193">
            <a:extLst>
              <a:ext uri="{FF2B5EF4-FFF2-40B4-BE49-F238E27FC236}">
                <a16:creationId xmlns:a16="http://schemas.microsoft.com/office/drawing/2014/main" id="{00000000-0008-0000-0200-0000C2000000}"/>
              </a:ext>
            </a:extLst>
          </xdr:cNvPr>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5" name="Down Arrow 194">
            <a:extLst>
              <a:ext uri="{FF2B5EF4-FFF2-40B4-BE49-F238E27FC236}">
                <a16:creationId xmlns:a16="http://schemas.microsoft.com/office/drawing/2014/main" id="{00000000-0008-0000-0200-0000C3000000}"/>
              </a:ext>
            </a:extLst>
          </xdr:cNvPr>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96" name="Group 195">
            <a:extLst>
              <a:ext uri="{FF2B5EF4-FFF2-40B4-BE49-F238E27FC236}">
                <a16:creationId xmlns:a16="http://schemas.microsoft.com/office/drawing/2014/main" id="{00000000-0008-0000-0200-0000C4000000}"/>
              </a:ext>
            </a:extLst>
          </xdr:cNvPr>
          <xdr:cNvGrpSpPr/>
        </xdr:nvGrpSpPr>
        <xdr:grpSpPr>
          <a:xfrm rot="16200000">
            <a:off x="12341678" y="4578803"/>
            <a:ext cx="170089" cy="115661"/>
            <a:chOff x="11549063" y="1904999"/>
            <a:chExt cx="214312" cy="198439"/>
          </a:xfrm>
        </xdr:grpSpPr>
        <xdr:cxnSp macro="">
          <xdr:nvCxnSpPr>
            <xdr:cNvPr id="197" name="Straight Connector 196">
              <a:extLst>
                <a:ext uri="{FF2B5EF4-FFF2-40B4-BE49-F238E27FC236}">
                  <a16:creationId xmlns:a16="http://schemas.microsoft.com/office/drawing/2014/main" id="{00000000-0008-0000-0200-0000C5000000}"/>
                </a:ext>
              </a:extLst>
            </xdr:cNvPr>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98" name="Straight Connector 197">
              <a:extLst>
                <a:ext uri="{FF2B5EF4-FFF2-40B4-BE49-F238E27FC236}">
                  <a16:creationId xmlns:a16="http://schemas.microsoft.com/office/drawing/2014/main" id="{00000000-0008-0000-0200-0000C6000000}"/>
                </a:ext>
              </a:extLst>
            </xdr:cNvPr>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99" name="Straight Connector 198">
              <a:extLst>
                <a:ext uri="{FF2B5EF4-FFF2-40B4-BE49-F238E27FC236}">
                  <a16:creationId xmlns:a16="http://schemas.microsoft.com/office/drawing/2014/main" id="{00000000-0008-0000-0200-0000C7000000}"/>
                </a:ext>
              </a:extLst>
            </xdr:cNvPr>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35</xdr:col>
      <xdr:colOff>215134</xdr:colOff>
      <xdr:row>13</xdr:row>
      <xdr:rowOff>95394</xdr:rowOff>
    </xdr:from>
    <xdr:to>
      <xdr:col>35</xdr:col>
      <xdr:colOff>387570</xdr:colOff>
      <xdr:row>15</xdr:row>
      <xdr:rowOff>59121</xdr:rowOff>
    </xdr:to>
    <xdr:grpSp>
      <xdr:nvGrpSpPr>
        <xdr:cNvPr id="201" name="Group 200">
          <a:extLst>
            <a:ext uri="{FF2B5EF4-FFF2-40B4-BE49-F238E27FC236}">
              <a16:creationId xmlns:a16="http://schemas.microsoft.com/office/drawing/2014/main" id="{00000000-0008-0000-0200-0000C9000000}"/>
            </a:ext>
          </a:extLst>
        </xdr:cNvPr>
        <xdr:cNvGrpSpPr/>
      </xdr:nvGrpSpPr>
      <xdr:grpSpPr>
        <a:xfrm>
          <a:off x="26237434" y="2317894"/>
          <a:ext cx="172436" cy="293927"/>
          <a:chOff x="23880537" y="2955474"/>
          <a:chExt cx="183696" cy="425675"/>
        </a:xfrm>
      </xdr:grpSpPr>
      <xdr:grpSp>
        <xdr:nvGrpSpPr>
          <xdr:cNvPr id="202" name="Group 201">
            <a:extLst>
              <a:ext uri="{FF2B5EF4-FFF2-40B4-BE49-F238E27FC236}">
                <a16:creationId xmlns:a16="http://schemas.microsoft.com/office/drawing/2014/main" id="{00000000-0008-0000-0200-0000CA000000}"/>
              </a:ext>
            </a:extLst>
          </xdr:cNvPr>
          <xdr:cNvGrpSpPr/>
        </xdr:nvGrpSpPr>
        <xdr:grpSpPr>
          <a:xfrm>
            <a:off x="23880537" y="3024908"/>
            <a:ext cx="183696" cy="282315"/>
            <a:chOff x="5703094" y="3033714"/>
            <a:chExt cx="226219" cy="157167"/>
          </a:xfrm>
          <a:solidFill>
            <a:srgbClr val="FFFF00"/>
          </a:solidFill>
        </xdr:grpSpPr>
        <xdr:sp macro="" textlink="">
          <xdr:nvSpPr>
            <xdr:cNvPr id="211" name="Rectangle 210">
              <a:extLst>
                <a:ext uri="{FF2B5EF4-FFF2-40B4-BE49-F238E27FC236}">
                  <a16:creationId xmlns:a16="http://schemas.microsoft.com/office/drawing/2014/main" id="{00000000-0008-0000-0200-0000D3000000}"/>
                </a:ext>
              </a:extLst>
            </xdr:cNvPr>
            <xdr:cNvSpPr/>
          </xdr:nvSpPr>
          <xdr:spPr>
            <a:xfrm>
              <a:off x="5712618" y="3033714"/>
              <a:ext cx="216695" cy="157162"/>
            </a:xfrm>
            <a:prstGeom prst="rect">
              <a:avLst/>
            </a:prstGeom>
            <a:grp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12" name="Straight Connector 211">
              <a:extLst>
                <a:ext uri="{FF2B5EF4-FFF2-40B4-BE49-F238E27FC236}">
                  <a16:creationId xmlns:a16="http://schemas.microsoft.com/office/drawing/2014/main" id="{00000000-0008-0000-0200-0000D4000000}"/>
                </a:ext>
              </a:extLst>
            </xdr:cNvPr>
            <xdr:cNvCxnSpPr/>
          </xdr:nvCxnSpPr>
          <xdr:spPr>
            <a:xfrm>
              <a:off x="5712617" y="3052765"/>
              <a:ext cx="204789" cy="138116"/>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13" name="Straight Connector 212">
              <a:extLst>
                <a:ext uri="{FF2B5EF4-FFF2-40B4-BE49-F238E27FC236}">
                  <a16:creationId xmlns:a16="http://schemas.microsoft.com/office/drawing/2014/main" id="{00000000-0008-0000-0200-0000D5000000}"/>
                </a:ext>
              </a:extLst>
            </xdr:cNvPr>
            <xdr:cNvCxnSpPr/>
          </xdr:nvCxnSpPr>
          <xdr:spPr>
            <a:xfrm flipV="1">
              <a:off x="5703094" y="3045625"/>
              <a:ext cx="200025" cy="145250"/>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03" name="Group 202">
            <a:extLst>
              <a:ext uri="{FF2B5EF4-FFF2-40B4-BE49-F238E27FC236}">
                <a16:creationId xmlns:a16="http://schemas.microsoft.com/office/drawing/2014/main" id="{00000000-0008-0000-0200-0000CB000000}"/>
              </a:ext>
            </a:extLst>
          </xdr:cNvPr>
          <xdr:cNvGrpSpPr/>
        </xdr:nvGrpSpPr>
        <xdr:grpSpPr>
          <a:xfrm rot="16200000">
            <a:off x="23923305" y="3277373"/>
            <a:ext cx="108631" cy="98921"/>
            <a:chOff x="11549063" y="1904999"/>
            <a:chExt cx="214312" cy="198439"/>
          </a:xfrm>
        </xdr:grpSpPr>
        <xdr:cxnSp macro="">
          <xdr:nvCxnSpPr>
            <xdr:cNvPr id="208" name="Straight Connector 207">
              <a:extLst>
                <a:ext uri="{FF2B5EF4-FFF2-40B4-BE49-F238E27FC236}">
                  <a16:creationId xmlns:a16="http://schemas.microsoft.com/office/drawing/2014/main" id="{00000000-0008-0000-0200-0000D000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09" name="Straight Connector 208">
              <a:extLst>
                <a:ext uri="{FF2B5EF4-FFF2-40B4-BE49-F238E27FC236}">
                  <a16:creationId xmlns:a16="http://schemas.microsoft.com/office/drawing/2014/main" id="{00000000-0008-0000-0200-0000D100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10" name="Straight Connector 209">
              <a:extLst>
                <a:ext uri="{FF2B5EF4-FFF2-40B4-BE49-F238E27FC236}">
                  <a16:creationId xmlns:a16="http://schemas.microsoft.com/office/drawing/2014/main" id="{00000000-0008-0000-0200-0000D200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204" name="Group 203">
            <a:extLst>
              <a:ext uri="{FF2B5EF4-FFF2-40B4-BE49-F238E27FC236}">
                <a16:creationId xmlns:a16="http://schemas.microsoft.com/office/drawing/2014/main" id="{00000000-0008-0000-0200-0000CC000000}"/>
              </a:ext>
            </a:extLst>
          </xdr:cNvPr>
          <xdr:cNvGrpSpPr/>
        </xdr:nvGrpSpPr>
        <xdr:grpSpPr>
          <a:xfrm rot="5400000">
            <a:off x="23919223" y="2960329"/>
            <a:ext cx="108631" cy="98921"/>
            <a:chOff x="11549063" y="1904999"/>
            <a:chExt cx="214312" cy="198439"/>
          </a:xfrm>
        </xdr:grpSpPr>
        <xdr:cxnSp macro="">
          <xdr:nvCxnSpPr>
            <xdr:cNvPr id="205" name="Straight Connector 204">
              <a:extLst>
                <a:ext uri="{FF2B5EF4-FFF2-40B4-BE49-F238E27FC236}">
                  <a16:creationId xmlns:a16="http://schemas.microsoft.com/office/drawing/2014/main" id="{00000000-0008-0000-0200-0000CD00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06" name="Straight Connector 205">
              <a:extLst>
                <a:ext uri="{FF2B5EF4-FFF2-40B4-BE49-F238E27FC236}">
                  <a16:creationId xmlns:a16="http://schemas.microsoft.com/office/drawing/2014/main" id="{00000000-0008-0000-0200-0000CE00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07" name="Straight Connector 206">
              <a:extLst>
                <a:ext uri="{FF2B5EF4-FFF2-40B4-BE49-F238E27FC236}">
                  <a16:creationId xmlns:a16="http://schemas.microsoft.com/office/drawing/2014/main" id="{00000000-0008-0000-0200-0000CF00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6</xdr:col>
      <xdr:colOff>415018</xdr:colOff>
      <xdr:row>18</xdr:row>
      <xdr:rowOff>1362</xdr:rowOff>
    </xdr:from>
    <xdr:to>
      <xdr:col>6</xdr:col>
      <xdr:colOff>496661</xdr:colOff>
      <xdr:row>18</xdr:row>
      <xdr:rowOff>61233</xdr:rowOff>
    </xdr:to>
    <xdr:grpSp>
      <xdr:nvGrpSpPr>
        <xdr:cNvPr id="214" name="Group 213">
          <a:extLst>
            <a:ext uri="{FF2B5EF4-FFF2-40B4-BE49-F238E27FC236}">
              <a16:creationId xmlns:a16="http://schemas.microsoft.com/office/drawing/2014/main" id="{00000000-0008-0000-0200-0000D6000000}"/>
            </a:ext>
          </a:extLst>
        </xdr:cNvPr>
        <xdr:cNvGrpSpPr/>
      </xdr:nvGrpSpPr>
      <xdr:grpSpPr>
        <a:xfrm>
          <a:off x="4872718" y="3049362"/>
          <a:ext cx="81643" cy="59871"/>
          <a:chOff x="11549063" y="1904999"/>
          <a:chExt cx="214312" cy="198439"/>
        </a:xfrm>
      </xdr:grpSpPr>
      <xdr:cxnSp macro="">
        <xdr:nvCxnSpPr>
          <xdr:cNvPr id="215" name="Straight Connector 214">
            <a:extLst>
              <a:ext uri="{FF2B5EF4-FFF2-40B4-BE49-F238E27FC236}">
                <a16:creationId xmlns:a16="http://schemas.microsoft.com/office/drawing/2014/main" id="{00000000-0008-0000-0200-0000D700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16" name="Straight Connector 215">
            <a:extLst>
              <a:ext uri="{FF2B5EF4-FFF2-40B4-BE49-F238E27FC236}">
                <a16:creationId xmlns:a16="http://schemas.microsoft.com/office/drawing/2014/main" id="{00000000-0008-0000-0200-0000D800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17" name="Straight Connector 216">
            <a:extLst>
              <a:ext uri="{FF2B5EF4-FFF2-40B4-BE49-F238E27FC236}">
                <a16:creationId xmlns:a16="http://schemas.microsoft.com/office/drawing/2014/main" id="{00000000-0008-0000-0200-0000D900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469447</xdr:colOff>
      <xdr:row>17</xdr:row>
      <xdr:rowOff>59663</xdr:rowOff>
    </xdr:from>
    <xdr:to>
      <xdr:col>5</xdr:col>
      <xdr:colOff>555801</xdr:colOff>
      <xdr:row>20</xdr:row>
      <xdr:rowOff>18314</xdr:rowOff>
    </xdr:to>
    <xdr:grpSp>
      <xdr:nvGrpSpPr>
        <xdr:cNvPr id="218" name="Group 217">
          <a:extLst>
            <a:ext uri="{FF2B5EF4-FFF2-40B4-BE49-F238E27FC236}">
              <a16:creationId xmlns:a16="http://schemas.microsoft.com/office/drawing/2014/main" id="{00000000-0008-0000-0200-0000DA000000}"/>
            </a:ext>
          </a:extLst>
        </xdr:cNvPr>
        <xdr:cNvGrpSpPr/>
      </xdr:nvGrpSpPr>
      <xdr:grpSpPr>
        <a:xfrm rot="10800000">
          <a:off x="4254047" y="2942563"/>
          <a:ext cx="86354" cy="453951"/>
          <a:chOff x="12368892" y="4279450"/>
          <a:chExt cx="115661" cy="442228"/>
        </a:xfrm>
      </xdr:grpSpPr>
      <xdr:sp macro="" textlink="">
        <xdr:nvSpPr>
          <xdr:cNvPr id="219" name="Up Arrow 218">
            <a:extLst>
              <a:ext uri="{FF2B5EF4-FFF2-40B4-BE49-F238E27FC236}">
                <a16:creationId xmlns:a16="http://schemas.microsoft.com/office/drawing/2014/main" id="{00000000-0008-0000-0200-0000DB000000}"/>
              </a:ext>
            </a:extLst>
          </xdr:cNvPr>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0" name="Down Arrow 219">
            <a:extLst>
              <a:ext uri="{FF2B5EF4-FFF2-40B4-BE49-F238E27FC236}">
                <a16:creationId xmlns:a16="http://schemas.microsoft.com/office/drawing/2014/main" id="{00000000-0008-0000-0200-0000DC000000}"/>
              </a:ext>
            </a:extLst>
          </xdr:cNvPr>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21" name="Group 220">
            <a:extLst>
              <a:ext uri="{FF2B5EF4-FFF2-40B4-BE49-F238E27FC236}">
                <a16:creationId xmlns:a16="http://schemas.microsoft.com/office/drawing/2014/main" id="{00000000-0008-0000-0200-0000DD000000}"/>
              </a:ext>
            </a:extLst>
          </xdr:cNvPr>
          <xdr:cNvGrpSpPr/>
        </xdr:nvGrpSpPr>
        <xdr:grpSpPr>
          <a:xfrm rot="16200000">
            <a:off x="12341678" y="4578803"/>
            <a:ext cx="170089" cy="115661"/>
            <a:chOff x="11549063" y="1904999"/>
            <a:chExt cx="214312" cy="198439"/>
          </a:xfrm>
        </xdr:grpSpPr>
        <xdr:cxnSp macro="">
          <xdr:nvCxnSpPr>
            <xdr:cNvPr id="222" name="Straight Connector 221">
              <a:extLst>
                <a:ext uri="{FF2B5EF4-FFF2-40B4-BE49-F238E27FC236}">
                  <a16:creationId xmlns:a16="http://schemas.microsoft.com/office/drawing/2014/main" id="{00000000-0008-0000-0200-0000DE000000}"/>
                </a:ext>
              </a:extLst>
            </xdr:cNvPr>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223" name="Straight Connector 222">
              <a:extLst>
                <a:ext uri="{FF2B5EF4-FFF2-40B4-BE49-F238E27FC236}">
                  <a16:creationId xmlns:a16="http://schemas.microsoft.com/office/drawing/2014/main" id="{00000000-0008-0000-0200-0000DF000000}"/>
                </a:ext>
              </a:extLst>
            </xdr:cNvPr>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224" name="Straight Connector 223">
              <a:extLst>
                <a:ext uri="{FF2B5EF4-FFF2-40B4-BE49-F238E27FC236}">
                  <a16:creationId xmlns:a16="http://schemas.microsoft.com/office/drawing/2014/main" id="{00000000-0008-0000-0200-0000E0000000}"/>
                </a:ext>
              </a:extLst>
            </xdr:cNvPr>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7</xdr:col>
      <xdr:colOff>256267</xdr:colOff>
      <xdr:row>21</xdr:row>
      <xdr:rowOff>81643</xdr:rowOff>
    </xdr:from>
    <xdr:to>
      <xdr:col>7</xdr:col>
      <xdr:colOff>371928</xdr:colOff>
      <xdr:row>23</xdr:row>
      <xdr:rowOff>142871</xdr:rowOff>
    </xdr:to>
    <xdr:grpSp>
      <xdr:nvGrpSpPr>
        <xdr:cNvPr id="225" name="Group 224">
          <a:extLst>
            <a:ext uri="{FF2B5EF4-FFF2-40B4-BE49-F238E27FC236}">
              <a16:creationId xmlns:a16="http://schemas.microsoft.com/office/drawing/2014/main" id="{00000000-0008-0000-0200-0000E1000000}"/>
            </a:ext>
          </a:extLst>
        </xdr:cNvPr>
        <xdr:cNvGrpSpPr/>
      </xdr:nvGrpSpPr>
      <xdr:grpSpPr>
        <a:xfrm>
          <a:off x="5577567" y="3624943"/>
          <a:ext cx="115661" cy="391428"/>
          <a:chOff x="12368892" y="4279450"/>
          <a:chExt cx="115661" cy="442228"/>
        </a:xfrm>
      </xdr:grpSpPr>
      <xdr:sp macro="" textlink="">
        <xdr:nvSpPr>
          <xdr:cNvPr id="226" name="Up Arrow 225">
            <a:extLst>
              <a:ext uri="{FF2B5EF4-FFF2-40B4-BE49-F238E27FC236}">
                <a16:creationId xmlns:a16="http://schemas.microsoft.com/office/drawing/2014/main" id="{00000000-0008-0000-0200-0000E2000000}"/>
              </a:ext>
            </a:extLst>
          </xdr:cNvPr>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7" name="Down Arrow 226">
            <a:extLst>
              <a:ext uri="{FF2B5EF4-FFF2-40B4-BE49-F238E27FC236}">
                <a16:creationId xmlns:a16="http://schemas.microsoft.com/office/drawing/2014/main" id="{00000000-0008-0000-0200-0000E3000000}"/>
              </a:ext>
            </a:extLst>
          </xdr:cNvPr>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28" name="Group 227">
            <a:extLst>
              <a:ext uri="{FF2B5EF4-FFF2-40B4-BE49-F238E27FC236}">
                <a16:creationId xmlns:a16="http://schemas.microsoft.com/office/drawing/2014/main" id="{00000000-0008-0000-0200-0000E4000000}"/>
              </a:ext>
            </a:extLst>
          </xdr:cNvPr>
          <xdr:cNvGrpSpPr/>
        </xdr:nvGrpSpPr>
        <xdr:grpSpPr>
          <a:xfrm rot="16200000">
            <a:off x="12341678" y="4578803"/>
            <a:ext cx="170089" cy="115661"/>
            <a:chOff x="11549063" y="1904999"/>
            <a:chExt cx="214312" cy="198439"/>
          </a:xfrm>
        </xdr:grpSpPr>
        <xdr:cxnSp macro="">
          <xdr:nvCxnSpPr>
            <xdr:cNvPr id="229" name="Straight Connector 228">
              <a:extLst>
                <a:ext uri="{FF2B5EF4-FFF2-40B4-BE49-F238E27FC236}">
                  <a16:creationId xmlns:a16="http://schemas.microsoft.com/office/drawing/2014/main" id="{00000000-0008-0000-0200-0000E5000000}"/>
                </a:ext>
              </a:extLst>
            </xdr:cNvPr>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230" name="Straight Connector 229">
              <a:extLst>
                <a:ext uri="{FF2B5EF4-FFF2-40B4-BE49-F238E27FC236}">
                  <a16:creationId xmlns:a16="http://schemas.microsoft.com/office/drawing/2014/main" id="{00000000-0008-0000-0200-0000E6000000}"/>
                </a:ext>
              </a:extLst>
            </xdr:cNvPr>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231" name="Straight Connector 230">
              <a:extLst>
                <a:ext uri="{FF2B5EF4-FFF2-40B4-BE49-F238E27FC236}">
                  <a16:creationId xmlns:a16="http://schemas.microsoft.com/office/drawing/2014/main" id="{00000000-0008-0000-0200-0000E7000000}"/>
                </a:ext>
              </a:extLst>
            </xdr:cNvPr>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5</xdr:col>
      <xdr:colOff>510267</xdr:colOff>
      <xdr:row>16</xdr:row>
      <xdr:rowOff>160144</xdr:rowOff>
    </xdr:from>
    <xdr:to>
      <xdr:col>6</xdr:col>
      <xdr:colOff>328266</xdr:colOff>
      <xdr:row>16</xdr:row>
      <xdr:rowOff>160144</xdr:rowOff>
    </xdr:to>
    <xdr:cxnSp macro="">
      <xdr:nvCxnSpPr>
        <xdr:cNvPr id="232" name="Straight Connector 231">
          <a:extLst>
            <a:ext uri="{FF2B5EF4-FFF2-40B4-BE49-F238E27FC236}">
              <a16:creationId xmlns:a16="http://schemas.microsoft.com/office/drawing/2014/main" id="{00000000-0008-0000-0200-0000E8000000}"/>
            </a:ext>
          </a:extLst>
        </xdr:cNvPr>
        <xdr:cNvCxnSpPr/>
      </xdr:nvCxnSpPr>
      <xdr:spPr>
        <a:xfrm flipH="1">
          <a:off x="3865998" y="2827144"/>
          <a:ext cx="411480" cy="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600228</xdr:colOff>
      <xdr:row>30</xdr:row>
      <xdr:rowOff>130597</xdr:rowOff>
    </xdr:from>
    <xdr:to>
      <xdr:col>6</xdr:col>
      <xdr:colOff>736299</xdr:colOff>
      <xdr:row>33</xdr:row>
      <xdr:rowOff>14079</xdr:rowOff>
    </xdr:to>
    <xdr:grpSp>
      <xdr:nvGrpSpPr>
        <xdr:cNvPr id="233" name="Group 232">
          <a:extLst>
            <a:ext uri="{FF2B5EF4-FFF2-40B4-BE49-F238E27FC236}">
              <a16:creationId xmlns:a16="http://schemas.microsoft.com/office/drawing/2014/main" id="{00000000-0008-0000-0200-0000E9000000}"/>
            </a:ext>
          </a:extLst>
        </xdr:cNvPr>
        <xdr:cNvGrpSpPr/>
      </xdr:nvGrpSpPr>
      <xdr:grpSpPr>
        <a:xfrm>
          <a:off x="5057928" y="5159797"/>
          <a:ext cx="136071" cy="378782"/>
          <a:chOff x="23880537" y="2955474"/>
          <a:chExt cx="183696" cy="425675"/>
        </a:xfrm>
      </xdr:grpSpPr>
      <xdr:grpSp>
        <xdr:nvGrpSpPr>
          <xdr:cNvPr id="234" name="Group 233">
            <a:extLst>
              <a:ext uri="{FF2B5EF4-FFF2-40B4-BE49-F238E27FC236}">
                <a16:creationId xmlns:a16="http://schemas.microsoft.com/office/drawing/2014/main" id="{00000000-0008-0000-0200-0000EA000000}"/>
              </a:ext>
            </a:extLst>
          </xdr:cNvPr>
          <xdr:cNvGrpSpPr/>
        </xdr:nvGrpSpPr>
        <xdr:grpSpPr>
          <a:xfrm>
            <a:off x="23880537" y="3024908"/>
            <a:ext cx="183696" cy="282315"/>
            <a:chOff x="5703094" y="3033714"/>
            <a:chExt cx="226219" cy="157167"/>
          </a:xfrm>
          <a:solidFill>
            <a:srgbClr val="FFFF00"/>
          </a:solidFill>
        </xdr:grpSpPr>
        <xdr:sp macro="" textlink="">
          <xdr:nvSpPr>
            <xdr:cNvPr id="243" name="Rectangle 242">
              <a:extLst>
                <a:ext uri="{FF2B5EF4-FFF2-40B4-BE49-F238E27FC236}">
                  <a16:creationId xmlns:a16="http://schemas.microsoft.com/office/drawing/2014/main" id="{00000000-0008-0000-0200-0000F3000000}"/>
                </a:ext>
              </a:extLst>
            </xdr:cNvPr>
            <xdr:cNvSpPr/>
          </xdr:nvSpPr>
          <xdr:spPr>
            <a:xfrm>
              <a:off x="5712618" y="3033714"/>
              <a:ext cx="216695" cy="157162"/>
            </a:xfrm>
            <a:prstGeom prst="rect">
              <a:avLst/>
            </a:prstGeom>
            <a:grp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44" name="Straight Connector 243">
              <a:extLst>
                <a:ext uri="{FF2B5EF4-FFF2-40B4-BE49-F238E27FC236}">
                  <a16:creationId xmlns:a16="http://schemas.microsoft.com/office/drawing/2014/main" id="{00000000-0008-0000-0200-0000F4000000}"/>
                </a:ext>
              </a:extLst>
            </xdr:cNvPr>
            <xdr:cNvCxnSpPr/>
          </xdr:nvCxnSpPr>
          <xdr:spPr>
            <a:xfrm>
              <a:off x="5712617" y="3052765"/>
              <a:ext cx="204789" cy="138116"/>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45" name="Straight Connector 244">
              <a:extLst>
                <a:ext uri="{FF2B5EF4-FFF2-40B4-BE49-F238E27FC236}">
                  <a16:creationId xmlns:a16="http://schemas.microsoft.com/office/drawing/2014/main" id="{00000000-0008-0000-0200-0000F5000000}"/>
                </a:ext>
              </a:extLst>
            </xdr:cNvPr>
            <xdr:cNvCxnSpPr/>
          </xdr:nvCxnSpPr>
          <xdr:spPr>
            <a:xfrm flipV="1">
              <a:off x="5703094" y="3045625"/>
              <a:ext cx="200025" cy="145250"/>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35" name="Group 234">
            <a:extLst>
              <a:ext uri="{FF2B5EF4-FFF2-40B4-BE49-F238E27FC236}">
                <a16:creationId xmlns:a16="http://schemas.microsoft.com/office/drawing/2014/main" id="{00000000-0008-0000-0200-0000EB000000}"/>
              </a:ext>
            </a:extLst>
          </xdr:cNvPr>
          <xdr:cNvGrpSpPr/>
        </xdr:nvGrpSpPr>
        <xdr:grpSpPr>
          <a:xfrm rot="16200000">
            <a:off x="23923305" y="3277373"/>
            <a:ext cx="108631" cy="98921"/>
            <a:chOff x="11549063" y="1904999"/>
            <a:chExt cx="214312" cy="198439"/>
          </a:xfrm>
        </xdr:grpSpPr>
        <xdr:cxnSp macro="">
          <xdr:nvCxnSpPr>
            <xdr:cNvPr id="240" name="Straight Connector 239">
              <a:extLst>
                <a:ext uri="{FF2B5EF4-FFF2-40B4-BE49-F238E27FC236}">
                  <a16:creationId xmlns:a16="http://schemas.microsoft.com/office/drawing/2014/main" id="{00000000-0008-0000-0200-0000F000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41" name="Straight Connector 240">
              <a:extLst>
                <a:ext uri="{FF2B5EF4-FFF2-40B4-BE49-F238E27FC236}">
                  <a16:creationId xmlns:a16="http://schemas.microsoft.com/office/drawing/2014/main" id="{00000000-0008-0000-0200-0000F100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42" name="Straight Connector 241">
              <a:extLst>
                <a:ext uri="{FF2B5EF4-FFF2-40B4-BE49-F238E27FC236}">
                  <a16:creationId xmlns:a16="http://schemas.microsoft.com/office/drawing/2014/main" id="{00000000-0008-0000-0200-0000F200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236" name="Group 235">
            <a:extLst>
              <a:ext uri="{FF2B5EF4-FFF2-40B4-BE49-F238E27FC236}">
                <a16:creationId xmlns:a16="http://schemas.microsoft.com/office/drawing/2014/main" id="{00000000-0008-0000-0200-0000EC000000}"/>
              </a:ext>
            </a:extLst>
          </xdr:cNvPr>
          <xdr:cNvGrpSpPr/>
        </xdr:nvGrpSpPr>
        <xdr:grpSpPr>
          <a:xfrm rot="5400000">
            <a:off x="23919223" y="2960329"/>
            <a:ext cx="108631" cy="98921"/>
            <a:chOff x="11549063" y="1904999"/>
            <a:chExt cx="214312" cy="198439"/>
          </a:xfrm>
        </xdr:grpSpPr>
        <xdr:cxnSp macro="">
          <xdr:nvCxnSpPr>
            <xdr:cNvPr id="237" name="Straight Connector 236">
              <a:extLst>
                <a:ext uri="{FF2B5EF4-FFF2-40B4-BE49-F238E27FC236}">
                  <a16:creationId xmlns:a16="http://schemas.microsoft.com/office/drawing/2014/main" id="{00000000-0008-0000-0200-0000ED00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38" name="Straight Connector 237">
              <a:extLst>
                <a:ext uri="{FF2B5EF4-FFF2-40B4-BE49-F238E27FC236}">
                  <a16:creationId xmlns:a16="http://schemas.microsoft.com/office/drawing/2014/main" id="{00000000-0008-0000-0200-0000EE00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39" name="Straight Connector 238">
              <a:extLst>
                <a:ext uri="{FF2B5EF4-FFF2-40B4-BE49-F238E27FC236}">
                  <a16:creationId xmlns:a16="http://schemas.microsoft.com/office/drawing/2014/main" id="{00000000-0008-0000-0200-0000EF00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5</xdr:col>
      <xdr:colOff>472574</xdr:colOff>
      <xdr:row>16</xdr:row>
      <xdr:rowOff>142762</xdr:rowOff>
    </xdr:from>
    <xdr:to>
      <xdr:col>5</xdr:col>
      <xdr:colOff>546391</xdr:colOff>
      <xdr:row>17</xdr:row>
      <xdr:rowOff>141057</xdr:rowOff>
    </xdr:to>
    <xdr:sp macro="" textlink="">
      <xdr:nvSpPr>
        <xdr:cNvPr id="246" name="Pentagon 245">
          <a:extLst>
            <a:ext uri="{FF2B5EF4-FFF2-40B4-BE49-F238E27FC236}">
              <a16:creationId xmlns:a16="http://schemas.microsoft.com/office/drawing/2014/main" id="{00000000-0008-0000-0200-0000F6000000}"/>
            </a:ext>
          </a:extLst>
        </xdr:cNvPr>
        <xdr:cNvSpPr/>
      </xdr:nvSpPr>
      <xdr:spPr>
        <a:xfrm rot="5400000">
          <a:off x="3785470" y="2852597"/>
          <a:ext cx="159487" cy="73817"/>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35</xdr:col>
      <xdr:colOff>102059</xdr:colOff>
      <xdr:row>45</xdr:row>
      <xdr:rowOff>108856</xdr:rowOff>
    </xdr:from>
    <xdr:to>
      <xdr:col>35</xdr:col>
      <xdr:colOff>559259</xdr:colOff>
      <xdr:row>45</xdr:row>
      <xdr:rowOff>108856</xdr:rowOff>
    </xdr:to>
    <xdr:cxnSp macro="">
      <xdr:nvCxnSpPr>
        <xdr:cNvPr id="268" name="Straight Connector 267">
          <a:extLst>
            <a:ext uri="{FF2B5EF4-FFF2-40B4-BE49-F238E27FC236}">
              <a16:creationId xmlns:a16="http://schemas.microsoft.com/office/drawing/2014/main" id="{00000000-0008-0000-0200-00000C010000}"/>
            </a:ext>
          </a:extLst>
        </xdr:cNvPr>
        <xdr:cNvCxnSpPr/>
      </xdr:nvCxnSpPr>
      <xdr:spPr>
        <a:xfrm>
          <a:off x="23857409" y="7728856"/>
          <a:ext cx="457200" cy="0"/>
        </a:xfrm>
        <a:prstGeom prst="line">
          <a:avLst/>
        </a:prstGeom>
        <a:ln w="25400">
          <a:solidFill>
            <a:srgbClr val="98413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351405</xdr:colOff>
      <xdr:row>15</xdr:row>
      <xdr:rowOff>68036</xdr:rowOff>
    </xdr:from>
    <xdr:to>
      <xdr:col>20</xdr:col>
      <xdr:colOff>351405</xdr:colOff>
      <xdr:row>15</xdr:row>
      <xdr:rowOff>151395</xdr:rowOff>
    </xdr:to>
    <xdr:cxnSp macro="">
      <xdr:nvCxnSpPr>
        <xdr:cNvPr id="285" name="Straight Connector 284">
          <a:extLst>
            <a:ext uri="{FF2B5EF4-FFF2-40B4-BE49-F238E27FC236}">
              <a16:creationId xmlns:a16="http://schemas.microsoft.com/office/drawing/2014/main" id="{00000000-0008-0000-0200-00001D010000}"/>
            </a:ext>
          </a:extLst>
        </xdr:cNvPr>
        <xdr:cNvCxnSpPr/>
      </xdr:nvCxnSpPr>
      <xdr:spPr>
        <a:xfrm rot="5400000">
          <a:off x="14921075" y="2967216"/>
          <a:ext cx="83359" cy="0"/>
        </a:xfrm>
        <a:prstGeom prst="line">
          <a:avLst/>
        </a:prstGeom>
        <a:ln w="635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570743</xdr:colOff>
      <xdr:row>27</xdr:row>
      <xdr:rowOff>157047</xdr:rowOff>
    </xdr:from>
    <xdr:to>
      <xdr:col>20</xdr:col>
      <xdr:colOff>146305</xdr:colOff>
      <xdr:row>30</xdr:row>
      <xdr:rowOff>40530</xdr:rowOff>
    </xdr:to>
    <xdr:grpSp>
      <xdr:nvGrpSpPr>
        <xdr:cNvPr id="286" name="Group 285">
          <a:extLst>
            <a:ext uri="{FF2B5EF4-FFF2-40B4-BE49-F238E27FC236}">
              <a16:creationId xmlns:a16="http://schemas.microsoft.com/office/drawing/2014/main" id="{00000000-0008-0000-0200-00001E010000}"/>
            </a:ext>
          </a:extLst>
        </xdr:cNvPr>
        <xdr:cNvGrpSpPr/>
      </xdr:nvGrpSpPr>
      <xdr:grpSpPr>
        <a:xfrm rot="10800000">
          <a:off x="15823443" y="4690947"/>
          <a:ext cx="248662" cy="378783"/>
          <a:chOff x="23880537" y="2955474"/>
          <a:chExt cx="183696" cy="425675"/>
        </a:xfrm>
      </xdr:grpSpPr>
      <xdr:grpSp>
        <xdr:nvGrpSpPr>
          <xdr:cNvPr id="287" name="Group 286">
            <a:extLst>
              <a:ext uri="{FF2B5EF4-FFF2-40B4-BE49-F238E27FC236}">
                <a16:creationId xmlns:a16="http://schemas.microsoft.com/office/drawing/2014/main" id="{00000000-0008-0000-0200-00001F010000}"/>
              </a:ext>
            </a:extLst>
          </xdr:cNvPr>
          <xdr:cNvGrpSpPr/>
        </xdr:nvGrpSpPr>
        <xdr:grpSpPr>
          <a:xfrm>
            <a:off x="23880537" y="3024908"/>
            <a:ext cx="183696" cy="282315"/>
            <a:chOff x="5703094" y="3033714"/>
            <a:chExt cx="226219" cy="157167"/>
          </a:xfrm>
          <a:solidFill>
            <a:srgbClr val="FFFF00"/>
          </a:solidFill>
        </xdr:grpSpPr>
        <xdr:sp macro="" textlink="">
          <xdr:nvSpPr>
            <xdr:cNvPr id="296" name="Rectangle 295">
              <a:extLst>
                <a:ext uri="{FF2B5EF4-FFF2-40B4-BE49-F238E27FC236}">
                  <a16:creationId xmlns:a16="http://schemas.microsoft.com/office/drawing/2014/main" id="{00000000-0008-0000-0200-000028010000}"/>
                </a:ext>
              </a:extLst>
            </xdr:cNvPr>
            <xdr:cNvSpPr/>
          </xdr:nvSpPr>
          <xdr:spPr>
            <a:xfrm>
              <a:off x="5712618" y="3033714"/>
              <a:ext cx="216695" cy="157162"/>
            </a:xfrm>
            <a:prstGeom prst="rect">
              <a:avLst/>
            </a:prstGeom>
            <a:grp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97" name="Straight Connector 296">
              <a:extLst>
                <a:ext uri="{FF2B5EF4-FFF2-40B4-BE49-F238E27FC236}">
                  <a16:creationId xmlns:a16="http://schemas.microsoft.com/office/drawing/2014/main" id="{00000000-0008-0000-0200-000029010000}"/>
                </a:ext>
              </a:extLst>
            </xdr:cNvPr>
            <xdr:cNvCxnSpPr/>
          </xdr:nvCxnSpPr>
          <xdr:spPr>
            <a:xfrm>
              <a:off x="5712617" y="3052765"/>
              <a:ext cx="204789" cy="138116"/>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98" name="Straight Connector 297">
              <a:extLst>
                <a:ext uri="{FF2B5EF4-FFF2-40B4-BE49-F238E27FC236}">
                  <a16:creationId xmlns:a16="http://schemas.microsoft.com/office/drawing/2014/main" id="{00000000-0008-0000-0200-00002A010000}"/>
                </a:ext>
              </a:extLst>
            </xdr:cNvPr>
            <xdr:cNvCxnSpPr/>
          </xdr:nvCxnSpPr>
          <xdr:spPr>
            <a:xfrm flipV="1">
              <a:off x="5703094" y="3045625"/>
              <a:ext cx="200025" cy="145250"/>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88" name="Group 287">
            <a:extLst>
              <a:ext uri="{FF2B5EF4-FFF2-40B4-BE49-F238E27FC236}">
                <a16:creationId xmlns:a16="http://schemas.microsoft.com/office/drawing/2014/main" id="{00000000-0008-0000-0200-000020010000}"/>
              </a:ext>
            </a:extLst>
          </xdr:cNvPr>
          <xdr:cNvGrpSpPr/>
        </xdr:nvGrpSpPr>
        <xdr:grpSpPr>
          <a:xfrm rot="16200000">
            <a:off x="23923305" y="3277373"/>
            <a:ext cx="108631" cy="98921"/>
            <a:chOff x="11549063" y="1904999"/>
            <a:chExt cx="214312" cy="198439"/>
          </a:xfrm>
        </xdr:grpSpPr>
        <xdr:cxnSp macro="">
          <xdr:nvCxnSpPr>
            <xdr:cNvPr id="293" name="Straight Connector 292">
              <a:extLst>
                <a:ext uri="{FF2B5EF4-FFF2-40B4-BE49-F238E27FC236}">
                  <a16:creationId xmlns:a16="http://schemas.microsoft.com/office/drawing/2014/main" id="{00000000-0008-0000-0200-00002501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94" name="Straight Connector 293">
              <a:extLst>
                <a:ext uri="{FF2B5EF4-FFF2-40B4-BE49-F238E27FC236}">
                  <a16:creationId xmlns:a16="http://schemas.microsoft.com/office/drawing/2014/main" id="{00000000-0008-0000-0200-00002601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95" name="Straight Connector 294">
              <a:extLst>
                <a:ext uri="{FF2B5EF4-FFF2-40B4-BE49-F238E27FC236}">
                  <a16:creationId xmlns:a16="http://schemas.microsoft.com/office/drawing/2014/main" id="{00000000-0008-0000-0200-00002701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289" name="Group 288">
            <a:extLst>
              <a:ext uri="{FF2B5EF4-FFF2-40B4-BE49-F238E27FC236}">
                <a16:creationId xmlns:a16="http://schemas.microsoft.com/office/drawing/2014/main" id="{00000000-0008-0000-0200-000021010000}"/>
              </a:ext>
            </a:extLst>
          </xdr:cNvPr>
          <xdr:cNvGrpSpPr/>
        </xdr:nvGrpSpPr>
        <xdr:grpSpPr>
          <a:xfrm rot="5400000">
            <a:off x="23919223" y="2960329"/>
            <a:ext cx="108631" cy="98921"/>
            <a:chOff x="11549063" y="1904999"/>
            <a:chExt cx="214312" cy="198439"/>
          </a:xfrm>
        </xdr:grpSpPr>
        <xdr:cxnSp macro="">
          <xdr:nvCxnSpPr>
            <xdr:cNvPr id="290" name="Straight Connector 289">
              <a:extLst>
                <a:ext uri="{FF2B5EF4-FFF2-40B4-BE49-F238E27FC236}">
                  <a16:creationId xmlns:a16="http://schemas.microsoft.com/office/drawing/2014/main" id="{00000000-0008-0000-0200-00002201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91" name="Straight Connector 290">
              <a:extLst>
                <a:ext uri="{FF2B5EF4-FFF2-40B4-BE49-F238E27FC236}">
                  <a16:creationId xmlns:a16="http://schemas.microsoft.com/office/drawing/2014/main" id="{00000000-0008-0000-0200-00002301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92" name="Straight Connector 291">
              <a:extLst>
                <a:ext uri="{FF2B5EF4-FFF2-40B4-BE49-F238E27FC236}">
                  <a16:creationId xmlns:a16="http://schemas.microsoft.com/office/drawing/2014/main" id="{00000000-0008-0000-0200-00002401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332004</xdr:colOff>
      <xdr:row>20</xdr:row>
      <xdr:rowOff>121560</xdr:rowOff>
    </xdr:from>
    <xdr:to>
      <xdr:col>20</xdr:col>
      <xdr:colOff>393237</xdr:colOff>
      <xdr:row>21</xdr:row>
      <xdr:rowOff>121559</xdr:rowOff>
    </xdr:to>
    <xdr:sp macro="" textlink="">
      <xdr:nvSpPr>
        <xdr:cNvPr id="299" name="Pentagon 298">
          <a:extLst>
            <a:ext uri="{FF2B5EF4-FFF2-40B4-BE49-F238E27FC236}">
              <a16:creationId xmlns:a16="http://schemas.microsoft.com/office/drawing/2014/main" id="{00000000-0008-0000-0200-00002B010000}"/>
            </a:ext>
          </a:extLst>
        </xdr:cNvPr>
        <xdr:cNvSpPr/>
      </xdr:nvSpPr>
      <xdr:spPr>
        <a:xfrm rot="5400000">
          <a:off x="14444967" y="3483308"/>
          <a:ext cx="161192" cy="61233"/>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19</xdr:col>
      <xdr:colOff>595834</xdr:colOff>
      <xdr:row>30</xdr:row>
      <xdr:rowOff>128850</xdr:rowOff>
    </xdr:from>
    <xdr:to>
      <xdr:col>20</xdr:col>
      <xdr:colOff>143029</xdr:colOff>
      <xdr:row>33</xdr:row>
      <xdr:rowOff>86412</xdr:rowOff>
    </xdr:to>
    <xdr:grpSp>
      <xdr:nvGrpSpPr>
        <xdr:cNvPr id="300" name="Group 299">
          <a:extLst>
            <a:ext uri="{FF2B5EF4-FFF2-40B4-BE49-F238E27FC236}">
              <a16:creationId xmlns:a16="http://schemas.microsoft.com/office/drawing/2014/main" id="{00000000-0008-0000-0200-00002C010000}"/>
            </a:ext>
          </a:extLst>
        </xdr:cNvPr>
        <xdr:cNvGrpSpPr/>
      </xdr:nvGrpSpPr>
      <xdr:grpSpPr>
        <a:xfrm>
          <a:off x="15848534" y="5158050"/>
          <a:ext cx="220295" cy="452862"/>
          <a:chOff x="10384971" y="9386673"/>
          <a:chExt cx="155329" cy="529061"/>
        </a:xfrm>
      </xdr:grpSpPr>
      <xdr:grpSp>
        <xdr:nvGrpSpPr>
          <xdr:cNvPr id="301" name="Group 300">
            <a:extLst>
              <a:ext uri="{FF2B5EF4-FFF2-40B4-BE49-F238E27FC236}">
                <a16:creationId xmlns:a16="http://schemas.microsoft.com/office/drawing/2014/main" id="{00000000-0008-0000-0200-00002D010000}"/>
              </a:ext>
            </a:extLst>
          </xdr:cNvPr>
          <xdr:cNvGrpSpPr/>
        </xdr:nvGrpSpPr>
        <xdr:grpSpPr>
          <a:xfrm rot="16200000">
            <a:off x="10416428" y="9811958"/>
            <a:ext cx="108631" cy="98921"/>
            <a:chOff x="11549063" y="1904999"/>
            <a:chExt cx="214312" cy="198439"/>
          </a:xfrm>
        </xdr:grpSpPr>
        <xdr:cxnSp macro="">
          <xdr:nvCxnSpPr>
            <xdr:cNvPr id="309" name="Straight Connector 308">
              <a:extLst>
                <a:ext uri="{FF2B5EF4-FFF2-40B4-BE49-F238E27FC236}">
                  <a16:creationId xmlns:a16="http://schemas.microsoft.com/office/drawing/2014/main" id="{00000000-0008-0000-0200-00003501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10" name="Straight Connector 309">
              <a:extLst>
                <a:ext uri="{FF2B5EF4-FFF2-40B4-BE49-F238E27FC236}">
                  <a16:creationId xmlns:a16="http://schemas.microsoft.com/office/drawing/2014/main" id="{00000000-0008-0000-0200-00003601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11" name="Straight Connector 310">
              <a:extLst>
                <a:ext uri="{FF2B5EF4-FFF2-40B4-BE49-F238E27FC236}">
                  <a16:creationId xmlns:a16="http://schemas.microsoft.com/office/drawing/2014/main" id="{00000000-0008-0000-0200-00003701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302" name="Group 301">
            <a:extLst>
              <a:ext uri="{FF2B5EF4-FFF2-40B4-BE49-F238E27FC236}">
                <a16:creationId xmlns:a16="http://schemas.microsoft.com/office/drawing/2014/main" id="{00000000-0008-0000-0200-00002E010000}"/>
              </a:ext>
            </a:extLst>
          </xdr:cNvPr>
          <xdr:cNvGrpSpPr/>
        </xdr:nvGrpSpPr>
        <xdr:grpSpPr>
          <a:xfrm rot="5400000">
            <a:off x="10400099" y="9391528"/>
            <a:ext cx="108631" cy="98921"/>
            <a:chOff x="11549063" y="1904999"/>
            <a:chExt cx="214312" cy="198439"/>
          </a:xfrm>
        </xdr:grpSpPr>
        <xdr:cxnSp macro="">
          <xdr:nvCxnSpPr>
            <xdr:cNvPr id="306" name="Straight Connector 305">
              <a:extLst>
                <a:ext uri="{FF2B5EF4-FFF2-40B4-BE49-F238E27FC236}">
                  <a16:creationId xmlns:a16="http://schemas.microsoft.com/office/drawing/2014/main" id="{00000000-0008-0000-0200-00003201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07" name="Straight Connector 306">
              <a:extLst>
                <a:ext uri="{FF2B5EF4-FFF2-40B4-BE49-F238E27FC236}">
                  <a16:creationId xmlns:a16="http://schemas.microsoft.com/office/drawing/2014/main" id="{00000000-0008-0000-0200-00003301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08" name="Straight Connector 307">
              <a:extLst>
                <a:ext uri="{FF2B5EF4-FFF2-40B4-BE49-F238E27FC236}">
                  <a16:creationId xmlns:a16="http://schemas.microsoft.com/office/drawing/2014/main" id="{00000000-0008-0000-0200-00003401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303" name="Group 302">
            <a:extLst>
              <a:ext uri="{FF2B5EF4-FFF2-40B4-BE49-F238E27FC236}">
                <a16:creationId xmlns:a16="http://schemas.microsoft.com/office/drawing/2014/main" id="{00000000-0008-0000-0200-00002F010000}"/>
              </a:ext>
            </a:extLst>
          </xdr:cNvPr>
          <xdr:cNvGrpSpPr/>
        </xdr:nvGrpSpPr>
        <xdr:grpSpPr>
          <a:xfrm rot="16200000">
            <a:off x="10320591" y="9575812"/>
            <a:ext cx="284089" cy="155329"/>
            <a:chOff x="2667000" y="1262063"/>
            <a:chExt cx="428625" cy="226218"/>
          </a:xfrm>
        </xdr:grpSpPr>
        <xdr:sp macro="" textlink="">
          <xdr:nvSpPr>
            <xdr:cNvPr id="304" name="Rectangle 303">
              <a:extLst>
                <a:ext uri="{FF2B5EF4-FFF2-40B4-BE49-F238E27FC236}">
                  <a16:creationId xmlns:a16="http://schemas.microsoft.com/office/drawing/2014/main" id="{00000000-0008-0000-0200-000030010000}"/>
                </a:ext>
              </a:extLst>
            </xdr:cNvPr>
            <xdr:cNvSpPr/>
          </xdr:nvSpPr>
          <xdr:spPr>
            <a:xfrm>
              <a:off x="2678906" y="1262063"/>
              <a:ext cx="416719" cy="2262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305" name="Straight Arrow Connector 304">
              <a:extLst>
                <a:ext uri="{FF2B5EF4-FFF2-40B4-BE49-F238E27FC236}">
                  <a16:creationId xmlns:a16="http://schemas.microsoft.com/office/drawing/2014/main" id="{00000000-0008-0000-0200-000031010000}"/>
                </a:ext>
              </a:extLst>
            </xdr:cNvPr>
            <xdr:cNvCxnSpPr/>
          </xdr:nvCxnSpPr>
          <xdr:spPr>
            <a:xfrm flipH="1">
              <a:off x="2667000" y="1363266"/>
              <a:ext cx="416719" cy="1588"/>
            </a:xfrm>
            <a:prstGeom prst="straightConnector1">
              <a:avLst/>
            </a:prstGeom>
            <a:ln w="2667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81631</xdr:colOff>
      <xdr:row>15</xdr:row>
      <xdr:rowOff>2661</xdr:rowOff>
    </xdr:from>
    <xdr:to>
      <xdr:col>11</xdr:col>
      <xdr:colOff>244917</xdr:colOff>
      <xdr:row>18</xdr:row>
      <xdr:rowOff>153865</xdr:rowOff>
    </xdr:to>
    <xdr:sp macro="" textlink="">
      <xdr:nvSpPr>
        <xdr:cNvPr id="329" name="TextBox 328">
          <a:extLst>
            <a:ext uri="{FF2B5EF4-FFF2-40B4-BE49-F238E27FC236}">
              <a16:creationId xmlns:a16="http://schemas.microsoft.com/office/drawing/2014/main" id="{00000000-0008-0000-0200-000049010000}"/>
            </a:ext>
          </a:extLst>
        </xdr:cNvPr>
        <xdr:cNvSpPr txBox="1"/>
      </xdr:nvSpPr>
      <xdr:spPr>
        <a:xfrm>
          <a:off x="5749006" y="2860161"/>
          <a:ext cx="3135086" cy="7227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2 Parts:</a:t>
          </a:r>
          <a:br>
            <a:rPr lang="en-US" sz="1100"/>
          </a:br>
          <a:r>
            <a:rPr lang="en-US" sz="1100"/>
            <a:t>Quick Disconnect Socket 12FS</a:t>
          </a:r>
        </a:p>
        <a:p>
          <a:r>
            <a:rPr lang="en-US" sz="1100"/>
            <a:t>Quick Disconnect Plug 12MP</a:t>
          </a:r>
        </a:p>
      </xdr:txBody>
    </xdr:sp>
    <xdr:clientData/>
  </xdr:twoCellAnchor>
  <xdr:twoCellAnchor>
    <xdr:from>
      <xdr:col>12</xdr:col>
      <xdr:colOff>142049</xdr:colOff>
      <xdr:row>26</xdr:row>
      <xdr:rowOff>0</xdr:rowOff>
    </xdr:from>
    <xdr:to>
      <xdr:col>15</xdr:col>
      <xdr:colOff>536241</xdr:colOff>
      <xdr:row>27</xdr:row>
      <xdr:rowOff>70782</xdr:rowOff>
    </xdr:to>
    <xdr:cxnSp macro="">
      <xdr:nvCxnSpPr>
        <xdr:cNvPr id="330" name="Straight Arrow Connector 329">
          <a:extLst>
            <a:ext uri="{FF2B5EF4-FFF2-40B4-BE49-F238E27FC236}">
              <a16:creationId xmlns:a16="http://schemas.microsoft.com/office/drawing/2014/main" id="{00000000-0008-0000-0200-00004A010000}"/>
            </a:ext>
          </a:extLst>
        </xdr:cNvPr>
        <xdr:cNvCxnSpPr>
          <a:stCxn id="48" idx="2"/>
          <a:endCxn id="386" idx="0"/>
        </xdr:cNvCxnSpPr>
      </xdr:nvCxnSpPr>
      <xdr:spPr>
        <a:xfrm flipH="1">
          <a:off x="9212780" y="4278923"/>
          <a:ext cx="2445730" cy="2319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25645</xdr:colOff>
      <xdr:row>35</xdr:row>
      <xdr:rowOff>62539</xdr:rowOff>
    </xdr:from>
    <xdr:to>
      <xdr:col>10</xdr:col>
      <xdr:colOff>374721</xdr:colOff>
      <xdr:row>37</xdr:row>
      <xdr:rowOff>113517</xdr:rowOff>
    </xdr:to>
    <xdr:sp macro="" textlink="">
      <xdr:nvSpPr>
        <xdr:cNvPr id="331" name="TextBox 330">
          <a:extLst>
            <a:ext uri="{FF2B5EF4-FFF2-40B4-BE49-F238E27FC236}">
              <a16:creationId xmlns:a16="http://schemas.microsoft.com/office/drawing/2014/main" id="{00000000-0008-0000-0200-00004B010000}"/>
            </a:ext>
          </a:extLst>
        </xdr:cNvPr>
        <xdr:cNvSpPr txBox="1"/>
      </xdr:nvSpPr>
      <xdr:spPr>
        <a:xfrm>
          <a:off x="5520837" y="5792193"/>
          <a:ext cx="2481211" cy="3733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1/4" NPT Female</a:t>
          </a:r>
          <a:r>
            <a:rPr lang="en-US" sz="1100" baseline="0">
              <a:solidFill>
                <a:schemeClr val="dk1"/>
              </a:solidFill>
              <a:latin typeface="+mn-lt"/>
              <a:ea typeface="+mn-ea"/>
              <a:cs typeface="+mn-cs"/>
            </a:rPr>
            <a:t> Series D</a:t>
          </a:r>
          <a:r>
            <a:rPr lang="en-US" sz="1100">
              <a:solidFill>
                <a:schemeClr val="dk1"/>
              </a:solidFill>
              <a:latin typeface="+mn-lt"/>
              <a:ea typeface="+mn-ea"/>
              <a:cs typeface="+mn-cs"/>
            </a:rPr>
            <a:t> Gems Solenoid Valve. D2011-SB1-V-VO-C203</a:t>
          </a:r>
          <a:endParaRPr lang="en-US"/>
        </a:p>
      </xdr:txBody>
    </xdr:sp>
    <xdr:clientData/>
  </xdr:twoCellAnchor>
  <xdr:twoCellAnchor>
    <xdr:from>
      <xdr:col>0</xdr:col>
      <xdr:colOff>9525</xdr:colOff>
      <xdr:row>22</xdr:row>
      <xdr:rowOff>13007</xdr:rowOff>
    </xdr:from>
    <xdr:to>
      <xdr:col>4</xdr:col>
      <xdr:colOff>510504</xdr:colOff>
      <xdr:row>24</xdr:row>
      <xdr:rowOff>161192</xdr:rowOff>
    </xdr:to>
    <xdr:sp macro="" textlink="">
      <xdr:nvSpPr>
        <xdr:cNvPr id="333" name="TextBox 332">
          <a:extLst>
            <a:ext uri="{FF2B5EF4-FFF2-40B4-BE49-F238E27FC236}">
              <a16:creationId xmlns:a16="http://schemas.microsoft.com/office/drawing/2014/main" id="{00000000-0008-0000-0200-00004D010000}"/>
            </a:ext>
          </a:extLst>
        </xdr:cNvPr>
        <xdr:cNvSpPr txBox="1"/>
      </xdr:nvSpPr>
      <xdr:spPr>
        <a:xfrm>
          <a:off x="9525" y="3661082"/>
          <a:ext cx="3120354" cy="4720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Pipe Tee </a:t>
          </a:r>
          <a:r>
            <a:rPr lang="en-US" sz="1100">
              <a:solidFill>
                <a:schemeClr val="dk1"/>
              </a:solidFill>
              <a:effectLst/>
              <a:latin typeface="+mn-lt"/>
              <a:ea typeface="+mn-ea"/>
              <a:cs typeface="+mn-cs"/>
            </a:rPr>
            <a:t>50785K219</a:t>
          </a:r>
          <a:r>
            <a:rPr lang="en-US" sz="1100" b="0" baseline="0">
              <a:solidFill>
                <a:schemeClr val="dk1"/>
              </a:solidFill>
              <a:latin typeface="+mn-lt"/>
              <a:ea typeface="+mn-ea"/>
              <a:cs typeface="+mn-cs"/>
            </a:rPr>
            <a:t>  </a:t>
          </a:r>
          <a:r>
            <a:rPr lang="en-US" sz="1100">
              <a:solidFill>
                <a:schemeClr val="dk1"/>
              </a:solidFill>
              <a:latin typeface="+mn-lt"/>
              <a:ea typeface="+mn-ea"/>
              <a:cs typeface="+mn-cs"/>
            </a:rPr>
            <a:t>Max</a:t>
          </a:r>
          <a:r>
            <a:rPr lang="en-US" sz="1100" baseline="0">
              <a:solidFill>
                <a:schemeClr val="dk1"/>
              </a:solidFill>
              <a:latin typeface="+mn-lt"/>
              <a:ea typeface="+mn-ea"/>
              <a:cs typeface="+mn-cs"/>
            </a:rPr>
            <a:t> PSI = </a:t>
          </a:r>
          <a:r>
            <a:rPr lang="en-US" sz="1100">
              <a:solidFill>
                <a:schemeClr val="dk1"/>
              </a:solidFill>
              <a:latin typeface="+mn-lt"/>
              <a:ea typeface="+mn-ea"/>
              <a:cs typeface="+mn-cs"/>
            </a:rPr>
            <a:t>1000. 1/8" NPT F/F/M. Pressure Gauge  1/8"</a:t>
          </a:r>
          <a:endParaRPr lang="en-US" sz="1100"/>
        </a:p>
      </xdr:txBody>
    </xdr:sp>
    <xdr:clientData/>
  </xdr:twoCellAnchor>
  <xdr:twoCellAnchor>
    <xdr:from>
      <xdr:col>35</xdr:col>
      <xdr:colOff>259292</xdr:colOff>
      <xdr:row>46</xdr:row>
      <xdr:rowOff>68792</xdr:rowOff>
    </xdr:from>
    <xdr:to>
      <xdr:col>35</xdr:col>
      <xdr:colOff>402167</xdr:colOff>
      <xdr:row>49</xdr:row>
      <xdr:rowOff>28150</xdr:rowOff>
    </xdr:to>
    <xdr:grpSp>
      <xdr:nvGrpSpPr>
        <xdr:cNvPr id="354" name="Group 353">
          <a:extLst>
            <a:ext uri="{FF2B5EF4-FFF2-40B4-BE49-F238E27FC236}">
              <a16:creationId xmlns:a16="http://schemas.microsoft.com/office/drawing/2014/main" id="{00000000-0008-0000-0200-000062010000}"/>
            </a:ext>
          </a:extLst>
        </xdr:cNvPr>
        <xdr:cNvGrpSpPr/>
      </xdr:nvGrpSpPr>
      <xdr:grpSpPr>
        <a:xfrm>
          <a:off x="26281592" y="7739592"/>
          <a:ext cx="142875" cy="454658"/>
          <a:chOff x="5047494" y="4484160"/>
          <a:chExt cx="142875" cy="530858"/>
        </a:xfrm>
      </xdr:grpSpPr>
      <xdr:sp macro="" textlink="">
        <xdr:nvSpPr>
          <xdr:cNvPr id="355" name="Rectangle 354">
            <a:extLst>
              <a:ext uri="{FF2B5EF4-FFF2-40B4-BE49-F238E27FC236}">
                <a16:creationId xmlns:a16="http://schemas.microsoft.com/office/drawing/2014/main" id="{00000000-0008-0000-0200-000063010000}"/>
              </a:ext>
            </a:extLst>
          </xdr:cNvPr>
          <xdr:cNvSpPr/>
        </xdr:nvSpPr>
        <xdr:spPr>
          <a:xfrm>
            <a:off x="5047494" y="4585608"/>
            <a:ext cx="142875" cy="319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6" name="Oval 355">
            <a:extLst>
              <a:ext uri="{FF2B5EF4-FFF2-40B4-BE49-F238E27FC236}">
                <a16:creationId xmlns:a16="http://schemas.microsoft.com/office/drawing/2014/main" id="{00000000-0008-0000-0200-000064010000}"/>
              </a:ext>
            </a:extLst>
          </xdr:cNvPr>
          <xdr:cNvSpPr/>
        </xdr:nvSpPr>
        <xdr:spPr>
          <a:xfrm>
            <a:off x="5087559" y="4677078"/>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57" name="Oval 356">
            <a:extLst>
              <a:ext uri="{FF2B5EF4-FFF2-40B4-BE49-F238E27FC236}">
                <a16:creationId xmlns:a16="http://schemas.microsoft.com/office/drawing/2014/main" id="{00000000-0008-0000-0200-000065010000}"/>
              </a:ext>
            </a:extLst>
          </xdr:cNvPr>
          <xdr:cNvSpPr/>
        </xdr:nvSpPr>
        <xdr:spPr>
          <a:xfrm>
            <a:off x="5085291" y="4820707"/>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58" name="Oval 357">
            <a:extLst>
              <a:ext uri="{FF2B5EF4-FFF2-40B4-BE49-F238E27FC236}">
                <a16:creationId xmlns:a16="http://schemas.microsoft.com/office/drawing/2014/main" id="{00000000-0008-0000-0200-000066010000}"/>
              </a:ext>
            </a:extLst>
          </xdr:cNvPr>
          <xdr:cNvSpPr/>
        </xdr:nvSpPr>
        <xdr:spPr>
          <a:xfrm>
            <a:off x="5122333" y="4773084"/>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59" name="Oval 358">
            <a:extLst>
              <a:ext uri="{FF2B5EF4-FFF2-40B4-BE49-F238E27FC236}">
                <a16:creationId xmlns:a16="http://schemas.microsoft.com/office/drawing/2014/main" id="{00000000-0008-0000-0200-000067010000}"/>
              </a:ext>
            </a:extLst>
          </xdr:cNvPr>
          <xdr:cNvSpPr/>
        </xdr:nvSpPr>
        <xdr:spPr>
          <a:xfrm>
            <a:off x="5137150" y="4846108"/>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0" name="Oval 359">
            <a:extLst>
              <a:ext uri="{FF2B5EF4-FFF2-40B4-BE49-F238E27FC236}">
                <a16:creationId xmlns:a16="http://schemas.microsoft.com/office/drawing/2014/main" id="{00000000-0008-0000-0200-000068010000}"/>
              </a:ext>
            </a:extLst>
          </xdr:cNvPr>
          <xdr:cNvSpPr/>
        </xdr:nvSpPr>
        <xdr:spPr>
          <a:xfrm>
            <a:off x="5077883" y="4739217"/>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1" name="Oval 360">
            <a:extLst>
              <a:ext uri="{FF2B5EF4-FFF2-40B4-BE49-F238E27FC236}">
                <a16:creationId xmlns:a16="http://schemas.microsoft.com/office/drawing/2014/main" id="{00000000-0008-0000-0200-000069010000}"/>
              </a:ext>
            </a:extLst>
          </xdr:cNvPr>
          <xdr:cNvSpPr/>
        </xdr:nvSpPr>
        <xdr:spPr>
          <a:xfrm>
            <a:off x="5092699" y="4617205"/>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2" name="Oval 361">
            <a:extLst>
              <a:ext uri="{FF2B5EF4-FFF2-40B4-BE49-F238E27FC236}">
                <a16:creationId xmlns:a16="http://schemas.microsoft.com/office/drawing/2014/main" id="{00000000-0008-0000-0200-00006A010000}"/>
              </a:ext>
            </a:extLst>
          </xdr:cNvPr>
          <xdr:cNvSpPr/>
        </xdr:nvSpPr>
        <xdr:spPr>
          <a:xfrm>
            <a:off x="5144558" y="4678892"/>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nvGrpSpPr>
          <xdr:cNvPr id="363" name="Group 362">
            <a:extLst>
              <a:ext uri="{FF2B5EF4-FFF2-40B4-BE49-F238E27FC236}">
                <a16:creationId xmlns:a16="http://schemas.microsoft.com/office/drawing/2014/main" id="{00000000-0008-0000-0200-00006B010000}"/>
              </a:ext>
            </a:extLst>
          </xdr:cNvPr>
          <xdr:cNvGrpSpPr/>
        </xdr:nvGrpSpPr>
        <xdr:grpSpPr>
          <a:xfrm rot="5400000">
            <a:off x="5065397" y="4488181"/>
            <a:ext cx="108583" cy="100541"/>
            <a:chOff x="11549063" y="1904999"/>
            <a:chExt cx="214312" cy="198439"/>
          </a:xfrm>
        </xdr:grpSpPr>
        <xdr:cxnSp macro="">
          <xdr:nvCxnSpPr>
            <xdr:cNvPr id="368" name="Straight Connector 367">
              <a:extLst>
                <a:ext uri="{FF2B5EF4-FFF2-40B4-BE49-F238E27FC236}">
                  <a16:creationId xmlns:a16="http://schemas.microsoft.com/office/drawing/2014/main" id="{00000000-0008-0000-0200-00007001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69" name="Straight Connector 368">
              <a:extLst>
                <a:ext uri="{FF2B5EF4-FFF2-40B4-BE49-F238E27FC236}">
                  <a16:creationId xmlns:a16="http://schemas.microsoft.com/office/drawing/2014/main" id="{00000000-0008-0000-0200-00007101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70" name="Straight Connector 369">
              <a:extLst>
                <a:ext uri="{FF2B5EF4-FFF2-40B4-BE49-F238E27FC236}">
                  <a16:creationId xmlns:a16="http://schemas.microsoft.com/office/drawing/2014/main" id="{00000000-0008-0000-0200-00007201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364" name="Group 363">
            <a:extLst>
              <a:ext uri="{FF2B5EF4-FFF2-40B4-BE49-F238E27FC236}">
                <a16:creationId xmlns:a16="http://schemas.microsoft.com/office/drawing/2014/main" id="{00000000-0008-0000-0200-00006C010000}"/>
              </a:ext>
            </a:extLst>
          </xdr:cNvPr>
          <xdr:cNvGrpSpPr/>
        </xdr:nvGrpSpPr>
        <xdr:grpSpPr>
          <a:xfrm rot="16200000">
            <a:off x="5064338" y="4910456"/>
            <a:ext cx="108583" cy="100541"/>
            <a:chOff x="11549063" y="1904999"/>
            <a:chExt cx="214312" cy="198439"/>
          </a:xfrm>
        </xdr:grpSpPr>
        <xdr:cxnSp macro="">
          <xdr:nvCxnSpPr>
            <xdr:cNvPr id="365" name="Straight Connector 364">
              <a:extLst>
                <a:ext uri="{FF2B5EF4-FFF2-40B4-BE49-F238E27FC236}">
                  <a16:creationId xmlns:a16="http://schemas.microsoft.com/office/drawing/2014/main" id="{00000000-0008-0000-0200-00006D01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66" name="Straight Connector 365">
              <a:extLst>
                <a:ext uri="{FF2B5EF4-FFF2-40B4-BE49-F238E27FC236}">
                  <a16:creationId xmlns:a16="http://schemas.microsoft.com/office/drawing/2014/main" id="{00000000-0008-0000-0200-00006E01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67" name="Straight Connector 366">
              <a:extLst>
                <a:ext uri="{FF2B5EF4-FFF2-40B4-BE49-F238E27FC236}">
                  <a16:creationId xmlns:a16="http://schemas.microsoft.com/office/drawing/2014/main" id="{00000000-0008-0000-0200-00006F01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565096</xdr:colOff>
      <xdr:row>19</xdr:row>
      <xdr:rowOff>144703</xdr:rowOff>
    </xdr:from>
    <xdr:to>
      <xdr:col>20</xdr:col>
      <xdr:colOff>144061</xdr:colOff>
      <xdr:row>22</xdr:row>
      <xdr:rowOff>133349</xdr:rowOff>
    </xdr:to>
    <xdr:sp macro="" textlink="">
      <xdr:nvSpPr>
        <xdr:cNvPr id="374" name="TextBox 373">
          <a:extLst>
            <a:ext uri="{FF2B5EF4-FFF2-40B4-BE49-F238E27FC236}">
              <a16:creationId xmlns:a16="http://schemas.microsoft.com/office/drawing/2014/main" id="{00000000-0008-0000-0200-000076010000}"/>
            </a:ext>
          </a:extLst>
        </xdr:cNvPr>
        <xdr:cNvSpPr txBox="1"/>
      </xdr:nvSpPr>
      <xdr:spPr>
        <a:xfrm>
          <a:off x="11690296" y="3307003"/>
          <a:ext cx="2626965" cy="4744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x1.</a:t>
          </a:r>
          <a:r>
            <a:rPr lang="en-US" sz="1100" baseline="0">
              <a:solidFill>
                <a:schemeClr val="dk1"/>
              </a:solidFill>
              <a:latin typeface="+mn-lt"/>
              <a:ea typeface="+mn-ea"/>
              <a:cs typeface="+mn-cs"/>
            </a:rPr>
            <a:t> Ball Valve </a:t>
          </a:r>
          <a:r>
            <a:rPr lang="en-US" sz="1100">
              <a:solidFill>
                <a:schemeClr val="dk1"/>
              </a:solidFill>
              <a:latin typeface="+mn-lt"/>
              <a:ea typeface="+mn-ea"/>
              <a:cs typeface="+mn-cs"/>
            </a:rPr>
            <a:t>1/4" NPT F/M w/ PTFE Seals. 600 psi @ 100° F. </a:t>
          </a:r>
          <a:r>
            <a:rPr lang="en-US" sz="1100">
              <a:solidFill>
                <a:schemeClr val="dk1"/>
              </a:solidFill>
              <a:effectLst/>
              <a:latin typeface="+mn-lt"/>
              <a:ea typeface="+mn-ea"/>
              <a:cs typeface="+mn-cs"/>
            </a:rPr>
            <a:t>4082T42</a:t>
          </a:r>
          <a:endParaRPr lang="en-US"/>
        </a:p>
      </xdr:txBody>
    </xdr:sp>
    <xdr:clientData/>
  </xdr:twoCellAnchor>
  <xdr:twoCellAnchor>
    <xdr:from>
      <xdr:col>18</xdr:col>
      <xdr:colOff>49779</xdr:colOff>
      <xdr:row>22</xdr:row>
      <xdr:rowOff>133349</xdr:rowOff>
    </xdr:from>
    <xdr:to>
      <xdr:col>20</xdr:col>
      <xdr:colOff>122083</xdr:colOff>
      <xdr:row>26</xdr:row>
      <xdr:rowOff>61497</xdr:rowOff>
    </xdr:to>
    <xdr:cxnSp macro="">
      <xdr:nvCxnSpPr>
        <xdr:cNvPr id="375" name="Straight Arrow Connector 374">
          <a:extLst>
            <a:ext uri="{FF2B5EF4-FFF2-40B4-BE49-F238E27FC236}">
              <a16:creationId xmlns:a16="http://schemas.microsoft.com/office/drawing/2014/main" id="{00000000-0008-0000-0200-000077010000}"/>
            </a:ext>
          </a:extLst>
        </xdr:cNvPr>
        <xdr:cNvCxnSpPr>
          <a:stCxn id="374" idx="2"/>
          <a:endCxn id="519" idx="2"/>
        </xdr:cNvCxnSpPr>
      </xdr:nvCxnSpPr>
      <xdr:spPr>
        <a:xfrm>
          <a:off x="13003779" y="3781424"/>
          <a:ext cx="1291504" cy="57584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517352</xdr:colOff>
      <xdr:row>27</xdr:row>
      <xdr:rowOff>70782</xdr:rowOff>
    </xdr:from>
    <xdr:to>
      <xdr:col>12</xdr:col>
      <xdr:colOff>386684</xdr:colOff>
      <xdr:row>28</xdr:row>
      <xdr:rowOff>37444</xdr:rowOff>
    </xdr:to>
    <xdr:grpSp>
      <xdr:nvGrpSpPr>
        <xdr:cNvPr id="376" name="Group 375">
          <a:extLst>
            <a:ext uri="{FF2B5EF4-FFF2-40B4-BE49-F238E27FC236}">
              <a16:creationId xmlns:a16="http://schemas.microsoft.com/office/drawing/2014/main" id="{00000000-0008-0000-0200-000078010000}"/>
            </a:ext>
          </a:extLst>
        </xdr:cNvPr>
        <xdr:cNvGrpSpPr/>
      </xdr:nvGrpSpPr>
      <xdr:grpSpPr>
        <a:xfrm rot="5400000">
          <a:off x="10311187" y="4399347"/>
          <a:ext cx="131762" cy="542432"/>
          <a:chOff x="9721694" y="5472979"/>
          <a:chExt cx="157162" cy="479798"/>
        </a:xfrm>
      </xdr:grpSpPr>
      <xdr:grpSp>
        <xdr:nvGrpSpPr>
          <xdr:cNvPr id="377" name="Group 376">
            <a:extLst>
              <a:ext uri="{FF2B5EF4-FFF2-40B4-BE49-F238E27FC236}">
                <a16:creationId xmlns:a16="http://schemas.microsoft.com/office/drawing/2014/main" id="{00000000-0008-0000-0200-000079010000}"/>
              </a:ext>
            </a:extLst>
          </xdr:cNvPr>
          <xdr:cNvGrpSpPr/>
        </xdr:nvGrpSpPr>
        <xdr:grpSpPr>
          <a:xfrm rot="16200000">
            <a:off x="9675259" y="5643700"/>
            <a:ext cx="250032" cy="157162"/>
            <a:chOff x="2667000" y="1262063"/>
            <a:chExt cx="428625" cy="226218"/>
          </a:xfrm>
        </xdr:grpSpPr>
        <xdr:sp macro="" textlink="">
          <xdr:nvSpPr>
            <xdr:cNvPr id="386" name="Rectangle 385">
              <a:extLst>
                <a:ext uri="{FF2B5EF4-FFF2-40B4-BE49-F238E27FC236}">
                  <a16:creationId xmlns:a16="http://schemas.microsoft.com/office/drawing/2014/main" id="{00000000-0008-0000-0200-000082010000}"/>
                </a:ext>
              </a:extLst>
            </xdr:cNvPr>
            <xdr:cNvSpPr/>
          </xdr:nvSpPr>
          <xdr:spPr>
            <a:xfrm>
              <a:off x="2678906" y="1262063"/>
              <a:ext cx="416719" cy="2262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387" name="Straight Arrow Connector 386">
              <a:extLst>
                <a:ext uri="{FF2B5EF4-FFF2-40B4-BE49-F238E27FC236}">
                  <a16:creationId xmlns:a16="http://schemas.microsoft.com/office/drawing/2014/main" id="{00000000-0008-0000-0200-000083010000}"/>
                </a:ext>
              </a:extLst>
            </xdr:cNvPr>
            <xdr:cNvCxnSpPr/>
          </xdr:nvCxnSpPr>
          <xdr:spPr>
            <a:xfrm flipH="1">
              <a:off x="2667000" y="1363261"/>
              <a:ext cx="416719" cy="1588"/>
            </a:xfrm>
            <a:prstGeom prst="straightConnector1">
              <a:avLst/>
            </a:prstGeom>
            <a:ln w="2667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grpSp>
      <xdr:grpSp>
        <xdr:nvGrpSpPr>
          <xdr:cNvPr id="378" name="Group 377">
            <a:extLst>
              <a:ext uri="{FF2B5EF4-FFF2-40B4-BE49-F238E27FC236}">
                <a16:creationId xmlns:a16="http://schemas.microsoft.com/office/drawing/2014/main" id="{00000000-0008-0000-0200-00007A010000}"/>
              </a:ext>
            </a:extLst>
          </xdr:cNvPr>
          <xdr:cNvGrpSpPr/>
        </xdr:nvGrpSpPr>
        <xdr:grpSpPr>
          <a:xfrm rot="5400000">
            <a:off x="9738887" y="5471846"/>
            <a:ext cx="107308" cy="109573"/>
            <a:chOff x="11549063" y="1904999"/>
            <a:chExt cx="214312" cy="198439"/>
          </a:xfrm>
        </xdr:grpSpPr>
        <xdr:cxnSp macro="">
          <xdr:nvCxnSpPr>
            <xdr:cNvPr id="383" name="Straight Connector 382">
              <a:extLst>
                <a:ext uri="{FF2B5EF4-FFF2-40B4-BE49-F238E27FC236}">
                  <a16:creationId xmlns:a16="http://schemas.microsoft.com/office/drawing/2014/main" id="{00000000-0008-0000-0200-00007F01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84" name="Straight Connector 383">
              <a:extLst>
                <a:ext uri="{FF2B5EF4-FFF2-40B4-BE49-F238E27FC236}">
                  <a16:creationId xmlns:a16="http://schemas.microsoft.com/office/drawing/2014/main" id="{00000000-0008-0000-0200-00008001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85" name="Straight Connector 384">
              <a:extLst>
                <a:ext uri="{FF2B5EF4-FFF2-40B4-BE49-F238E27FC236}">
                  <a16:creationId xmlns:a16="http://schemas.microsoft.com/office/drawing/2014/main" id="{00000000-0008-0000-0200-00008101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379" name="Group 378">
            <a:extLst>
              <a:ext uri="{FF2B5EF4-FFF2-40B4-BE49-F238E27FC236}">
                <a16:creationId xmlns:a16="http://schemas.microsoft.com/office/drawing/2014/main" id="{00000000-0008-0000-0200-00007B010000}"/>
              </a:ext>
            </a:extLst>
          </xdr:cNvPr>
          <xdr:cNvGrpSpPr/>
        </xdr:nvGrpSpPr>
        <xdr:grpSpPr>
          <a:xfrm rot="16200000">
            <a:off x="9732699" y="5849001"/>
            <a:ext cx="108631" cy="98921"/>
            <a:chOff x="11549063" y="1904999"/>
            <a:chExt cx="214312" cy="198439"/>
          </a:xfrm>
        </xdr:grpSpPr>
        <xdr:cxnSp macro="">
          <xdr:nvCxnSpPr>
            <xdr:cNvPr id="380" name="Straight Connector 379">
              <a:extLst>
                <a:ext uri="{FF2B5EF4-FFF2-40B4-BE49-F238E27FC236}">
                  <a16:creationId xmlns:a16="http://schemas.microsoft.com/office/drawing/2014/main" id="{00000000-0008-0000-0200-00007C01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81" name="Straight Connector 380">
              <a:extLst>
                <a:ext uri="{FF2B5EF4-FFF2-40B4-BE49-F238E27FC236}">
                  <a16:creationId xmlns:a16="http://schemas.microsoft.com/office/drawing/2014/main" id="{00000000-0008-0000-0200-00007D01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82" name="Straight Connector 381">
              <a:extLst>
                <a:ext uri="{FF2B5EF4-FFF2-40B4-BE49-F238E27FC236}">
                  <a16:creationId xmlns:a16="http://schemas.microsoft.com/office/drawing/2014/main" id="{00000000-0008-0000-0200-00007E01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12</xdr:col>
      <xdr:colOff>319478</xdr:colOff>
      <xdr:row>27</xdr:row>
      <xdr:rowOff>109242</xdr:rowOff>
    </xdr:from>
    <xdr:to>
      <xdr:col>12</xdr:col>
      <xdr:colOff>452828</xdr:colOff>
      <xdr:row>27</xdr:row>
      <xdr:rowOff>160042</xdr:rowOff>
    </xdr:to>
    <xdr:sp macro="" textlink="">
      <xdr:nvSpPr>
        <xdr:cNvPr id="423" name="Pentagon 422">
          <a:extLst>
            <a:ext uri="{FF2B5EF4-FFF2-40B4-BE49-F238E27FC236}">
              <a16:creationId xmlns:a16="http://schemas.microsoft.com/office/drawing/2014/main" id="{00000000-0008-0000-0200-0000A7010000}"/>
            </a:ext>
          </a:extLst>
        </xdr:cNvPr>
        <xdr:cNvSpPr/>
      </xdr:nvSpPr>
      <xdr:spPr>
        <a:xfrm rot="10800000">
          <a:off x="9398307" y="4530847"/>
          <a:ext cx="13335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300490</xdr:colOff>
      <xdr:row>23</xdr:row>
      <xdr:rowOff>52392</xdr:rowOff>
    </xdr:from>
    <xdr:to>
      <xdr:col>11</xdr:col>
      <xdr:colOff>587537</xdr:colOff>
      <xdr:row>28</xdr:row>
      <xdr:rowOff>3458</xdr:rowOff>
    </xdr:to>
    <xdr:grpSp>
      <xdr:nvGrpSpPr>
        <xdr:cNvPr id="424" name="Group 423">
          <a:extLst>
            <a:ext uri="{FF2B5EF4-FFF2-40B4-BE49-F238E27FC236}">
              <a16:creationId xmlns:a16="http://schemas.microsoft.com/office/drawing/2014/main" id="{00000000-0008-0000-0200-0000A8010000}"/>
            </a:ext>
          </a:extLst>
        </xdr:cNvPr>
        <xdr:cNvGrpSpPr/>
      </xdr:nvGrpSpPr>
      <xdr:grpSpPr>
        <a:xfrm>
          <a:off x="5621790" y="3925892"/>
          <a:ext cx="4554247" cy="776566"/>
          <a:chOff x="5175558" y="4433892"/>
          <a:chExt cx="4053752" cy="874991"/>
        </a:xfrm>
      </xdr:grpSpPr>
      <xdr:cxnSp macro="">
        <xdr:nvCxnSpPr>
          <xdr:cNvPr id="425" name="Straight Connector 424">
            <a:extLst>
              <a:ext uri="{FF2B5EF4-FFF2-40B4-BE49-F238E27FC236}">
                <a16:creationId xmlns:a16="http://schemas.microsoft.com/office/drawing/2014/main" id="{00000000-0008-0000-0200-0000A9010000}"/>
              </a:ext>
            </a:extLst>
          </xdr:cNvPr>
          <xdr:cNvCxnSpPr/>
        </xdr:nvCxnSpPr>
        <xdr:spPr>
          <a:xfrm flipH="1">
            <a:off x="5175558" y="5282094"/>
            <a:ext cx="3931920" cy="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426" name="Pentagon 425">
            <a:extLst>
              <a:ext uri="{FF2B5EF4-FFF2-40B4-BE49-F238E27FC236}">
                <a16:creationId xmlns:a16="http://schemas.microsoft.com/office/drawing/2014/main" id="{00000000-0008-0000-0200-0000AA010000}"/>
              </a:ext>
            </a:extLst>
          </xdr:cNvPr>
          <xdr:cNvSpPr/>
        </xdr:nvSpPr>
        <xdr:spPr>
          <a:xfrm rot="16200000">
            <a:off x="5125663" y="4484715"/>
            <a:ext cx="152400" cy="50753"/>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427" name="Straight Connector 426">
            <a:extLst>
              <a:ext uri="{FF2B5EF4-FFF2-40B4-BE49-F238E27FC236}">
                <a16:creationId xmlns:a16="http://schemas.microsoft.com/office/drawing/2014/main" id="{00000000-0008-0000-0200-0000AB010000}"/>
              </a:ext>
            </a:extLst>
          </xdr:cNvPr>
          <xdr:cNvCxnSpPr/>
        </xdr:nvCxnSpPr>
        <xdr:spPr>
          <a:xfrm flipV="1">
            <a:off x="5204787" y="4559075"/>
            <a:ext cx="249" cy="749808"/>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428" name="Pentagon 427">
            <a:extLst>
              <a:ext uri="{FF2B5EF4-FFF2-40B4-BE49-F238E27FC236}">
                <a16:creationId xmlns:a16="http://schemas.microsoft.com/office/drawing/2014/main" id="{00000000-0008-0000-0200-0000AC010000}"/>
              </a:ext>
            </a:extLst>
          </xdr:cNvPr>
          <xdr:cNvSpPr/>
        </xdr:nvSpPr>
        <xdr:spPr>
          <a:xfrm>
            <a:off x="9076910" y="5255773"/>
            <a:ext cx="15240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3</xdr:col>
      <xdr:colOff>520887</xdr:colOff>
      <xdr:row>1</xdr:row>
      <xdr:rowOff>148857</xdr:rowOff>
    </xdr:from>
    <xdr:to>
      <xdr:col>8</xdr:col>
      <xdr:colOff>127855</xdr:colOff>
      <xdr:row>4</xdr:row>
      <xdr:rowOff>18501</xdr:rowOff>
    </xdr:to>
    <xdr:sp macro="" textlink="">
      <xdr:nvSpPr>
        <xdr:cNvPr id="481" name="TextBox 480">
          <a:extLst>
            <a:ext uri="{FF2B5EF4-FFF2-40B4-BE49-F238E27FC236}">
              <a16:creationId xmlns:a16="http://schemas.microsoft.com/office/drawing/2014/main" id="{00000000-0008-0000-0200-0000E1010000}"/>
            </a:ext>
          </a:extLst>
        </xdr:cNvPr>
        <xdr:cNvSpPr txBox="1"/>
      </xdr:nvSpPr>
      <xdr:spPr>
        <a:xfrm>
          <a:off x="2530662" y="310782"/>
          <a:ext cx="3083593" cy="4411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Copper Tubing 1/8" OD (.061 ID, .032" WALL). 3' Length (Part 8967K863). 3410 PSI. </a:t>
          </a:r>
          <a:endParaRPr lang="en-US" sz="1100"/>
        </a:p>
      </xdr:txBody>
    </xdr:sp>
    <xdr:clientData/>
  </xdr:twoCellAnchor>
  <xdr:twoCellAnchor>
    <xdr:from>
      <xdr:col>7</xdr:col>
      <xdr:colOff>197248</xdr:colOff>
      <xdr:row>28</xdr:row>
      <xdr:rowOff>127942</xdr:rowOff>
    </xdr:from>
    <xdr:to>
      <xdr:col>9</xdr:col>
      <xdr:colOff>1402774</xdr:colOff>
      <xdr:row>31</xdr:row>
      <xdr:rowOff>25978</xdr:rowOff>
    </xdr:to>
    <xdr:sp macro="" textlink="">
      <xdr:nvSpPr>
        <xdr:cNvPr id="495" name="TextBox 494">
          <a:extLst>
            <a:ext uri="{FF2B5EF4-FFF2-40B4-BE49-F238E27FC236}">
              <a16:creationId xmlns:a16="http://schemas.microsoft.com/office/drawing/2014/main" id="{00000000-0008-0000-0200-0000EF010000}"/>
            </a:ext>
          </a:extLst>
        </xdr:cNvPr>
        <xdr:cNvSpPr txBox="1"/>
      </xdr:nvSpPr>
      <xdr:spPr>
        <a:xfrm>
          <a:off x="5074048" y="5461942"/>
          <a:ext cx="2605701" cy="4695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x2:</a:t>
          </a:r>
          <a:r>
            <a:rPr lang="en-US" sz="1100" baseline="0">
              <a:solidFill>
                <a:schemeClr val="dk1"/>
              </a:solidFill>
              <a:latin typeface="+mn-lt"/>
              <a:ea typeface="+mn-ea"/>
              <a:cs typeface="+mn-cs"/>
            </a:rPr>
            <a:t> </a:t>
          </a:r>
          <a:r>
            <a:rPr lang="en-US" sz="1100">
              <a:solidFill>
                <a:schemeClr val="dk1"/>
              </a:solidFill>
              <a:latin typeface="+mn-lt"/>
              <a:ea typeface="+mn-ea"/>
              <a:cs typeface="+mn-cs"/>
            </a:rPr>
            <a:t>4112T11 $10.50</a:t>
          </a:r>
          <a:r>
            <a:rPr lang="en-US" sz="1100" baseline="0">
              <a:solidFill>
                <a:schemeClr val="dk1"/>
              </a:solidFill>
              <a:latin typeface="+mn-lt"/>
              <a:ea typeface="+mn-ea"/>
              <a:cs typeface="+mn-cs"/>
            </a:rPr>
            <a:t>  </a:t>
          </a:r>
          <a:r>
            <a:rPr lang="en-US" sz="1100">
              <a:solidFill>
                <a:schemeClr val="dk1"/>
              </a:solidFill>
              <a:latin typeface="+mn-lt"/>
              <a:ea typeface="+mn-ea"/>
              <a:cs typeface="+mn-cs"/>
            </a:rPr>
            <a:t>McMaster </a:t>
          </a:r>
          <a:r>
            <a:rPr lang="en-US"/>
            <a:t>Brass 1/8"NPT /M</a:t>
          </a:r>
          <a:r>
            <a:rPr lang="en-US" baseline="0"/>
            <a:t> Ball Valve. </a:t>
          </a:r>
          <a:r>
            <a:rPr lang="en-US"/>
            <a:t>1000 psi @ 70° F. </a:t>
          </a:r>
        </a:p>
      </xdr:txBody>
    </xdr:sp>
    <xdr:clientData/>
  </xdr:twoCellAnchor>
  <xdr:twoCellAnchor>
    <xdr:from>
      <xdr:col>20</xdr:col>
      <xdr:colOff>303610</xdr:colOff>
      <xdr:row>16</xdr:row>
      <xdr:rowOff>4762</xdr:rowOff>
    </xdr:from>
    <xdr:to>
      <xdr:col>20</xdr:col>
      <xdr:colOff>399913</xdr:colOff>
      <xdr:row>16</xdr:row>
      <xdr:rowOff>142869</xdr:rowOff>
    </xdr:to>
    <xdr:grpSp>
      <xdr:nvGrpSpPr>
        <xdr:cNvPr id="499" name="Group 498">
          <a:extLst>
            <a:ext uri="{FF2B5EF4-FFF2-40B4-BE49-F238E27FC236}">
              <a16:creationId xmlns:a16="http://schemas.microsoft.com/office/drawing/2014/main" id="{00000000-0008-0000-0200-0000F3010000}"/>
            </a:ext>
          </a:extLst>
        </xdr:cNvPr>
        <xdr:cNvGrpSpPr/>
      </xdr:nvGrpSpPr>
      <xdr:grpSpPr>
        <a:xfrm rot="16200000">
          <a:off x="16208508" y="2743464"/>
          <a:ext cx="138107" cy="96303"/>
          <a:chOff x="4869656" y="2090744"/>
          <a:chExt cx="416719" cy="230974"/>
        </a:xfrm>
      </xdr:grpSpPr>
      <xdr:sp macro="" textlink="">
        <xdr:nvSpPr>
          <xdr:cNvPr id="500" name="Rectangle 499">
            <a:extLst>
              <a:ext uri="{FF2B5EF4-FFF2-40B4-BE49-F238E27FC236}">
                <a16:creationId xmlns:a16="http://schemas.microsoft.com/office/drawing/2014/main" id="{00000000-0008-0000-0200-0000F4010000}"/>
              </a:ext>
            </a:extLst>
          </xdr:cNvPr>
          <xdr:cNvSpPr/>
        </xdr:nvSpPr>
        <xdr:spPr>
          <a:xfrm>
            <a:off x="4869656" y="2095500"/>
            <a:ext cx="416719" cy="226218"/>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501" name="Straight Connector 500">
            <a:extLst>
              <a:ext uri="{FF2B5EF4-FFF2-40B4-BE49-F238E27FC236}">
                <a16:creationId xmlns:a16="http://schemas.microsoft.com/office/drawing/2014/main" id="{00000000-0008-0000-0200-0000F5010000}"/>
              </a:ext>
            </a:extLst>
          </xdr:cNvPr>
          <xdr:cNvCxnSpPr/>
        </xdr:nvCxnSpPr>
        <xdr:spPr>
          <a:xfrm rot="16200000" flipH="1">
            <a:off x="4845847" y="2208609"/>
            <a:ext cx="226218" cy="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502" name="Straight Connector 501">
            <a:extLst>
              <a:ext uri="{FF2B5EF4-FFF2-40B4-BE49-F238E27FC236}">
                <a16:creationId xmlns:a16="http://schemas.microsoft.com/office/drawing/2014/main" id="{00000000-0008-0000-0200-0000F6010000}"/>
              </a:ext>
            </a:extLst>
          </xdr:cNvPr>
          <xdr:cNvCxnSpPr/>
        </xdr:nvCxnSpPr>
        <xdr:spPr>
          <a:xfrm rot="16200000" flipH="1">
            <a:off x="4974435" y="2206231"/>
            <a:ext cx="226218" cy="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503" name="Straight Connector 502">
            <a:extLst>
              <a:ext uri="{FF2B5EF4-FFF2-40B4-BE49-F238E27FC236}">
                <a16:creationId xmlns:a16="http://schemas.microsoft.com/office/drawing/2014/main" id="{00000000-0008-0000-0200-0000F7010000}"/>
              </a:ext>
            </a:extLst>
          </xdr:cNvPr>
          <xdr:cNvCxnSpPr/>
        </xdr:nvCxnSpPr>
        <xdr:spPr>
          <a:xfrm rot="16200000" flipH="1">
            <a:off x="5079211" y="2203853"/>
            <a:ext cx="226218" cy="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20</xdr:col>
      <xdr:colOff>369277</xdr:colOff>
      <xdr:row>17</xdr:row>
      <xdr:rowOff>156798</xdr:rowOff>
    </xdr:from>
    <xdr:to>
      <xdr:col>20</xdr:col>
      <xdr:colOff>369277</xdr:colOff>
      <xdr:row>20</xdr:row>
      <xdr:rowOff>130421</xdr:rowOff>
    </xdr:to>
    <xdr:cxnSp macro="">
      <xdr:nvCxnSpPr>
        <xdr:cNvPr id="504" name="Straight Connector 503">
          <a:extLst>
            <a:ext uri="{FF2B5EF4-FFF2-40B4-BE49-F238E27FC236}">
              <a16:creationId xmlns:a16="http://schemas.microsoft.com/office/drawing/2014/main" id="{00000000-0008-0000-0200-0000F8010000}"/>
            </a:ext>
          </a:extLst>
        </xdr:cNvPr>
        <xdr:cNvCxnSpPr/>
      </xdr:nvCxnSpPr>
      <xdr:spPr>
        <a:xfrm flipV="1">
          <a:off x="14532219" y="2984990"/>
          <a:ext cx="0" cy="45720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205153</xdr:colOff>
      <xdr:row>11</xdr:row>
      <xdr:rowOff>131886</xdr:rowOff>
    </xdr:from>
    <xdr:to>
      <xdr:col>26</xdr:col>
      <xdr:colOff>241789</xdr:colOff>
      <xdr:row>15</xdr:row>
      <xdr:rowOff>131885</xdr:rowOff>
    </xdr:to>
    <xdr:sp macro="" textlink="">
      <xdr:nvSpPr>
        <xdr:cNvPr id="505" name="TextBox 504">
          <a:extLst>
            <a:ext uri="{FF2B5EF4-FFF2-40B4-BE49-F238E27FC236}">
              <a16:creationId xmlns:a16="http://schemas.microsoft.com/office/drawing/2014/main" id="{00000000-0008-0000-0200-0000F9010000}"/>
            </a:ext>
          </a:extLst>
        </xdr:cNvPr>
        <xdr:cNvSpPr txBox="1"/>
      </xdr:nvSpPr>
      <xdr:spPr>
        <a:xfrm>
          <a:off x="15584365" y="1992924"/>
          <a:ext cx="2469174" cy="6447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x1.</a:t>
          </a:r>
          <a:r>
            <a:rPr lang="en-US" sz="1100" baseline="0"/>
            <a:t> </a:t>
          </a:r>
          <a:r>
            <a:rPr lang="en-US" sz="1100"/>
            <a:t>5355K31 High Pressure PTFE SS Braided hose</a:t>
          </a:r>
          <a:r>
            <a:rPr lang="en-US" sz="1100" baseline="0"/>
            <a:t> 4 feet. JIC 37</a:t>
          </a:r>
          <a:r>
            <a:rPr lang="en-US" sz="1100" baseline="30000"/>
            <a:t>o</a:t>
          </a:r>
          <a:r>
            <a:rPr lang="en-US" sz="1100" baseline="0"/>
            <a:t> F (to reg end) 1/4" NPT Male (to engine side).</a:t>
          </a:r>
          <a:endParaRPr lang="en-US" sz="1100"/>
        </a:p>
      </xdr:txBody>
    </xdr:sp>
    <xdr:clientData/>
  </xdr:twoCellAnchor>
  <xdr:twoCellAnchor>
    <xdr:from>
      <xdr:col>20</xdr:col>
      <xdr:colOff>362621</xdr:colOff>
      <xdr:row>13</xdr:row>
      <xdr:rowOff>131886</xdr:rowOff>
    </xdr:from>
    <xdr:to>
      <xdr:col>22</xdr:col>
      <xdr:colOff>205153</xdr:colOff>
      <xdr:row>20</xdr:row>
      <xdr:rowOff>121560</xdr:rowOff>
    </xdr:to>
    <xdr:cxnSp macro="">
      <xdr:nvCxnSpPr>
        <xdr:cNvPr id="506" name="Straight Arrow Connector 505">
          <a:extLst>
            <a:ext uri="{FF2B5EF4-FFF2-40B4-BE49-F238E27FC236}">
              <a16:creationId xmlns:a16="http://schemas.microsoft.com/office/drawing/2014/main" id="{00000000-0008-0000-0200-0000FA010000}"/>
            </a:ext>
          </a:extLst>
        </xdr:cNvPr>
        <xdr:cNvCxnSpPr>
          <a:stCxn id="505" idx="1"/>
          <a:endCxn id="299" idx="1"/>
        </xdr:cNvCxnSpPr>
      </xdr:nvCxnSpPr>
      <xdr:spPr>
        <a:xfrm flipH="1">
          <a:off x="14525563" y="2315309"/>
          <a:ext cx="1058802" cy="11180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329715</xdr:colOff>
      <xdr:row>16</xdr:row>
      <xdr:rowOff>153865</xdr:rowOff>
    </xdr:from>
    <xdr:to>
      <xdr:col>20</xdr:col>
      <xdr:colOff>380127</xdr:colOff>
      <xdr:row>17</xdr:row>
      <xdr:rowOff>115765</xdr:rowOff>
    </xdr:to>
    <xdr:sp macro="" textlink="">
      <xdr:nvSpPr>
        <xdr:cNvPr id="507" name="Pentagon 506">
          <a:extLst>
            <a:ext uri="{FF2B5EF4-FFF2-40B4-BE49-F238E27FC236}">
              <a16:creationId xmlns:a16="http://schemas.microsoft.com/office/drawing/2014/main" id="{00000000-0008-0000-0200-0000FB010000}"/>
            </a:ext>
          </a:extLst>
        </xdr:cNvPr>
        <xdr:cNvSpPr/>
      </xdr:nvSpPr>
      <xdr:spPr>
        <a:xfrm rot="5400000">
          <a:off x="14890071" y="3252859"/>
          <a:ext cx="152400" cy="50412"/>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20</xdr:col>
      <xdr:colOff>307727</xdr:colOff>
      <xdr:row>17</xdr:row>
      <xdr:rowOff>43958</xdr:rowOff>
    </xdr:from>
    <xdr:to>
      <xdr:col>20</xdr:col>
      <xdr:colOff>408592</xdr:colOff>
      <xdr:row>17</xdr:row>
      <xdr:rowOff>152589</xdr:rowOff>
    </xdr:to>
    <xdr:grpSp>
      <xdr:nvGrpSpPr>
        <xdr:cNvPr id="508" name="Group 507">
          <a:extLst>
            <a:ext uri="{FF2B5EF4-FFF2-40B4-BE49-F238E27FC236}">
              <a16:creationId xmlns:a16="http://schemas.microsoft.com/office/drawing/2014/main" id="{00000000-0008-0000-0200-0000FC010000}"/>
            </a:ext>
          </a:extLst>
        </xdr:cNvPr>
        <xdr:cNvGrpSpPr/>
      </xdr:nvGrpSpPr>
      <xdr:grpSpPr>
        <a:xfrm rot="5400000">
          <a:off x="16229644" y="2930741"/>
          <a:ext cx="108631" cy="100865"/>
          <a:chOff x="11549063" y="1904999"/>
          <a:chExt cx="214312" cy="198439"/>
        </a:xfrm>
      </xdr:grpSpPr>
      <xdr:cxnSp macro="">
        <xdr:nvCxnSpPr>
          <xdr:cNvPr id="509" name="Straight Connector 508">
            <a:extLst>
              <a:ext uri="{FF2B5EF4-FFF2-40B4-BE49-F238E27FC236}">
                <a16:creationId xmlns:a16="http://schemas.microsoft.com/office/drawing/2014/main" id="{00000000-0008-0000-0200-0000FD01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510" name="Straight Connector 509">
            <a:extLst>
              <a:ext uri="{FF2B5EF4-FFF2-40B4-BE49-F238E27FC236}">
                <a16:creationId xmlns:a16="http://schemas.microsoft.com/office/drawing/2014/main" id="{00000000-0008-0000-0200-0000FE01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511" name="Straight Connector 510">
            <a:extLst>
              <a:ext uri="{FF2B5EF4-FFF2-40B4-BE49-F238E27FC236}">
                <a16:creationId xmlns:a16="http://schemas.microsoft.com/office/drawing/2014/main" id="{00000000-0008-0000-0200-0000FF01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19</xdr:col>
      <xdr:colOff>573054</xdr:colOff>
      <xdr:row>24</xdr:row>
      <xdr:rowOff>126761</xdr:rowOff>
    </xdr:from>
    <xdr:to>
      <xdr:col>20</xdr:col>
      <xdr:colOff>122087</xdr:colOff>
      <xdr:row>27</xdr:row>
      <xdr:rowOff>78087</xdr:rowOff>
    </xdr:to>
    <xdr:grpSp>
      <xdr:nvGrpSpPr>
        <xdr:cNvPr id="512" name="Group 511">
          <a:extLst>
            <a:ext uri="{FF2B5EF4-FFF2-40B4-BE49-F238E27FC236}">
              <a16:creationId xmlns:a16="http://schemas.microsoft.com/office/drawing/2014/main" id="{00000000-0008-0000-0200-000000020000}"/>
            </a:ext>
          </a:extLst>
        </xdr:cNvPr>
        <xdr:cNvGrpSpPr/>
      </xdr:nvGrpSpPr>
      <xdr:grpSpPr>
        <a:xfrm>
          <a:off x="15825754" y="4165361"/>
          <a:ext cx="222133" cy="446626"/>
          <a:chOff x="14882536" y="4740520"/>
          <a:chExt cx="157167" cy="522826"/>
        </a:xfrm>
      </xdr:grpSpPr>
      <xdr:grpSp>
        <xdr:nvGrpSpPr>
          <xdr:cNvPr id="513" name="Group 512">
            <a:extLst>
              <a:ext uri="{FF2B5EF4-FFF2-40B4-BE49-F238E27FC236}">
                <a16:creationId xmlns:a16="http://schemas.microsoft.com/office/drawing/2014/main" id="{00000000-0008-0000-0200-000001020000}"/>
              </a:ext>
            </a:extLst>
          </xdr:cNvPr>
          <xdr:cNvGrpSpPr/>
        </xdr:nvGrpSpPr>
        <xdr:grpSpPr>
          <a:xfrm rot="16200000">
            <a:off x="14848010" y="4975999"/>
            <a:ext cx="226219" cy="157167"/>
            <a:chOff x="5703094" y="3033714"/>
            <a:chExt cx="226219" cy="157167"/>
          </a:xfrm>
        </xdr:grpSpPr>
        <xdr:sp macro="" textlink="">
          <xdr:nvSpPr>
            <xdr:cNvPr id="519" name="Rectangle 518">
              <a:extLst>
                <a:ext uri="{FF2B5EF4-FFF2-40B4-BE49-F238E27FC236}">
                  <a16:creationId xmlns:a16="http://schemas.microsoft.com/office/drawing/2014/main" id="{00000000-0008-0000-0200-000007020000}"/>
                </a:ext>
              </a:extLst>
            </xdr:cNvPr>
            <xdr:cNvSpPr/>
          </xdr:nvSpPr>
          <xdr:spPr>
            <a:xfrm>
              <a:off x="5712618" y="3033714"/>
              <a:ext cx="216695" cy="157162"/>
            </a:xfrm>
            <a:prstGeom prst="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520" name="Straight Connector 519">
              <a:extLst>
                <a:ext uri="{FF2B5EF4-FFF2-40B4-BE49-F238E27FC236}">
                  <a16:creationId xmlns:a16="http://schemas.microsoft.com/office/drawing/2014/main" id="{00000000-0008-0000-0200-000008020000}"/>
                </a:ext>
              </a:extLst>
            </xdr:cNvPr>
            <xdr:cNvCxnSpPr/>
          </xdr:nvCxnSpPr>
          <xdr:spPr>
            <a:xfrm>
              <a:off x="5712617" y="3052765"/>
              <a:ext cx="204789" cy="138116"/>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521" name="Straight Connector 520">
              <a:extLst>
                <a:ext uri="{FF2B5EF4-FFF2-40B4-BE49-F238E27FC236}">
                  <a16:creationId xmlns:a16="http://schemas.microsoft.com/office/drawing/2014/main" id="{00000000-0008-0000-0200-000009020000}"/>
                </a:ext>
              </a:extLst>
            </xdr:cNvPr>
            <xdr:cNvCxnSpPr/>
          </xdr:nvCxnSpPr>
          <xdr:spPr>
            <a:xfrm flipV="1">
              <a:off x="5703094" y="3045625"/>
              <a:ext cx="200025" cy="14525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514" name="Pentagon 513">
            <a:extLst>
              <a:ext uri="{FF2B5EF4-FFF2-40B4-BE49-F238E27FC236}">
                <a16:creationId xmlns:a16="http://schemas.microsoft.com/office/drawing/2014/main" id="{00000000-0008-0000-0200-000002020000}"/>
              </a:ext>
            </a:extLst>
          </xdr:cNvPr>
          <xdr:cNvSpPr/>
        </xdr:nvSpPr>
        <xdr:spPr>
          <a:xfrm rot="16200000">
            <a:off x="14865543" y="4805153"/>
            <a:ext cx="190500" cy="61233"/>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515" name="Group 514">
            <a:extLst>
              <a:ext uri="{FF2B5EF4-FFF2-40B4-BE49-F238E27FC236}">
                <a16:creationId xmlns:a16="http://schemas.microsoft.com/office/drawing/2014/main" id="{00000000-0008-0000-0200-000003020000}"/>
              </a:ext>
            </a:extLst>
          </xdr:cNvPr>
          <xdr:cNvGrpSpPr/>
        </xdr:nvGrpSpPr>
        <xdr:grpSpPr>
          <a:xfrm rot="16200000">
            <a:off x="14905419" y="5159570"/>
            <a:ext cx="108631" cy="98921"/>
            <a:chOff x="11549063" y="1904999"/>
            <a:chExt cx="214312" cy="198439"/>
          </a:xfrm>
        </xdr:grpSpPr>
        <xdr:cxnSp macro="">
          <xdr:nvCxnSpPr>
            <xdr:cNvPr id="516" name="Straight Connector 515">
              <a:extLst>
                <a:ext uri="{FF2B5EF4-FFF2-40B4-BE49-F238E27FC236}">
                  <a16:creationId xmlns:a16="http://schemas.microsoft.com/office/drawing/2014/main" id="{00000000-0008-0000-0200-00000402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517" name="Straight Connector 516">
              <a:extLst>
                <a:ext uri="{FF2B5EF4-FFF2-40B4-BE49-F238E27FC236}">
                  <a16:creationId xmlns:a16="http://schemas.microsoft.com/office/drawing/2014/main" id="{00000000-0008-0000-0200-00000502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518" name="Straight Connector 517">
              <a:extLst>
                <a:ext uri="{FF2B5EF4-FFF2-40B4-BE49-F238E27FC236}">
                  <a16:creationId xmlns:a16="http://schemas.microsoft.com/office/drawing/2014/main" id="{00000000-0008-0000-0200-00000602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25</xdr:col>
      <xdr:colOff>218344</xdr:colOff>
      <xdr:row>33</xdr:row>
      <xdr:rowOff>17393</xdr:rowOff>
    </xdr:from>
    <xdr:to>
      <xdr:col>29</xdr:col>
      <xdr:colOff>481196</xdr:colOff>
      <xdr:row>37</xdr:row>
      <xdr:rowOff>58615</xdr:rowOff>
    </xdr:to>
    <xdr:sp macro="" textlink="">
      <xdr:nvSpPr>
        <xdr:cNvPr id="522" name="TextBox 521">
          <a:extLst>
            <a:ext uri="{FF2B5EF4-FFF2-40B4-BE49-F238E27FC236}">
              <a16:creationId xmlns:a16="http://schemas.microsoft.com/office/drawing/2014/main" id="{00000000-0008-0000-0200-00000A020000}"/>
            </a:ext>
          </a:extLst>
        </xdr:cNvPr>
        <xdr:cNvSpPr txBox="1"/>
      </xdr:nvSpPr>
      <xdr:spPr>
        <a:xfrm>
          <a:off x="17421959" y="5424662"/>
          <a:ext cx="2695391" cy="6859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x1.</a:t>
          </a:r>
          <a:r>
            <a:rPr lang="en-US" sz="1100" baseline="0"/>
            <a:t> </a:t>
          </a:r>
          <a:r>
            <a:rPr lang="en-US" sz="1100"/>
            <a:t>1/4" NPT F/F Extended Life Bronze Check Valve w/ PTFE seals. 400 psi @ 100oF. 47715K21 </a:t>
          </a:r>
        </a:p>
      </xdr:txBody>
    </xdr:sp>
    <xdr:clientData/>
  </xdr:twoCellAnchor>
  <xdr:twoCellAnchor>
    <xdr:from>
      <xdr:col>10</xdr:col>
      <xdr:colOff>109903</xdr:colOff>
      <xdr:row>39</xdr:row>
      <xdr:rowOff>6340</xdr:rowOff>
    </xdr:from>
    <xdr:to>
      <xdr:col>10</xdr:col>
      <xdr:colOff>225564</xdr:colOff>
      <xdr:row>41</xdr:row>
      <xdr:rowOff>38260</xdr:rowOff>
    </xdr:to>
    <xdr:grpSp>
      <xdr:nvGrpSpPr>
        <xdr:cNvPr id="524" name="Group 523">
          <a:extLst>
            <a:ext uri="{FF2B5EF4-FFF2-40B4-BE49-F238E27FC236}">
              <a16:creationId xmlns:a16="http://schemas.microsoft.com/office/drawing/2014/main" id="{00000000-0008-0000-0200-00000C020000}"/>
            </a:ext>
          </a:extLst>
        </xdr:cNvPr>
        <xdr:cNvGrpSpPr/>
      </xdr:nvGrpSpPr>
      <xdr:grpSpPr>
        <a:xfrm rot="10800000">
          <a:off x="8745903" y="6521440"/>
          <a:ext cx="115661" cy="362120"/>
          <a:chOff x="12368892" y="4279450"/>
          <a:chExt cx="115661" cy="442228"/>
        </a:xfrm>
      </xdr:grpSpPr>
      <xdr:sp macro="" textlink="">
        <xdr:nvSpPr>
          <xdr:cNvPr id="525" name="Up Arrow 524">
            <a:extLst>
              <a:ext uri="{FF2B5EF4-FFF2-40B4-BE49-F238E27FC236}">
                <a16:creationId xmlns:a16="http://schemas.microsoft.com/office/drawing/2014/main" id="{00000000-0008-0000-0200-00000D020000}"/>
              </a:ext>
            </a:extLst>
          </xdr:cNvPr>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6" name="Down Arrow 525">
            <a:extLst>
              <a:ext uri="{FF2B5EF4-FFF2-40B4-BE49-F238E27FC236}">
                <a16:creationId xmlns:a16="http://schemas.microsoft.com/office/drawing/2014/main" id="{00000000-0008-0000-0200-00000E020000}"/>
              </a:ext>
            </a:extLst>
          </xdr:cNvPr>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27" name="Group 526">
            <a:extLst>
              <a:ext uri="{FF2B5EF4-FFF2-40B4-BE49-F238E27FC236}">
                <a16:creationId xmlns:a16="http://schemas.microsoft.com/office/drawing/2014/main" id="{00000000-0008-0000-0200-00000F020000}"/>
              </a:ext>
            </a:extLst>
          </xdr:cNvPr>
          <xdr:cNvGrpSpPr/>
        </xdr:nvGrpSpPr>
        <xdr:grpSpPr>
          <a:xfrm rot="16200000">
            <a:off x="12341678" y="4578803"/>
            <a:ext cx="170089" cy="115661"/>
            <a:chOff x="11549063" y="1904999"/>
            <a:chExt cx="214312" cy="198439"/>
          </a:xfrm>
        </xdr:grpSpPr>
        <xdr:cxnSp macro="">
          <xdr:nvCxnSpPr>
            <xdr:cNvPr id="528" name="Straight Connector 527">
              <a:extLst>
                <a:ext uri="{FF2B5EF4-FFF2-40B4-BE49-F238E27FC236}">
                  <a16:creationId xmlns:a16="http://schemas.microsoft.com/office/drawing/2014/main" id="{00000000-0008-0000-0200-000010020000}"/>
                </a:ext>
              </a:extLst>
            </xdr:cNvPr>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529" name="Straight Connector 528">
              <a:extLst>
                <a:ext uri="{FF2B5EF4-FFF2-40B4-BE49-F238E27FC236}">
                  <a16:creationId xmlns:a16="http://schemas.microsoft.com/office/drawing/2014/main" id="{00000000-0008-0000-0200-000011020000}"/>
                </a:ext>
              </a:extLst>
            </xdr:cNvPr>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530" name="Straight Connector 529">
              <a:extLst>
                <a:ext uri="{FF2B5EF4-FFF2-40B4-BE49-F238E27FC236}">
                  <a16:creationId xmlns:a16="http://schemas.microsoft.com/office/drawing/2014/main" id="{00000000-0008-0000-0200-000012020000}"/>
                </a:ext>
              </a:extLst>
            </xdr:cNvPr>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10</xdr:col>
      <xdr:colOff>191545</xdr:colOff>
      <xdr:row>16</xdr:row>
      <xdr:rowOff>158860</xdr:rowOff>
    </xdr:from>
    <xdr:to>
      <xdr:col>11</xdr:col>
      <xdr:colOff>244917</xdr:colOff>
      <xdr:row>40</xdr:row>
      <xdr:rowOff>29421</xdr:rowOff>
    </xdr:to>
    <xdr:cxnSp macro="">
      <xdr:nvCxnSpPr>
        <xdr:cNvPr id="534" name="Straight Arrow Connector 533">
          <a:extLst>
            <a:ext uri="{FF2B5EF4-FFF2-40B4-BE49-F238E27FC236}">
              <a16:creationId xmlns:a16="http://schemas.microsoft.com/office/drawing/2014/main" id="{00000000-0008-0000-0200-000016020000}"/>
            </a:ext>
          </a:extLst>
        </xdr:cNvPr>
        <xdr:cNvCxnSpPr>
          <a:stCxn id="329" idx="3"/>
          <a:endCxn id="525" idx="1"/>
        </xdr:cNvCxnSpPr>
      </xdr:nvCxnSpPr>
      <xdr:spPr>
        <a:xfrm flipH="1">
          <a:off x="7818872" y="2825860"/>
          <a:ext cx="888641" cy="37391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143079</xdr:colOff>
      <xdr:row>40</xdr:row>
      <xdr:rowOff>9051</xdr:rowOff>
    </xdr:from>
    <xdr:to>
      <xdr:col>15</xdr:col>
      <xdr:colOff>511605</xdr:colOff>
      <xdr:row>41</xdr:row>
      <xdr:rowOff>106789</xdr:rowOff>
    </xdr:to>
    <xdr:cxnSp macro="">
      <xdr:nvCxnSpPr>
        <xdr:cNvPr id="545" name="Straight Arrow Connector 544">
          <a:extLst>
            <a:ext uri="{FF2B5EF4-FFF2-40B4-BE49-F238E27FC236}">
              <a16:creationId xmlns:a16="http://schemas.microsoft.com/office/drawing/2014/main" id="{00000000-0008-0000-0200-000021020000}"/>
            </a:ext>
          </a:extLst>
        </xdr:cNvPr>
        <xdr:cNvCxnSpPr>
          <a:stCxn id="546" idx="1"/>
          <a:endCxn id="938" idx="3"/>
        </xdr:cNvCxnSpPr>
      </xdr:nvCxnSpPr>
      <xdr:spPr>
        <a:xfrm flipH="1" flipV="1">
          <a:off x="10049079" y="6544666"/>
          <a:ext cx="1584795" cy="2589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511605</xdr:colOff>
      <xdr:row>39</xdr:row>
      <xdr:rowOff>134997</xdr:rowOff>
    </xdr:from>
    <xdr:to>
      <xdr:col>19</xdr:col>
      <xdr:colOff>551809</xdr:colOff>
      <xdr:row>43</xdr:row>
      <xdr:rowOff>78581</xdr:rowOff>
    </xdr:to>
    <xdr:sp macro="" textlink="">
      <xdr:nvSpPr>
        <xdr:cNvPr id="546" name="TextBox 545">
          <a:extLst>
            <a:ext uri="{FF2B5EF4-FFF2-40B4-BE49-F238E27FC236}">
              <a16:creationId xmlns:a16="http://schemas.microsoft.com/office/drawing/2014/main" id="{00000000-0008-0000-0200-000022020000}"/>
            </a:ext>
          </a:extLst>
        </xdr:cNvPr>
        <xdr:cNvSpPr txBox="1"/>
      </xdr:nvSpPr>
      <xdr:spPr>
        <a:xfrm>
          <a:off x="11633874" y="6509420"/>
          <a:ext cx="2472743" cy="588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1/8" NPT GOX Compatible Quick Connect. Up to 250psi. Product TBD.</a:t>
          </a:r>
          <a:endParaRPr lang="en-US" sz="1100"/>
        </a:p>
      </xdr:txBody>
    </xdr:sp>
    <xdr:clientData/>
  </xdr:twoCellAnchor>
  <xdr:twoCellAnchor>
    <xdr:from>
      <xdr:col>12</xdr:col>
      <xdr:colOff>466222</xdr:colOff>
      <xdr:row>27</xdr:row>
      <xdr:rowOff>135356</xdr:rowOff>
    </xdr:from>
    <xdr:to>
      <xdr:col>12</xdr:col>
      <xdr:colOff>557662</xdr:colOff>
      <xdr:row>27</xdr:row>
      <xdr:rowOff>135356</xdr:rowOff>
    </xdr:to>
    <xdr:cxnSp macro="">
      <xdr:nvCxnSpPr>
        <xdr:cNvPr id="561" name="Straight Connector 560">
          <a:extLst>
            <a:ext uri="{FF2B5EF4-FFF2-40B4-BE49-F238E27FC236}">
              <a16:creationId xmlns:a16="http://schemas.microsoft.com/office/drawing/2014/main" id="{00000000-0008-0000-0200-000031020000}"/>
            </a:ext>
          </a:extLst>
        </xdr:cNvPr>
        <xdr:cNvCxnSpPr/>
      </xdr:nvCxnSpPr>
      <xdr:spPr>
        <a:xfrm flipH="1">
          <a:off x="9545051" y="4556961"/>
          <a:ext cx="91440" cy="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622843</xdr:colOff>
      <xdr:row>32</xdr:row>
      <xdr:rowOff>138697</xdr:rowOff>
    </xdr:from>
    <xdr:to>
      <xdr:col>6</xdr:col>
      <xdr:colOff>720079</xdr:colOff>
      <xdr:row>34</xdr:row>
      <xdr:rowOff>82857</xdr:rowOff>
    </xdr:to>
    <xdr:grpSp>
      <xdr:nvGrpSpPr>
        <xdr:cNvPr id="567" name="Group 566">
          <a:extLst>
            <a:ext uri="{FF2B5EF4-FFF2-40B4-BE49-F238E27FC236}">
              <a16:creationId xmlns:a16="http://schemas.microsoft.com/office/drawing/2014/main" id="{00000000-0008-0000-0200-000037020000}"/>
            </a:ext>
          </a:extLst>
        </xdr:cNvPr>
        <xdr:cNvGrpSpPr/>
      </xdr:nvGrpSpPr>
      <xdr:grpSpPr>
        <a:xfrm>
          <a:off x="5080543" y="5498097"/>
          <a:ext cx="97236" cy="274360"/>
          <a:chOff x="3829962" y="5042694"/>
          <a:chExt cx="97236" cy="265629"/>
        </a:xfrm>
      </xdr:grpSpPr>
      <xdr:sp macro="" textlink="">
        <xdr:nvSpPr>
          <xdr:cNvPr id="562" name="Pentagon 561">
            <a:extLst>
              <a:ext uri="{FF2B5EF4-FFF2-40B4-BE49-F238E27FC236}">
                <a16:creationId xmlns:a16="http://schemas.microsoft.com/office/drawing/2014/main" id="{00000000-0008-0000-0200-000032020000}"/>
              </a:ext>
            </a:extLst>
          </xdr:cNvPr>
          <xdr:cNvSpPr/>
        </xdr:nvSpPr>
        <xdr:spPr>
          <a:xfrm rot="16200000">
            <a:off x="3810000" y="5083969"/>
            <a:ext cx="13335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563" name="Group 562">
            <a:extLst>
              <a:ext uri="{FF2B5EF4-FFF2-40B4-BE49-F238E27FC236}">
                <a16:creationId xmlns:a16="http://schemas.microsoft.com/office/drawing/2014/main" id="{00000000-0008-0000-0200-000033020000}"/>
              </a:ext>
            </a:extLst>
          </xdr:cNvPr>
          <xdr:cNvGrpSpPr/>
        </xdr:nvGrpSpPr>
        <xdr:grpSpPr>
          <a:xfrm rot="16200000">
            <a:off x="3810000" y="5191125"/>
            <a:ext cx="137160" cy="97236"/>
            <a:chOff x="11549063" y="1904999"/>
            <a:chExt cx="214312" cy="198439"/>
          </a:xfrm>
        </xdr:grpSpPr>
        <xdr:cxnSp macro="">
          <xdr:nvCxnSpPr>
            <xdr:cNvPr id="564" name="Straight Connector 563">
              <a:extLst>
                <a:ext uri="{FF2B5EF4-FFF2-40B4-BE49-F238E27FC236}">
                  <a16:creationId xmlns:a16="http://schemas.microsoft.com/office/drawing/2014/main" id="{00000000-0008-0000-0200-00003402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565" name="Straight Connector 564">
              <a:extLst>
                <a:ext uri="{FF2B5EF4-FFF2-40B4-BE49-F238E27FC236}">
                  <a16:creationId xmlns:a16="http://schemas.microsoft.com/office/drawing/2014/main" id="{00000000-0008-0000-0200-00003502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566" name="Straight Connector 565">
              <a:extLst>
                <a:ext uri="{FF2B5EF4-FFF2-40B4-BE49-F238E27FC236}">
                  <a16:creationId xmlns:a16="http://schemas.microsoft.com/office/drawing/2014/main" id="{00000000-0008-0000-0200-00003602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9</xdr:col>
      <xdr:colOff>136097</xdr:colOff>
      <xdr:row>21</xdr:row>
      <xdr:rowOff>18959</xdr:rowOff>
    </xdr:from>
    <xdr:to>
      <xdr:col>11</xdr:col>
      <xdr:colOff>186603</xdr:colOff>
      <xdr:row>23</xdr:row>
      <xdr:rowOff>143059</xdr:rowOff>
    </xdr:to>
    <xdr:sp macro="" textlink="">
      <xdr:nvSpPr>
        <xdr:cNvPr id="568" name="TextBox 567">
          <a:extLst>
            <a:ext uri="{FF2B5EF4-FFF2-40B4-BE49-F238E27FC236}">
              <a16:creationId xmlns:a16="http://schemas.microsoft.com/office/drawing/2014/main" id="{00000000-0008-0000-0200-000038020000}"/>
            </a:ext>
          </a:extLst>
        </xdr:cNvPr>
        <xdr:cNvSpPr txBox="1"/>
      </xdr:nvSpPr>
      <xdr:spPr>
        <a:xfrm>
          <a:off x="6220191" y="3483678"/>
          <a:ext cx="2413896" cy="4455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t>Reducing Busing.</a:t>
          </a:r>
          <a:r>
            <a:rPr lang="en-US" baseline="0"/>
            <a:t> 1/4" M to 1/8" F Brass, 1000psi @ 72F  </a:t>
          </a:r>
          <a:r>
            <a:rPr lang="en-US"/>
            <a:t>50785K61</a:t>
          </a:r>
        </a:p>
      </xdr:txBody>
    </xdr:sp>
    <xdr:clientData/>
  </xdr:twoCellAnchor>
  <xdr:twoCellAnchor>
    <xdr:from>
      <xdr:col>6</xdr:col>
      <xdr:colOff>669556</xdr:colOff>
      <xdr:row>23</xdr:row>
      <xdr:rowOff>143059</xdr:rowOff>
    </xdr:from>
    <xdr:to>
      <xdr:col>9</xdr:col>
      <xdr:colOff>1340985</xdr:colOff>
      <xdr:row>33</xdr:row>
      <xdr:rowOff>111315</xdr:rowOff>
    </xdr:to>
    <xdr:cxnSp macro="">
      <xdr:nvCxnSpPr>
        <xdr:cNvPr id="569" name="Straight Arrow Connector 568">
          <a:extLst>
            <a:ext uri="{FF2B5EF4-FFF2-40B4-BE49-F238E27FC236}">
              <a16:creationId xmlns:a16="http://schemas.microsoft.com/office/drawing/2014/main" id="{00000000-0008-0000-0200-000039020000}"/>
            </a:ext>
          </a:extLst>
        </xdr:cNvPr>
        <xdr:cNvCxnSpPr>
          <a:stCxn id="568" idx="2"/>
          <a:endCxn id="562" idx="1"/>
        </xdr:cNvCxnSpPr>
      </xdr:nvCxnSpPr>
      <xdr:spPr>
        <a:xfrm flipH="1">
          <a:off x="4618768" y="3938405"/>
          <a:ext cx="2825544" cy="158017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622113</xdr:colOff>
      <xdr:row>29</xdr:row>
      <xdr:rowOff>73275</xdr:rowOff>
    </xdr:from>
    <xdr:to>
      <xdr:col>6</xdr:col>
      <xdr:colOff>719349</xdr:colOff>
      <xdr:row>31</xdr:row>
      <xdr:rowOff>17435</xdr:rowOff>
    </xdr:to>
    <xdr:grpSp>
      <xdr:nvGrpSpPr>
        <xdr:cNvPr id="573" name="Group 572">
          <a:extLst>
            <a:ext uri="{FF2B5EF4-FFF2-40B4-BE49-F238E27FC236}">
              <a16:creationId xmlns:a16="http://schemas.microsoft.com/office/drawing/2014/main" id="{00000000-0008-0000-0200-00003D020000}"/>
            </a:ext>
          </a:extLst>
        </xdr:cNvPr>
        <xdr:cNvGrpSpPr/>
      </xdr:nvGrpSpPr>
      <xdr:grpSpPr>
        <a:xfrm rot="10800000">
          <a:off x="5079813" y="4937375"/>
          <a:ext cx="97236" cy="274360"/>
          <a:chOff x="3829962" y="5042694"/>
          <a:chExt cx="97236" cy="265629"/>
        </a:xfrm>
      </xdr:grpSpPr>
      <xdr:sp macro="" textlink="">
        <xdr:nvSpPr>
          <xdr:cNvPr id="574" name="Pentagon 573">
            <a:extLst>
              <a:ext uri="{FF2B5EF4-FFF2-40B4-BE49-F238E27FC236}">
                <a16:creationId xmlns:a16="http://schemas.microsoft.com/office/drawing/2014/main" id="{00000000-0008-0000-0200-00003E020000}"/>
              </a:ext>
            </a:extLst>
          </xdr:cNvPr>
          <xdr:cNvSpPr/>
        </xdr:nvSpPr>
        <xdr:spPr>
          <a:xfrm rot="16200000">
            <a:off x="3810000" y="5083969"/>
            <a:ext cx="13335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575" name="Group 574">
            <a:extLst>
              <a:ext uri="{FF2B5EF4-FFF2-40B4-BE49-F238E27FC236}">
                <a16:creationId xmlns:a16="http://schemas.microsoft.com/office/drawing/2014/main" id="{00000000-0008-0000-0200-00003F020000}"/>
              </a:ext>
            </a:extLst>
          </xdr:cNvPr>
          <xdr:cNvGrpSpPr/>
        </xdr:nvGrpSpPr>
        <xdr:grpSpPr>
          <a:xfrm rot="16200000">
            <a:off x="3810000" y="5191125"/>
            <a:ext cx="137160" cy="97236"/>
            <a:chOff x="11549063" y="1904999"/>
            <a:chExt cx="214312" cy="198439"/>
          </a:xfrm>
        </xdr:grpSpPr>
        <xdr:cxnSp macro="">
          <xdr:nvCxnSpPr>
            <xdr:cNvPr id="576" name="Straight Connector 575">
              <a:extLst>
                <a:ext uri="{FF2B5EF4-FFF2-40B4-BE49-F238E27FC236}">
                  <a16:creationId xmlns:a16="http://schemas.microsoft.com/office/drawing/2014/main" id="{00000000-0008-0000-0200-00004002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577" name="Straight Connector 576">
              <a:extLst>
                <a:ext uri="{FF2B5EF4-FFF2-40B4-BE49-F238E27FC236}">
                  <a16:creationId xmlns:a16="http://schemas.microsoft.com/office/drawing/2014/main" id="{00000000-0008-0000-0200-00004102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578" name="Straight Connector 577">
              <a:extLst>
                <a:ext uri="{FF2B5EF4-FFF2-40B4-BE49-F238E27FC236}">
                  <a16:creationId xmlns:a16="http://schemas.microsoft.com/office/drawing/2014/main" id="{00000000-0008-0000-0200-00004202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6</xdr:col>
      <xdr:colOff>672636</xdr:colOff>
      <xdr:row>23</xdr:row>
      <xdr:rowOff>143059</xdr:rowOff>
    </xdr:from>
    <xdr:to>
      <xdr:col>9</xdr:col>
      <xdr:colOff>1340985</xdr:colOff>
      <xdr:row>30</xdr:row>
      <xdr:rowOff>44818</xdr:rowOff>
    </xdr:to>
    <xdr:cxnSp macro="">
      <xdr:nvCxnSpPr>
        <xdr:cNvPr id="581" name="Straight Arrow Connector 580">
          <a:extLst>
            <a:ext uri="{FF2B5EF4-FFF2-40B4-BE49-F238E27FC236}">
              <a16:creationId xmlns:a16="http://schemas.microsoft.com/office/drawing/2014/main" id="{00000000-0008-0000-0200-000045020000}"/>
            </a:ext>
          </a:extLst>
        </xdr:cNvPr>
        <xdr:cNvCxnSpPr>
          <a:stCxn id="568" idx="2"/>
          <a:endCxn id="574" idx="1"/>
        </xdr:cNvCxnSpPr>
      </xdr:nvCxnSpPr>
      <xdr:spPr>
        <a:xfrm flipH="1">
          <a:off x="4621848" y="3938405"/>
          <a:ext cx="2822464" cy="10301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146536</xdr:colOff>
      <xdr:row>38</xdr:row>
      <xdr:rowOff>139247</xdr:rowOff>
    </xdr:from>
    <xdr:to>
      <xdr:col>10</xdr:col>
      <xdr:colOff>197336</xdr:colOff>
      <xdr:row>39</xdr:row>
      <xdr:rowOff>102146</xdr:rowOff>
    </xdr:to>
    <xdr:sp macro="" textlink="">
      <xdr:nvSpPr>
        <xdr:cNvPr id="605" name="Pentagon 604">
          <a:extLst>
            <a:ext uri="{FF2B5EF4-FFF2-40B4-BE49-F238E27FC236}">
              <a16:creationId xmlns:a16="http://schemas.microsoft.com/office/drawing/2014/main" id="{00000000-0008-0000-0200-00005D020000}"/>
            </a:ext>
          </a:extLst>
        </xdr:cNvPr>
        <xdr:cNvSpPr/>
      </xdr:nvSpPr>
      <xdr:spPr>
        <a:xfrm rot="5400000">
          <a:off x="7737217" y="6389124"/>
          <a:ext cx="124091"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6</xdr:col>
      <xdr:colOff>20523</xdr:colOff>
      <xdr:row>24</xdr:row>
      <xdr:rowOff>21938</xdr:rowOff>
    </xdr:from>
    <xdr:to>
      <xdr:col>15</xdr:col>
      <xdr:colOff>536241</xdr:colOff>
      <xdr:row>26</xdr:row>
      <xdr:rowOff>0</xdr:rowOff>
    </xdr:to>
    <xdr:cxnSp macro="">
      <xdr:nvCxnSpPr>
        <xdr:cNvPr id="610" name="Straight Arrow Connector 609">
          <a:extLst>
            <a:ext uri="{FF2B5EF4-FFF2-40B4-BE49-F238E27FC236}">
              <a16:creationId xmlns:a16="http://schemas.microsoft.com/office/drawing/2014/main" id="{00000000-0008-0000-0200-000062020000}"/>
            </a:ext>
          </a:extLst>
        </xdr:cNvPr>
        <xdr:cNvCxnSpPr>
          <a:stCxn id="48" idx="2"/>
          <a:endCxn id="109" idx="2"/>
        </xdr:cNvCxnSpPr>
      </xdr:nvCxnSpPr>
      <xdr:spPr>
        <a:xfrm flipH="1" flipV="1">
          <a:off x="3969735" y="3978476"/>
          <a:ext cx="7688775" cy="30044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650088</xdr:colOff>
      <xdr:row>34</xdr:row>
      <xdr:rowOff>14659</xdr:rowOff>
    </xdr:from>
    <xdr:to>
      <xdr:col>6</xdr:col>
      <xdr:colOff>700888</xdr:colOff>
      <xdr:row>34</xdr:row>
      <xdr:rowOff>137751</xdr:rowOff>
    </xdr:to>
    <xdr:sp macro="" textlink="">
      <xdr:nvSpPr>
        <xdr:cNvPr id="602" name="Pentagon 601">
          <a:extLst>
            <a:ext uri="{FF2B5EF4-FFF2-40B4-BE49-F238E27FC236}">
              <a16:creationId xmlns:a16="http://schemas.microsoft.com/office/drawing/2014/main" id="{00000000-0008-0000-0200-00005A020000}"/>
            </a:ext>
          </a:extLst>
        </xdr:cNvPr>
        <xdr:cNvSpPr/>
      </xdr:nvSpPr>
      <xdr:spPr>
        <a:xfrm rot="16200000">
          <a:off x="4563154" y="5619267"/>
          <a:ext cx="123092"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6</xdr:col>
      <xdr:colOff>643804</xdr:colOff>
      <xdr:row>38</xdr:row>
      <xdr:rowOff>51293</xdr:rowOff>
    </xdr:from>
    <xdr:to>
      <xdr:col>10</xdr:col>
      <xdr:colOff>193521</xdr:colOff>
      <xdr:row>38</xdr:row>
      <xdr:rowOff>51293</xdr:rowOff>
    </xdr:to>
    <xdr:cxnSp macro="">
      <xdr:nvCxnSpPr>
        <xdr:cNvPr id="604" name="Straight Connector 603">
          <a:extLst>
            <a:ext uri="{FF2B5EF4-FFF2-40B4-BE49-F238E27FC236}">
              <a16:creationId xmlns:a16="http://schemas.microsoft.com/office/drawing/2014/main" id="{00000000-0008-0000-0200-00005C020000}"/>
            </a:ext>
          </a:extLst>
        </xdr:cNvPr>
        <xdr:cNvCxnSpPr/>
      </xdr:nvCxnSpPr>
      <xdr:spPr>
        <a:xfrm flipH="1">
          <a:off x="4593016" y="6264524"/>
          <a:ext cx="3227832" cy="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462861</xdr:colOff>
      <xdr:row>22</xdr:row>
      <xdr:rowOff>105276</xdr:rowOff>
    </xdr:from>
    <xdr:to>
      <xdr:col>6</xdr:col>
      <xdr:colOff>20523</xdr:colOff>
      <xdr:row>25</xdr:row>
      <xdr:rowOff>60232</xdr:rowOff>
    </xdr:to>
    <xdr:grpSp>
      <xdr:nvGrpSpPr>
        <xdr:cNvPr id="832" name="Group 831">
          <a:extLst>
            <a:ext uri="{FF2B5EF4-FFF2-40B4-BE49-F238E27FC236}">
              <a16:creationId xmlns:a16="http://schemas.microsoft.com/office/drawing/2014/main" id="{00000000-0008-0000-0200-000040030000}"/>
            </a:ext>
          </a:extLst>
        </xdr:cNvPr>
        <xdr:cNvGrpSpPr/>
      </xdr:nvGrpSpPr>
      <xdr:grpSpPr>
        <a:xfrm>
          <a:off x="4247461" y="3813676"/>
          <a:ext cx="230762" cy="450256"/>
          <a:chOff x="8251381" y="5915527"/>
          <a:chExt cx="151143" cy="438533"/>
        </a:xfrm>
      </xdr:grpSpPr>
      <xdr:grpSp>
        <xdr:nvGrpSpPr>
          <xdr:cNvPr id="108" name="Group 107">
            <a:extLst>
              <a:ext uri="{FF2B5EF4-FFF2-40B4-BE49-F238E27FC236}">
                <a16:creationId xmlns:a16="http://schemas.microsoft.com/office/drawing/2014/main" id="{00000000-0008-0000-0200-00006C000000}"/>
              </a:ext>
            </a:extLst>
          </xdr:cNvPr>
          <xdr:cNvGrpSpPr/>
        </xdr:nvGrpSpPr>
        <xdr:grpSpPr>
          <a:xfrm rot="16200000">
            <a:off x="8213349" y="6082158"/>
            <a:ext cx="227207" cy="151143"/>
            <a:chOff x="2667000" y="1262063"/>
            <a:chExt cx="428626" cy="226218"/>
          </a:xfrm>
        </xdr:grpSpPr>
        <xdr:sp macro="" textlink="">
          <xdr:nvSpPr>
            <xdr:cNvPr id="109" name="Rectangle 108">
              <a:extLst>
                <a:ext uri="{FF2B5EF4-FFF2-40B4-BE49-F238E27FC236}">
                  <a16:creationId xmlns:a16="http://schemas.microsoft.com/office/drawing/2014/main" id="{00000000-0008-0000-0200-00006D000000}"/>
                </a:ext>
              </a:extLst>
            </xdr:cNvPr>
            <xdr:cNvSpPr/>
          </xdr:nvSpPr>
          <xdr:spPr>
            <a:xfrm>
              <a:off x="2678907" y="1262063"/>
              <a:ext cx="416719" cy="2262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10" name="Straight Arrow Connector 109">
              <a:extLst>
                <a:ext uri="{FF2B5EF4-FFF2-40B4-BE49-F238E27FC236}">
                  <a16:creationId xmlns:a16="http://schemas.microsoft.com/office/drawing/2014/main" id="{00000000-0008-0000-0200-00006E000000}"/>
                </a:ext>
              </a:extLst>
            </xdr:cNvPr>
            <xdr:cNvCxnSpPr/>
          </xdr:nvCxnSpPr>
          <xdr:spPr>
            <a:xfrm flipH="1">
              <a:off x="2667000" y="1363266"/>
              <a:ext cx="416719" cy="1588"/>
            </a:xfrm>
            <a:prstGeom prst="straightConnector1">
              <a:avLst/>
            </a:prstGeom>
            <a:ln w="2667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grpSp>
      <xdr:grpSp>
        <xdr:nvGrpSpPr>
          <xdr:cNvPr id="111" name="Group 110">
            <a:extLst>
              <a:ext uri="{FF2B5EF4-FFF2-40B4-BE49-F238E27FC236}">
                <a16:creationId xmlns:a16="http://schemas.microsoft.com/office/drawing/2014/main" id="{00000000-0008-0000-0200-00006F000000}"/>
              </a:ext>
            </a:extLst>
          </xdr:cNvPr>
          <xdr:cNvGrpSpPr/>
        </xdr:nvGrpSpPr>
        <xdr:grpSpPr>
          <a:xfrm rot="16200000">
            <a:off x="8275635" y="6246852"/>
            <a:ext cx="106309" cy="108108"/>
            <a:chOff x="11549063" y="1904999"/>
            <a:chExt cx="214312" cy="198439"/>
          </a:xfrm>
        </xdr:grpSpPr>
        <xdr:cxnSp macro="">
          <xdr:nvCxnSpPr>
            <xdr:cNvPr id="112" name="Straight Connector 111">
              <a:extLst>
                <a:ext uri="{FF2B5EF4-FFF2-40B4-BE49-F238E27FC236}">
                  <a16:creationId xmlns:a16="http://schemas.microsoft.com/office/drawing/2014/main" id="{00000000-0008-0000-0200-00007000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13" name="Straight Connector 112">
              <a:extLst>
                <a:ext uri="{FF2B5EF4-FFF2-40B4-BE49-F238E27FC236}">
                  <a16:creationId xmlns:a16="http://schemas.microsoft.com/office/drawing/2014/main" id="{00000000-0008-0000-0200-00007100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14" name="Straight Connector 113">
              <a:extLst>
                <a:ext uri="{FF2B5EF4-FFF2-40B4-BE49-F238E27FC236}">
                  <a16:creationId xmlns:a16="http://schemas.microsoft.com/office/drawing/2014/main" id="{00000000-0008-0000-0200-00007200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606" name="Group 605">
            <a:extLst>
              <a:ext uri="{FF2B5EF4-FFF2-40B4-BE49-F238E27FC236}">
                <a16:creationId xmlns:a16="http://schemas.microsoft.com/office/drawing/2014/main" id="{00000000-0008-0000-0200-00005E020000}"/>
              </a:ext>
            </a:extLst>
          </xdr:cNvPr>
          <xdr:cNvGrpSpPr/>
        </xdr:nvGrpSpPr>
        <xdr:grpSpPr>
          <a:xfrm rot="5400000">
            <a:off x="8269665" y="5914628"/>
            <a:ext cx="106309" cy="108108"/>
            <a:chOff x="11549063" y="1904999"/>
            <a:chExt cx="214312" cy="198439"/>
          </a:xfrm>
        </xdr:grpSpPr>
        <xdr:cxnSp macro="">
          <xdr:nvCxnSpPr>
            <xdr:cNvPr id="607" name="Straight Connector 606">
              <a:extLst>
                <a:ext uri="{FF2B5EF4-FFF2-40B4-BE49-F238E27FC236}">
                  <a16:creationId xmlns:a16="http://schemas.microsoft.com/office/drawing/2014/main" id="{00000000-0008-0000-0200-00005F02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608" name="Straight Connector 607">
              <a:extLst>
                <a:ext uri="{FF2B5EF4-FFF2-40B4-BE49-F238E27FC236}">
                  <a16:creationId xmlns:a16="http://schemas.microsoft.com/office/drawing/2014/main" id="{00000000-0008-0000-0200-00006002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609" name="Straight Connector 608">
              <a:extLst>
                <a:ext uri="{FF2B5EF4-FFF2-40B4-BE49-F238E27FC236}">
                  <a16:creationId xmlns:a16="http://schemas.microsoft.com/office/drawing/2014/main" id="{00000000-0008-0000-0200-00006102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10</xdr:col>
      <xdr:colOff>146536</xdr:colOff>
      <xdr:row>36</xdr:row>
      <xdr:rowOff>9357</xdr:rowOff>
    </xdr:from>
    <xdr:to>
      <xdr:col>13</xdr:col>
      <xdr:colOff>254113</xdr:colOff>
      <xdr:row>39</xdr:row>
      <xdr:rowOff>27629</xdr:rowOff>
    </xdr:to>
    <xdr:cxnSp macro="">
      <xdr:nvCxnSpPr>
        <xdr:cNvPr id="615" name="Straight Arrow Connector 614">
          <a:extLst>
            <a:ext uri="{FF2B5EF4-FFF2-40B4-BE49-F238E27FC236}">
              <a16:creationId xmlns:a16="http://schemas.microsoft.com/office/drawing/2014/main" id="{00000000-0008-0000-0200-000067020000}"/>
            </a:ext>
          </a:extLst>
        </xdr:cNvPr>
        <xdr:cNvCxnSpPr>
          <a:stCxn id="89" idx="2"/>
          <a:endCxn id="605" idx="2"/>
        </xdr:cNvCxnSpPr>
      </xdr:nvCxnSpPr>
      <xdr:spPr>
        <a:xfrm flipH="1">
          <a:off x="7754630" y="5885091"/>
          <a:ext cx="2393577" cy="5004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14</xdr:row>
      <xdr:rowOff>0</xdr:rowOff>
    </xdr:from>
    <xdr:to>
      <xdr:col>41</xdr:col>
      <xdr:colOff>202406</xdr:colOff>
      <xdr:row>14</xdr:row>
      <xdr:rowOff>83344</xdr:rowOff>
    </xdr:to>
    <xdr:sp macro="" textlink="">
      <xdr:nvSpPr>
        <xdr:cNvPr id="675" name="Pentagon 674">
          <a:extLst>
            <a:ext uri="{FF2B5EF4-FFF2-40B4-BE49-F238E27FC236}">
              <a16:creationId xmlns:a16="http://schemas.microsoft.com/office/drawing/2014/main" id="{00000000-0008-0000-0200-0000A3020000}"/>
            </a:ext>
          </a:extLst>
        </xdr:cNvPr>
        <xdr:cNvSpPr/>
      </xdr:nvSpPr>
      <xdr:spPr>
        <a:xfrm>
          <a:off x="27024724" y="2377966"/>
          <a:ext cx="202406" cy="83344"/>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35</xdr:col>
      <xdr:colOff>223344</xdr:colOff>
      <xdr:row>15</xdr:row>
      <xdr:rowOff>151086</xdr:rowOff>
    </xdr:from>
    <xdr:to>
      <xdr:col>35</xdr:col>
      <xdr:colOff>395780</xdr:colOff>
      <xdr:row>18</xdr:row>
      <xdr:rowOff>145832</xdr:rowOff>
    </xdr:to>
    <xdr:grpSp>
      <xdr:nvGrpSpPr>
        <xdr:cNvPr id="682" name="Group 681">
          <a:extLst>
            <a:ext uri="{FF2B5EF4-FFF2-40B4-BE49-F238E27FC236}">
              <a16:creationId xmlns:a16="http://schemas.microsoft.com/office/drawing/2014/main" id="{00000000-0008-0000-0200-0000AA020000}"/>
            </a:ext>
          </a:extLst>
        </xdr:cNvPr>
        <xdr:cNvGrpSpPr/>
      </xdr:nvGrpSpPr>
      <xdr:grpSpPr>
        <a:xfrm>
          <a:off x="26245644" y="2703786"/>
          <a:ext cx="172436" cy="490046"/>
          <a:chOff x="23582585" y="2693276"/>
          <a:chExt cx="172436" cy="487418"/>
        </a:xfrm>
      </xdr:grpSpPr>
      <xdr:grpSp>
        <xdr:nvGrpSpPr>
          <xdr:cNvPr id="649" name="Group 648">
            <a:extLst>
              <a:ext uri="{FF2B5EF4-FFF2-40B4-BE49-F238E27FC236}">
                <a16:creationId xmlns:a16="http://schemas.microsoft.com/office/drawing/2014/main" id="{00000000-0008-0000-0200-000089020000}"/>
              </a:ext>
            </a:extLst>
          </xdr:cNvPr>
          <xdr:cNvGrpSpPr/>
        </xdr:nvGrpSpPr>
        <xdr:grpSpPr>
          <a:xfrm>
            <a:off x="23582585" y="2839468"/>
            <a:ext cx="172436" cy="193776"/>
            <a:chOff x="5703094" y="3033714"/>
            <a:chExt cx="226219" cy="157167"/>
          </a:xfrm>
          <a:solidFill>
            <a:srgbClr val="A5D773"/>
          </a:solidFill>
        </xdr:grpSpPr>
        <xdr:sp macro="" textlink="">
          <xdr:nvSpPr>
            <xdr:cNvPr id="658" name="Rectangle 657">
              <a:extLst>
                <a:ext uri="{FF2B5EF4-FFF2-40B4-BE49-F238E27FC236}">
                  <a16:creationId xmlns:a16="http://schemas.microsoft.com/office/drawing/2014/main" id="{00000000-0008-0000-0200-000092020000}"/>
                </a:ext>
              </a:extLst>
            </xdr:cNvPr>
            <xdr:cNvSpPr/>
          </xdr:nvSpPr>
          <xdr:spPr>
            <a:xfrm>
              <a:off x="5712618" y="3033714"/>
              <a:ext cx="216695" cy="157162"/>
            </a:xfrm>
            <a:prstGeom prst="rect">
              <a:avLst/>
            </a:prstGeom>
            <a:grp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659" name="Straight Connector 658">
              <a:extLst>
                <a:ext uri="{FF2B5EF4-FFF2-40B4-BE49-F238E27FC236}">
                  <a16:creationId xmlns:a16="http://schemas.microsoft.com/office/drawing/2014/main" id="{00000000-0008-0000-0200-000093020000}"/>
                </a:ext>
              </a:extLst>
            </xdr:cNvPr>
            <xdr:cNvCxnSpPr/>
          </xdr:nvCxnSpPr>
          <xdr:spPr>
            <a:xfrm>
              <a:off x="5712617" y="3052765"/>
              <a:ext cx="204789" cy="138116"/>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660" name="Straight Connector 659">
              <a:extLst>
                <a:ext uri="{FF2B5EF4-FFF2-40B4-BE49-F238E27FC236}">
                  <a16:creationId xmlns:a16="http://schemas.microsoft.com/office/drawing/2014/main" id="{00000000-0008-0000-0200-000094020000}"/>
                </a:ext>
              </a:extLst>
            </xdr:cNvPr>
            <xdr:cNvCxnSpPr/>
          </xdr:nvCxnSpPr>
          <xdr:spPr>
            <a:xfrm flipV="1">
              <a:off x="5703094" y="3045625"/>
              <a:ext cx="200025" cy="145250"/>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680" name="Pentagon 679">
            <a:extLst>
              <a:ext uri="{FF2B5EF4-FFF2-40B4-BE49-F238E27FC236}">
                <a16:creationId xmlns:a16="http://schemas.microsoft.com/office/drawing/2014/main" id="{00000000-0008-0000-0200-0000A8020000}"/>
              </a:ext>
            </a:extLst>
          </xdr:cNvPr>
          <xdr:cNvSpPr/>
        </xdr:nvSpPr>
        <xdr:spPr>
          <a:xfrm rot="5400000">
            <a:off x="23603851" y="3092426"/>
            <a:ext cx="126124" cy="50412"/>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681" name="Pentagon 680">
            <a:extLst>
              <a:ext uri="{FF2B5EF4-FFF2-40B4-BE49-F238E27FC236}">
                <a16:creationId xmlns:a16="http://schemas.microsoft.com/office/drawing/2014/main" id="{00000000-0008-0000-0200-0000A9020000}"/>
              </a:ext>
            </a:extLst>
          </xdr:cNvPr>
          <xdr:cNvSpPr/>
        </xdr:nvSpPr>
        <xdr:spPr>
          <a:xfrm rot="16200000">
            <a:off x="23597282" y="2731132"/>
            <a:ext cx="126124" cy="50412"/>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4</xdr:col>
      <xdr:colOff>428475</xdr:colOff>
      <xdr:row>30</xdr:row>
      <xdr:rowOff>93833</xdr:rowOff>
    </xdr:from>
    <xdr:to>
      <xdr:col>4</xdr:col>
      <xdr:colOff>600911</xdr:colOff>
      <xdr:row>33</xdr:row>
      <xdr:rowOff>88578</xdr:rowOff>
    </xdr:to>
    <xdr:grpSp>
      <xdr:nvGrpSpPr>
        <xdr:cNvPr id="683" name="Group 682">
          <a:extLst>
            <a:ext uri="{FF2B5EF4-FFF2-40B4-BE49-F238E27FC236}">
              <a16:creationId xmlns:a16="http://schemas.microsoft.com/office/drawing/2014/main" id="{00000000-0008-0000-0200-0000AB020000}"/>
            </a:ext>
          </a:extLst>
        </xdr:cNvPr>
        <xdr:cNvGrpSpPr/>
      </xdr:nvGrpSpPr>
      <xdr:grpSpPr>
        <a:xfrm>
          <a:off x="3374875" y="5123033"/>
          <a:ext cx="172436" cy="490045"/>
          <a:chOff x="23582585" y="2693276"/>
          <a:chExt cx="172436" cy="487418"/>
        </a:xfrm>
      </xdr:grpSpPr>
      <xdr:grpSp>
        <xdr:nvGrpSpPr>
          <xdr:cNvPr id="684" name="Group 683">
            <a:extLst>
              <a:ext uri="{FF2B5EF4-FFF2-40B4-BE49-F238E27FC236}">
                <a16:creationId xmlns:a16="http://schemas.microsoft.com/office/drawing/2014/main" id="{00000000-0008-0000-0200-0000AC020000}"/>
              </a:ext>
            </a:extLst>
          </xdr:cNvPr>
          <xdr:cNvGrpSpPr/>
        </xdr:nvGrpSpPr>
        <xdr:grpSpPr>
          <a:xfrm>
            <a:off x="23582585" y="2839468"/>
            <a:ext cx="172436" cy="193776"/>
            <a:chOff x="5703094" y="3033714"/>
            <a:chExt cx="226219" cy="157167"/>
          </a:xfrm>
          <a:solidFill>
            <a:srgbClr val="A5D773"/>
          </a:solidFill>
        </xdr:grpSpPr>
        <xdr:sp macro="" textlink="">
          <xdr:nvSpPr>
            <xdr:cNvPr id="687" name="Rectangle 686">
              <a:extLst>
                <a:ext uri="{FF2B5EF4-FFF2-40B4-BE49-F238E27FC236}">
                  <a16:creationId xmlns:a16="http://schemas.microsoft.com/office/drawing/2014/main" id="{00000000-0008-0000-0200-0000AF020000}"/>
                </a:ext>
              </a:extLst>
            </xdr:cNvPr>
            <xdr:cNvSpPr/>
          </xdr:nvSpPr>
          <xdr:spPr>
            <a:xfrm>
              <a:off x="5712618" y="3033714"/>
              <a:ext cx="216695" cy="157162"/>
            </a:xfrm>
            <a:prstGeom prst="rect">
              <a:avLst/>
            </a:prstGeom>
            <a:grp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688" name="Straight Connector 687">
              <a:extLst>
                <a:ext uri="{FF2B5EF4-FFF2-40B4-BE49-F238E27FC236}">
                  <a16:creationId xmlns:a16="http://schemas.microsoft.com/office/drawing/2014/main" id="{00000000-0008-0000-0200-0000B0020000}"/>
                </a:ext>
              </a:extLst>
            </xdr:cNvPr>
            <xdr:cNvCxnSpPr/>
          </xdr:nvCxnSpPr>
          <xdr:spPr>
            <a:xfrm>
              <a:off x="5712617" y="3052765"/>
              <a:ext cx="204789" cy="138116"/>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689" name="Straight Connector 688">
              <a:extLst>
                <a:ext uri="{FF2B5EF4-FFF2-40B4-BE49-F238E27FC236}">
                  <a16:creationId xmlns:a16="http://schemas.microsoft.com/office/drawing/2014/main" id="{00000000-0008-0000-0200-0000B1020000}"/>
                </a:ext>
              </a:extLst>
            </xdr:cNvPr>
            <xdr:cNvCxnSpPr/>
          </xdr:nvCxnSpPr>
          <xdr:spPr>
            <a:xfrm flipV="1">
              <a:off x="5703094" y="3045625"/>
              <a:ext cx="200025" cy="145250"/>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685" name="Pentagon 684">
            <a:extLst>
              <a:ext uri="{FF2B5EF4-FFF2-40B4-BE49-F238E27FC236}">
                <a16:creationId xmlns:a16="http://schemas.microsoft.com/office/drawing/2014/main" id="{00000000-0008-0000-0200-0000AD020000}"/>
              </a:ext>
            </a:extLst>
          </xdr:cNvPr>
          <xdr:cNvSpPr/>
        </xdr:nvSpPr>
        <xdr:spPr>
          <a:xfrm rot="5400000">
            <a:off x="23603851" y="3092426"/>
            <a:ext cx="126124" cy="50412"/>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686" name="Pentagon 685">
            <a:extLst>
              <a:ext uri="{FF2B5EF4-FFF2-40B4-BE49-F238E27FC236}">
                <a16:creationId xmlns:a16="http://schemas.microsoft.com/office/drawing/2014/main" id="{00000000-0008-0000-0200-0000AE020000}"/>
              </a:ext>
            </a:extLst>
          </xdr:cNvPr>
          <xdr:cNvSpPr/>
        </xdr:nvSpPr>
        <xdr:spPr>
          <a:xfrm rot="16200000">
            <a:off x="23597282" y="2731132"/>
            <a:ext cx="126124" cy="50412"/>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4</xdr:col>
      <xdr:colOff>450066</xdr:colOff>
      <xdr:row>29</xdr:row>
      <xdr:rowOff>85816</xdr:rowOff>
    </xdr:from>
    <xdr:to>
      <xdr:col>4</xdr:col>
      <xdr:colOff>582511</xdr:colOff>
      <xdr:row>30</xdr:row>
      <xdr:rowOff>159370</xdr:rowOff>
    </xdr:to>
    <xdr:grpSp>
      <xdr:nvGrpSpPr>
        <xdr:cNvPr id="801" name="Group 800">
          <a:extLst>
            <a:ext uri="{FF2B5EF4-FFF2-40B4-BE49-F238E27FC236}">
              <a16:creationId xmlns:a16="http://schemas.microsoft.com/office/drawing/2014/main" id="{00000000-0008-0000-0200-000021030000}"/>
            </a:ext>
          </a:extLst>
        </xdr:cNvPr>
        <xdr:cNvGrpSpPr/>
      </xdr:nvGrpSpPr>
      <xdr:grpSpPr>
        <a:xfrm>
          <a:off x="3396466" y="4949916"/>
          <a:ext cx="132445" cy="238654"/>
          <a:chOff x="3541190" y="4583497"/>
          <a:chExt cx="132445" cy="238933"/>
        </a:xfrm>
      </xdr:grpSpPr>
      <xdr:grpSp>
        <xdr:nvGrpSpPr>
          <xdr:cNvPr id="690" name="Group 689">
            <a:extLst>
              <a:ext uri="{FF2B5EF4-FFF2-40B4-BE49-F238E27FC236}">
                <a16:creationId xmlns:a16="http://schemas.microsoft.com/office/drawing/2014/main" id="{00000000-0008-0000-0200-0000B2020000}"/>
              </a:ext>
            </a:extLst>
          </xdr:cNvPr>
          <xdr:cNvGrpSpPr/>
        </xdr:nvGrpSpPr>
        <xdr:grpSpPr>
          <a:xfrm rot="16200000">
            <a:off x="3555508" y="4704303"/>
            <a:ext cx="109253" cy="127001"/>
            <a:chOff x="11549063" y="1904999"/>
            <a:chExt cx="214312" cy="198439"/>
          </a:xfrm>
        </xdr:grpSpPr>
        <xdr:cxnSp macro="">
          <xdr:nvCxnSpPr>
            <xdr:cNvPr id="691" name="Straight Connector 690">
              <a:extLst>
                <a:ext uri="{FF2B5EF4-FFF2-40B4-BE49-F238E27FC236}">
                  <a16:creationId xmlns:a16="http://schemas.microsoft.com/office/drawing/2014/main" id="{00000000-0008-0000-0200-0000B302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692" name="Straight Connector 691">
              <a:extLst>
                <a:ext uri="{FF2B5EF4-FFF2-40B4-BE49-F238E27FC236}">
                  <a16:creationId xmlns:a16="http://schemas.microsoft.com/office/drawing/2014/main" id="{00000000-0008-0000-0200-0000B402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693" name="Straight Connector 692">
              <a:extLst>
                <a:ext uri="{FF2B5EF4-FFF2-40B4-BE49-F238E27FC236}">
                  <a16:creationId xmlns:a16="http://schemas.microsoft.com/office/drawing/2014/main" id="{00000000-0008-0000-0200-0000B502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694" name="Group 693">
            <a:extLst>
              <a:ext uri="{FF2B5EF4-FFF2-40B4-BE49-F238E27FC236}">
                <a16:creationId xmlns:a16="http://schemas.microsoft.com/office/drawing/2014/main" id="{00000000-0008-0000-0200-0000B6020000}"/>
              </a:ext>
            </a:extLst>
          </xdr:cNvPr>
          <xdr:cNvGrpSpPr/>
        </xdr:nvGrpSpPr>
        <xdr:grpSpPr>
          <a:xfrm rot="5400000">
            <a:off x="3550064" y="4574623"/>
            <a:ext cx="109253" cy="127001"/>
            <a:chOff x="11549063" y="1904999"/>
            <a:chExt cx="214312" cy="198439"/>
          </a:xfrm>
        </xdr:grpSpPr>
        <xdr:cxnSp macro="">
          <xdr:nvCxnSpPr>
            <xdr:cNvPr id="695" name="Straight Connector 694">
              <a:extLst>
                <a:ext uri="{FF2B5EF4-FFF2-40B4-BE49-F238E27FC236}">
                  <a16:creationId xmlns:a16="http://schemas.microsoft.com/office/drawing/2014/main" id="{00000000-0008-0000-0200-0000B702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696" name="Straight Connector 695">
              <a:extLst>
                <a:ext uri="{FF2B5EF4-FFF2-40B4-BE49-F238E27FC236}">
                  <a16:creationId xmlns:a16="http://schemas.microsoft.com/office/drawing/2014/main" id="{00000000-0008-0000-0200-0000B802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697" name="Straight Connector 696">
              <a:extLst>
                <a:ext uri="{FF2B5EF4-FFF2-40B4-BE49-F238E27FC236}">
                  <a16:creationId xmlns:a16="http://schemas.microsoft.com/office/drawing/2014/main" id="{00000000-0008-0000-0200-0000B902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6</xdr:col>
      <xdr:colOff>749299</xdr:colOff>
      <xdr:row>44</xdr:row>
      <xdr:rowOff>14410</xdr:rowOff>
    </xdr:from>
    <xdr:to>
      <xdr:col>9</xdr:col>
      <xdr:colOff>1019247</xdr:colOff>
      <xdr:row>46</xdr:row>
      <xdr:rowOff>141267</xdr:rowOff>
    </xdr:to>
    <xdr:sp macro="" textlink="">
      <xdr:nvSpPr>
        <xdr:cNvPr id="699" name="TextBox 698">
          <a:extLst>
            <a:ext uri="{FF2B5EF4-FFF2-40B4-BE49-F238E27FC236}">
              <a16:creationId xmlns:a16="http://schemas.microsoft.com/office/drawing/2014/main" id="{00000000-0008-0000-0200-0000BB020000}"/>
            </a:ext>
          </a:extLst>
        </xdr:cNvPr>
        <xdr:cNvSpPr txBox="1"/>
      </xdr:nvSpPr>
      <xdr:spPr>
        <a:xfrm>
          <a:off x="4698511" y="7194795"/>
          <a:ext cx="2424063" cy="4492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t>Qarter turn 1/4" M</a:t>
          </a:r>
          <a:r>
            <a:rPr lang="en-US" baseline="0"/>
            <a:t> NPT Plug Valve (Swagelok) </a:t>
          </a:r>
          <a:r>
            <a:rPr lang="en-US"/>
            <a:t>SS-4P4T2</a:t>
          </a:r>
        </a:p>
      </xdr:txBody>
    </xdr:sp>
    <xdr:clientData/>
  </xdr:twoCellAnchor>
  <xdr:twoCellAnchor>
    <xdr:from>
      <xdr:col>4</xdr:col>
      <xdr:colOff>435735</xdr:colOff>
      <xdr:row>32</xdr:row>
      <xdr:rowOff>9620</xdr:rowOff>
    </xdr:from>
    <xdr:to>
      <xdr:col>8</xdr:col>
      <xdr:colOff>417548</xdr:colOff>
      <xdr:row>44</xdr:row>
      <xdr:rowOff>14410</xdr:rowOff>
    </xdr:to>
    <xdr:cxnSp macro="">
      <xdr:nvCxnSpPr>
        <xdr:cNvPr id="700" name="Straight Arrow Connector 699">
          <a:extLst>
            <a:ext uri="{FF2B5EF4-FFF2-40B4-BE49-F238E27FC236}">
              <a16:creationId xmlns:a16="http://schemas.microsoft.com/office/drawing/2014/main" id="{00000000-0008-0000-0200-0000BC020000}"/>
            </a:ext>
          </a:extLst>
        </xdr:cNvPr>
        <xdr:cNvCxnSpPr>
          <a:stCxn id="699" idx="0"/>
          <a:endCxn id="687" idx="1"/>
        </xdr:cNvCxnSpPr>
      </xdr:nvCxnSpPr>
      <xdr:spPr>
        <a:xfrm flipH="1" flipV="1">
          <a:off x="3055110" y="5276945"/>
          <a:ext cx="2848838" cy="19478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459399</xdr:colOff>
      <xdr:row>4</xdr:row>
      <xdr:rowOff>141611</xdr:rowOff>
    </xdr:from>
    <xdr:to>
      <xdr:col>6</xdr:col>
      <xdr:colOff>226138</xdr:colOff>
      <xdr:row>7</xdr:row>
      <xdr:rowOff>104976</xdr:rowOff>
    </xdr:to>
    <xdr:sp macro="" textlink="">
      <xdr:nvSpPr>
        <xdr:cNvPr id="738" name="TextBox 737">
          <a:extLst>
            <a:ext uri="{FF2B5EF4-FFF2-40B4-BE49-F238E27FC236}">
              <a16:creationId xmlns:a16="http://schemas.microsoft.com/office/drawing/2014/main" id="{00000000-0008-0000-0200-0000E2020000}"/>
            </a:ext>
          </a:extLst>
        </xdr:cNvPr>
        <xdr:cNvSpPr txBox="1"/>
      </xdr:nvSpPr>
      <xdr:spPr>
        <a:xfrm>
          <a:off x="1756264" y="874303"/>
          <a:ext cx="2419086" cy="4469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eaLnBrk="1" fontAlgn="auto" latinLnBrk="0" hangingPunct="1"/>
          <a:r>
            <a:rPr lang="en-US" sz="1100">
              <a:solidFill>
                <a:schemeClr val="dk1"/>
              </a:solidFill>
              <a:effectLst/>
              <a:latin typeface="+mn-lt"/>
              <a:ea typeface="+mn-ea"/>
              <a:cs typeface="+mn-cs"/>
            </a:rPr>
            <a:t>Mcmaster.</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Brass 1/8"NPT M/M</a:t>
          </a:r>
          <a:r>
            <a:rPr lang="en-US" sz="1100" baseline="0">
              <a:solidFill>
                <a:schemeClr val="dk1"/>
              </a:solidFill>
              <a:effectLst/>
              <a:latin typeface="+mn-lt"/>
              <a:ea typeface="+mn-ea"/>
              <a:cs typeface="+mn-cs"/>
            </a:rPr>
            <a:t> Ball Valve </a:t>
          </a:r>
          <a:r>
            <a:rPr lang="en-US" sz="1100">
              <a:solidFill>
                <a:schemeClr val="dk1"/>
              </a:solidFill>
              <a:effectLst/>
              <a:latin typeface="+mn-lt"/>
              <a:ea typeface="+mn-ea"/>
              <a:cs typeface="+mn-cs"/>
            </a:rPr>
            <a:t>1000 psi @ 70° F 4112T51</a:t>
          </a:r>
          <a:endParaRPr lang="en-US">
            <a:effectLst/>
          </a:endParaRPr>
        </a:p>
      </xdr:txBody>
    </xdr:sp>
    <xdr:clientData/>
  </xdr:twoCellAnchor>
  <xdr:twoCellAnchor>
    <xdr:from>
      <xdr:col>6</xdr:col>
      <xdr:colOff>226138</xdr:colOff>
      <xdr:row>6</xdr:row>
      <xdr:rowOff>42697</xdr:rowOff>
    </xdr:from>
    <xdr:to>
      <xdr:col>6</xdr:col>
      <xdr:colOff>739401</xdr:colOff>
      <xdr:row>28</xdr:row>
      <xdr:rowOff>52255</xdr:rowOff>
    </xdr:to>
    <xdr:cxnSp macro="">
      <xdr:nvCxnSpPr>
        <xdr:cNvPr id="742" name="Straight Arrow Connector 741">
          <a:extLst>
            <a:ext uri="{FF2B5EF4-FFF2-40B4-BE49-F238E27FC236}">
              <a16:creationId xmlns:a16="http://schemas.microsoft.com/office/drawing/2014/main" id="{00000000-0008-0000-0200-0000E6020000}"/>
            </a:ext>
          </a:extLst>
        </xdr:cNvPr>
        <xdr:cNvCxnSpPr>
          <a:stCxn id="738" idx="3"/>
          <a:endCxn id="735" idx="2"/>
        </xdr:cNvCxnSpPr>
      </xdr:nvCxnSpPr>
      <xdr:spPr>
        <a:xfrm>
          <a:off x="4175350" y="1097774"/>
          <a:ext cx="513263" cy="35557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456223</xdr:colOff>
      <xdr:row>19</xdr:row>
      <xdr:rowOff>105787</xdr:rowOff>
    </xdr:from>
    <xdr:to>
      <xdr:col>5</xdr:col>
      <xdr:colOff>592438</xdr:colOff>
      <xdr:row>22</xdr:row>
      <xdr:rowOff>61237</xdr:rowOff>
    </xdr:to>
    <xdr:grpSp>
      <xdr:nvGrpSpPr>
        <xdr:cNvPr id="747" name="Group 746">
          <a:extLst>
            <a:ext uri="{FF2B5EF4-FFF2-40B4-BE49-F238E27FC236}">
              <a16:creationId xmlns:a16="http://schemas.microsoft.com/office/drawing/2014/main" id="{00000000-0008-0000-0200-0000EB020000}"/>
            </a:ext>
          </a:extLst>
        </xdr:cNvPr>
        <xdr:cNvGrpSpPr/>
      </xdr:nvGrpSpPr>
      <xdr:grpSpPr>
        <a:xfrm>
          <a:off x="4240823" y="3318887"/>
          <a:ext cx="136215" cy="450750"/>
          <a:chOff x="5047494" y="4484160"/>
          <a:chExt cx="142875" cy="530858"/>
        </a:xfrm>
      </xdr:grpSpPr>
      <xdr:sp macro="" textlink="">
        <xdr:nvSpPr>
          <xdr:cNvPr id="748" name="Rectangle 747">
            <a:extLst>
              <a:ext uri="{FF2B5EF4-FFF2-40B4-BE49-F238E27FC236}">
                <a16:creationId xmlns:a16="http://schemas.microsoft.com/office/drawing/2014/main" id="{00000000-0008-0000-0200-0000EC020000}"/>
              </a:ext>
            </a:extLst>
          </xdr:cNvPr>
          <xdr:cNvSpPr/>
        </xdr:nvSpPr>
        <xdr:spPr>
          <a:xfrm>
            <a:off x="5047494" y="4585608"/>
            <a:ext cx="142875" cy="319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49" name="Oval 748">
            <a:extLst>
              <a:ext uri="{FF2B5EF4-FFF2-40B4-BE49-F238E27FC236}">
                <a16:creationId xmlns:a16="http://schemas.microsoft.com/office/drawing/2014/main" id="{00000000-0008-0000-0200-0000ED020000}"/>
              </a:ext>
            </a:extLst>
          </xdr:cNvPr>
          <xdr:cNvSpPr/>
        </xdr:nvSpPr>
        <xdr:spPr>
          <a:xfrm>
            <a:off x="5087559" y="4677078"/>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50" name="Oval 749">
            <a:extLst>
              <a:ext uri="{FF2B5EF4-FFF2-40B4-BE49-F238E27FC236}">
                <a16:creationId xmlns:a16="http://schemas.microsoft.com/office/drawing/2014/main" id="{00000000-0008-0000-0200-0000EE020000}"/>
              </a:ext>
            </a:extLst>
          </xdr:cNvPr>
          <xdr:cNvSpPr/>
        </xdr:nvSpPr>
        <xdr:spPr>
          <a:xfrm>
            <a:off x="5085291" y="4820707"/>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51" name="Oval 750">
            <a:extLst>
              <a:ext uri="{FF2B5EF4-FFF2-40B4-BE49-F238E27FC236}">
                <a16:creationId xmlns:a16="http://schemas.microsoft.com/office/drawing/2014/main" id="{00000000-0008-0000-0200-0000EF020000}"/>
              </a:ext>
            </a:extLst>
          </xdr:cNvPr>
          <xdr:cNvSpPr/>
        </xdr:nvSpPr>
        <xdr:spPr>
          <a:xfrm>
            <a:off x="5122333" y="4773084"/>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52" name="Oval 751">
            <a:extLst>
              <a:ext uri="{FF2B5EF4-FFF2-40B4-BE49-F238E27FC236}">
                <a16:creationId xmlns:a16="http://schemas.microsoft.com/office/drawing/2014/main" id="{00000000-0008-0000-0200-0000F0020000}"/>
              </a:ext>
            </a:extLst>
          </xdr:cNvPr>
          <xdr:cNvSpPr/>
        </xdr:nvSpPr>
        <xdr:spPr>
          <a:xfrm>
            <a:off x="5137150" y="4846108"/>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53" name="Oval 752">
            <a:extLst>
              <a:ext uri="{FF2B5EF4-FFF2-40B4-BE49-F238E27FC236}">
                <a16:creationId xmlns:a16="http://schemas.microsoft.com/office/drawing/2014/main" id="{00000000-0008-0000-0200-0000F1020000}"/>
              </a:ext>
            </a:extLst>
          </xdr:cNvPr>
          <xdr:cNvSpPr/>
        </xdr:nvSpPr>
        <xdr:spPr>
          <a:xfrm>
            <a:off x="5077883" y="4739217"/>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54" name="Oval 753">
            <a:extLst>
              <a:ext uri="{FF2B5EF4-FFF2-40B4-BE49-F238E27FC236}">
                <a16:creationId xmlns:a16="http://schemas.microsoft.com/office/drawing/2014/main" id="{00000000-0008-0000-0200-0000F2020000}"/>
              </a:ext>
            </a:extLst>
          </xdr:cNvPr>
          <xdr:cNvSpPr/>
        </xdr:nvSpPr>
        <xdr:spPr>
          <a:xfrm>
            <a:off x="5092699" y="4617205"/>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55" name="Oval 754">
            <a:extLst>
              <a:ext uri="{FF2B5EF4-FFF2-40B4-BE49-F238E27FC236}">
                <a16:creationId xmlns:a16="http://schemas.microsoft.com/office/drawing/2014/main" id="{00000000-0008-0000-0200-0000F3020000}"/>
              </a:ext>
            </a:extLst>
          </xdr:cNvPr>
          <xdr:cNvSpPr/>
        </xdr:nvSpPr>
        <xdr:spPr>
          <a:xfrm>
            <a:off x="5144558" y="4678892"/>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nvGrpSpPr>
          <xdr:cNvPr id="756" name="Group 755">
            <a:extLst>
              <a:ext uri="{FF2B5EF4-FFF2-40B4-BE49-F238E27FC236}">
                <a16:creationId xmlns:a16="http://schemas.microsoft.com/office/drawing/2014/main" id="{00000000-0008-0000-0200-0000F4020000}"/>
              </a:ext>
            </a:extLst>
          </xdr:cNvPr>
          <xdr:cNvGrpSpPr/>
        </xdr:nvGrpSpPr>
        <xdr:grpSpPr>
          <a:xfrm rot="5400000">
            <a:off x="5065397" y="4488181"/>
            <a:ext cx="108583" cy="100541"/>
            <a:chOff x="11549063" y="1904999"/>
            <a:chExt cx="214312" cy="198439"/>
          </a:xfrm>
        </xdr:grpSpPr>
        <xdr:cxnSp macro="">
          <xdr:nvCxnSpPr>
            <xdr:cNvPr id="761" name="Straight Connector 760">
              <a:extLst>
                <a:ext uri="{FF2B5EF4-FFF2-40B4-BE49-F238E27FC236}">
                  <a16:creationId xmlns:a16="http://schemas.microsoft.com/office/drawing/2014/main" id="{00000000-0008-0000-0200-0000F902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762" name="Straight Connector 761">
              <a:extLst>
                <a:ext uri="{FF2B5EF4-FFF2-40B4-BE49-F238E27FC236}">
                  <a16:creationId xmlns:a16="http://schemas.microsoft.com/office/drawing/2014/main" id="{00000000-0008-0000-0200-0000FA02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763" name="Straight Connector 762">
              <a:extLst>
                <a:ext uri="{FF2B5EF4-FFF2-40B4-BE49-F238E27FC236}">
                  <a16:creationId xmlns:a16="http://schemas.microsoft.com/office/drawing/2014/main" id="{00000000-0008-0000-0200-0000FB02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757" name="Group 756">
            <a:extLst>
              <a:ext uri="{FF2B5EF4-FFF2-40B4-BE49-F238E27FC236}">
                <a16:creationId xmlns:a16="http://schemas.microsoft.com/office/drawing/2014/main" id="{00000000-0008-0000-0200-0000F5020000}"/>
              </a:ext>
            </a:extLst>
          </xdr:cNvPr>
          <xdr:cNvGrpSpPr/>
        </xdr:nvGrpSpPr>
        <xdr:grpSpPr>
          <a:xfrm rot="16200000">
            <a:off x="5064338" y="4910456"/>
            <a:ext cx="108583" cy="100541"/>
            <a:chOff x="11549063" y="1904999"/>
            <a:chExt cx="214312" cy="198439"/>
          </a:xfrm>
        </xdr:grpSpPr>
        <xdr:cxnSp macro="">
          <xdr:nvCxnSpPr>
            <xdr:cNvPr id="758" name="Straight Connector 757">
              <a:extLst>
                <a:ext uri="{FF2B5EF4-FFF2-40B4-BE49-F238E27FC236}">
                  <a16:creationId xmlns:a16="http://schemas.microsoft.com/office/drawing/2014/main" id="{00000000-0008-0000-0200-0000F602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759" name="Straight Connector 758">
              <a:extLst>
                <a:ext uri="{FF2B5EF4-FFF2-40B4-BE49-F238E27FC236}">
                  <a16:creationId xmlns:a16="http://schemas.microsoft.com/office/drawing/2014/main" id="{00000000-0008-0000-0200-0000F702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760" name="Straight Connector 759">
              <a:extLst>
                <a:ext uri="{FF2B5EF4-FFF2-40B4-BE49-F238E27FC236}">
                  <a16:creationId xmlns:a16="http://schemas.microsoft.com/office/drawing/2014/main" id="{00000000-0008-0000-0200-0000F802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371475</xdr:colOff>
      <xdr:row>37</xdr:row>
      <xdr:rowOff>133350</xdr:rowOff>
    </xdr:from>
    <xdr:to>
      <xdr:col>4</xdr:col>
      <xdr:colOff>230869</xdr:colOff>
      <xdr:row>40</xdr:row>
      <xdr:rowOff>133350</xdr:rowOff>
    </xdr:to>
    <xdr:sp macro="" textlink="">
      <xdr:nvSpPr>
        <xdr:cNvPr id="766" name="TextBox 765">
          <a:extLst>
            <a:ext uri="{FF2B5EF4-FFF2-40B4-BE49-F238E27FC236}">
              <a16:creationId xmlns:a16="http://schemas.microsoft.com/office/drawing/2014/main" id="{00000000-0008-0000-0200-0000FE020000}"/>
            </a:ext>
          </a:extLst>
        </xdr:cNvPr>
        <xdr:cNvSpPr txBox="1"/>
      </xdr:nvSpPr>
      <xdr:spPr>
        <a:xfrm>
          <a:off x="371475" y="6210300"/>
          <a:ext cx="2478769"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t>500psi </a:t>
          </a:r>
          <a:r>
            <a:rPr lang="en-US" baseline="0"/>
            <a:t>Brass in-line strainer 1/8" NPT F 9802K5</a:t>
          </a:r>
          <a:endParaRPr lang="en-US"/>
        </a:p>
      </xdr:txBody>
    </xdr:sp>
    <xdr:clientData/>
  </xdr:twoCellAnchor>
  <xdr:twoCellAnchor>
    <xdr:from>
      <xdr:col>7</xdr:col>
      <xdr:colOff>29766</xdr:colOff>
      <xdr:row>39</xdr:row>
      <xdr:rowOff>160733</xdr:rowOff>
    </xdr:from>
    <xdr:to>
      <xdr:col>9</xdr:col>
      <xdr:colOff>1046143</xdr:colOff>
      <xdr:row>42</xdr:row>
      <xdr:rowOff>127588</xdr:rowOff>
    </xdr:to>
    <xdr:sp macro="" textlink="">
      <xdr:nvSpPr>
        <xdr:cNvPr id="783" name="TextBox 782">
          <a:extLst>
            <a:ext uri="{FF2B5EF4-FFF2-40B4-BE49-F238E27FC236}">
              <a16:creationId xmlns:a16="http://schemas.microsoft.com/office/drawing/2014/main" id="{00000000-0008-0000-0200-00000F030000}"/>
            </a:ext>
          </a:extLst>
        </xdr:cNvPr>
        <xdr:cNvSpPr txBox="1"/>
      </xdr:nvSpPr>
      <xdr:spPr>
        <a:xfrm>
          <a:off x="4714875" y="6518671"/>
          <a:ext cx="2415362" cy="4490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t>1/4" F to 1/8" F reducing Brass</a:t>
          </a:r>
          <a:r>
            <a:rPr lang="en-US" baseline="0"/>
            <a:t> pipe coupling (50785K181)</a:t>
          </a:r>
          <a:endParaRPr lang="en-US"/>
        </a:p>
      </xdr:txBody>
    </xdr:sp>
    <xdr:clientData/>
  </xdr:twoCellAnchor>
  <xdr:twoCellAnchor>
    <xdr:from>
      <xdr:col>0</xdr:col>
      <xdr:colOff>0</xdr:colOff>
      <xdr:row>26</xdr:row>
      <xdr:rowOff>26377</xdr:rowOff>
    </xdr:from>
    <xdr:to>
      <xdr:col>3</xdr:col>
      <xdr:colOff>409158</xdr:colOff>
      <xdr:row>28</xdr:row>
      <xdr:rowOff>150933</xdr:rowOff>
    </xdr:to>
    <xdr:sp macro="" textlink="">
      <xdr:nvSpPr>
        <xdr:cNvPr id="790" name="TextBox 789">
          <a:extLst>
            <a:ext uri="{FF2B5EF4-FFF2-40B4-BE49-F238E27FC236}">
              <a16:creationId xmlns:a16="http://schemas.microsoft.com/office/drawing/2014/main" id="{00000000-0008-0000-0200-000016030000}"/>
            </a:ext>
          </a:extLst>
        </xdr:cNvPr>
        <xdr:cNvSpPr txBox="1"/>
      </xdr:nvSpPr>
      <xdr:spPr>
        <a:xfrm>
          <a:off x="0" y="4305300"/>
          <a:ext cx="2424062" cy="446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t>F/M/F</a:t>
          </a:r>
          <a:r>
            <a:rPr lang="en-US" baseline="0"/>
            <a:t> pipe Tee. 1000psi @ 72F. 50785K321</a:t>
          </a:r>
          <a:endParaRPr lang="en-US"/>
        </a:p>
      </xdr:txBody>
    </xdr:sp>
    <xdr:clientData/>
  </xdr:twoCellAnchor>
  <xdr:twoCellAnchor>
    <xdr:from>
      <xdr:col>6</xdr:col>
      <xdr:colOff>615150</xdr:colOff>
      <xdr:row>26</xdr:row>
      <xdr:rowOff>120002</xdr:rowOff>
    </xdr:from>
    <xdr:to>
      <xdr:col>6</xdr:col>
      <xdr:colOff>739405</xdr:colOff>
      <xdr:row>29</xdr:row>
      <xdr:rowOff>145940</xdr:rowOff>
    </xdr:to>
    <xdr:grpSp>
      <xdr:nvGrpSpPr>
        <xdr:cNvPr id="792" name="Group 791">
          <a:extLst>
            <a:ext uri="{FF2B5EF4-FFF2-40B4-BE49-F238E27FC236}">
              <a16:creationId xmlns:a16="http://schemas.microsoft.com/office/drawing/2014/main" id="{00000000-0008-0000-0200-000018030000}"/>
            </a:ext>
          </a:extLst>
        </xdr:cNvPr>
        <xdr:cNvGrpSpPr/>
      </xdr:nvGrpSpPr>
      <xdr:grpSpPr>
        <a:xfrm>
          <a:off x="5072850" y="4488802"/>
          <a:ext cx="124255" cy="521238"/>
          <a:chOff x="4113652" y="4091190"/>
          <a:chExt cx="124255" cy="515795"/>
        </a:xfrm>
      </xdr:grpSpPr>
      <xdr:grpSp>
        <xdr:nvGrpSpPr>
          <xdr:cNvPr id="729" name="Group 728">
            <a:extLst>
              <a:ext uri="{FF2B5EF4-FFF2-40B4-BE49-F238E27FC236}">
                <a16:creationId xmlns:a16="http://schemas.microsoft.com/office/drawing/2014/main" id="{00000000-0008-0000-0200-0000D9020000}"/>
              </a:ext>
            </a:extLst>
          </xdr:cNvPr>
          <xdr:cNvGrpSpPr/>
        </xdr:nvGrpSpPr>
        <xdr:grpSpPr>
          <a:xfrm rot="16200000">
            <a:off x="4041178" y="4292507"/>
            <a:ext cx="269203" cy="124255"/>
            <a:chOff x="5703094" y="3033714"/>
            <a:chExt cx="226219" cy="157167"/>
          </a:xfrm>
        </xdr:grpSpPr>
        <xdr:sp macro="" textlink="">
          <xdr:nvSpPr>
            <xdr:cNvPr id="735" name="Rectangle 734">
              <a:extLst>
                <a:ext uri="{FF2B5EF4-FFF2-40B4-BE49-F238E27FC236}">
                  <a16:creationId xmlns:a16="http://schemas.microsoft.com/office/drawing/2014/main" id="{00000000-0008-0000-0200-0000DF020000}"/>
                </a:ext>
              </a:extLst>
            </xdr:cNvPr>
            <xdr:cNvSpPr/>
          </xdr:nvSpPr>
          <xdr:spPr>
            <a:xfrm>
              <a:off x="5712618" y="3033714"/>
              <a:ext cx="216695" cy="157162"/>
            </a:xfrm>
            <a:prstGeom prst="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736" name="Straight Connector 735">
              <a:extLst>
                <a:ext uri="{FF2B5EF4-FFF2-40B4-BE49-F238E27FC236}">
                  <a16:creationId xmlns:a16="http://schemas.microsoft.com/office/drawing/2014/main" id="{00000000-0008-0000-0200-0000E0020000}"/>
                </a:ext>
              </a:extLst>
            </xdr:cNvPr>
            <xdr:cNvCxnSpPr/>
          </xdr:nvCxnSpPr>
          <xdr:spPr>
            <a:xfrm>
              <a:off x="5712617" y="3052765"/>
              <a:ext cx="204789" cy="138116"/>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737" name="Straight Connector 736">
              <a:extLst>
                <a:ext uri="{FF2B5EF4-FFF2-40B4-BE49-F238E27FC236}">
                  <a16:creationId xmlns:a16="http://schemas.microsoft.com/office/drawing/2014/main" id="{00000000-0008-0000-0200-0000E1020000}"/>
                </a:ext>
              </a:extLst>
            </xdr:cNvPr>
            <xdr:cNvCxnSpPr/>
          </xdr:nvCxnSpPr>
          <xdr:spPr>
            <a:xfrm flipV="1">
              <a:off x="5703094" y="3045625"/>
              <a:ext cx="200025" cy="14525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31" name="Pentagon 730">
            <a:extLst>
              <a:ext uri="{FF2B5EF4-FFF2-40B4-BE49-F238E27FC236}">
                <a16:creationId xmlns:a16="http://schemas.microsoft.com/office/drawing/2014/main" id="{00000000-0008-0000-0200-0000DB020000}"/>
              </a:ext>
            </a:extLst>
          </xdr:cNvPr>
          <xdr:cNvSpPr/>
        </xdr:nvSpPr>
        <xdr:spPr>
          <a:xfrm rot="16200000">
            <a:off x="4126397" y="4118480"/>
            <a:ext cx="100300" cy="4572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791" name="Pentagon 790">
            <a:extLst>
              <a:ext uri="{FF2B5EF4-FFF2-40B4-BE49-F238E27FC236}">
                <a16:creationId xmlns:a16="http://schemas.microsoft.com/office/drawing/2014/main" id="{00000000-0008-0000-0200-000017030000}"/>
              </a:ext>
            </a:extLst>
          </xdr:cNvPr>
          <xdr:cNvSpPr/>
        </xdr:nvSpPr>
        <xdr:spPr>
          <a:xfrm rot="5400000">
            <a:off x="4125609" y="4533975"/>
            <a:ext cx="100300" cy="4572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4</xdr:col>
      <xdr:colOff>449979</xdr:colOff>
      <xdr:row>26</xdr:row>
      <xdr:rowOff>123515</xdr:rowOff>
    </xdr:from>
    <xdr:to>
      <xdr:col>4</xdr:col>
      <xdr:colOff>574234</xdr:colOff>
      <xdr:row>29</xdr:row>
      <xdr:rowOff>149453</xdr:rowOff>
    </xdr:to>
    <xdr:grpSp>
      <xdr:nvGrpSpPr>
        <xdr:cNvPr id="793" name="Group 792">
          <a:extLst>
            <a:ext uri="{FF2B5EF4-FFF2-40B4-BE49-F238E27FC236}">
              <a16:creationId xmlns:a16="http://schemas.microsoft.com/office/drawing/2014/main" id="{00000000-0008-0000-0200-000019030000}"/>
            </a:ext>
          </a:extLst>
        </xdr:cNvPr>
        <xdr:cNvGrpSpPr/>
      </xdr:nvGrpSpPr>
      <xdr:grpSpPr>
        <a:xfrm>
          <a:off x="3396379" y="4492315"/>
          <a:ext cx="124255" cy="521238"/>
          <a:chOff x="4113652" y="4091190"/>
          <a:chExt cx="124255" cy="515795"/>
        </a:xfrm>
      </xdr:grpSpPr>
      <xdr:grpSp>
        <xdr:nvGrpSpPr>
          <xdr:cNvPr id="794" name="Group 793">
            <a:extLst>
              <a:ext uri="{FF2B5EF4-FFF2-40B4-BE49-F238E27FC236}">
                <a16:creationId xmlns:a16="http://schemas.microsoft.com/office/drawing/2014/main" id="{00000000-0008-0000-0200-00001A030000}"/>
              </a:ext>
            </a:extLst>
          </xdr:cNvPr>
          <xdr:cNvGrpSpPr/>
        </xdr:nvGrpSpPr>
        <xdr:grpSpPr>
          <a:xfrm rot="16200000">
            <a:off x="4041178" y="4292507"/>
            <a:ext cx="269203" cy="124255"/>
            <a:chOff x="5703094" y="3033714"/>
            <a:chExt cx="226219" cy="157167"/>
          </a:xfrm>
        </xdr:grpSpPr>
        <xdr:sp macro="" textlink="">
          <xdr:nvSpPr>
            <xdr:cNvPr id="797" name="Rectangle 796">
              <a:extLst>
                <a:ext uri="{FF2B5EF4-FFF2-40B4-BE49-F238E27FC236}">
                  <a16:creationId xmlns:a16="http://schemas.microsoft.com/office/drawing/2014/main" id="{00000000-0008-0000-0200-00001D030000}"/>
                </a:ext>
              </a:extLst>
            </xdr:cNvPr>
            <xdr:cNvSpPr/>
          </xdr:nvSpPr>
          <xdr:spPr>
            <a:xfrm>
              <a:off x="5712618" y="3033714"/>
              <a:ext cx="216695" cy="157162"/>
            </a:xfrm>
            <a:prstGeom prst="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798" name="Straight Connector 797">
              <a:extLst>
                <a:ext uri="{FF2B5EF4-FFF2-40B4-BE49-F238E27FC236}">
                  <a16:creationId xmlns:a16="http://schemas.microsoft.com/office/drawing/2014/main" id="{00000000-0008-0000-0200-00001E030000}"/>
                </a:ext>
              </a:extLst>
            </xdr:cNvPr>
            <xdr:cNvCxnSpPr/>
          </xdr:nvCxnSpPr>
          <xdr:spPr>
            <a:xfrm>
              <a:off x="5712617" y="3052765"/>
              <a:ext cx="204789" cy="138116"/>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799" name="Straight Connector 798">
              <a:extLst>
                <a:ext uri="{FF2B5EF4-FFF2-40B4-BE49-F238E27FC236}">
                  <a16:creationId xmlns:a16="http://schemas.microsoft.com/office/drawing/2014/main" id="{00000000-0008-0000-0200-00001F030000}"/>
                </a:ext>
              </a:extLst>
            </xdr:cNvPr>
            <xdr:cNvCxnSpPr/>
          </xdr:nvCxnSpPr>
          <xdr:spPr>
            <a:xfrm flipV="1">
              <a:off x="5703094" y="3045625"/>
              <a:ext cx="200025" cy="14525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95" name="Pentagon 794">
            <a:extLst>
              <a:ext uri="{FF2B5EF4-FFF2-40B4-BE49-F238E27FC236}">
                <a16:creationId xmlns:a16="http://schemas.microsoft.com/office/drawing/2014/main" id="{00000000-0008-0000-0200-00001B030000}"/>
              </a:ext>
            </a:extLst>
          </xdr:cNvPr>
          <xdr:cNvSpPr/>
        </xdr:nvSpPr>
        <xdr:spPr>
          <a:xfrm rot="16200000">
            <a:off x="4126397" y="4118480"/>
            <a:ext cx="100300" cy="4572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796" name="Pentagon 795">
            <a:extLst>
              <a:ext uri="{FF2B5EF4-FFF2-40B4-BE49-F238E27FC236}">
                <a16:creationId xmlns:a16="http://schemas.microsoft.com/office/drawing/2014/main" id="{00000000-0008-0000-0200-00001C030000}"/>
              </a:ext>
            </a:extLst>
          </xdr:cNvPr>
          <xdr:cNvSpPr/>
        </xdr:nvSpPr>
        <xdr:spPr>
          <a:xfrm rot="5400000">
            <a:off x="4125609" y="4533975"/>
            <a:ext cx="100300" cy="4572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5</xdr:col>
      <xdr:colOff>295798</xdr:colOff>
      <xdr:row>24</xdr:row>
      <xdr:rowOff>154356</xdr:rowOff>
    </xdr:from>
    <xdr:to>
      <xdr:col>6</xdr:col>
      <xdr:colOff>163522</xdr:colOff>
      <xdr:row>26</xdr:row>
      <xdr:rowOff>66829</xdr:rowOff>
    </xdr:to>
    <xdr:grpSp>
      <xdr:nvGrpSpPr>
        <xdr:cNvPr id="813" name="Group 812">
          <a:extLst>
            <a:ext uri="{FF2B5EF4-FFF2-40B4-BE49-F238E27FC236}">
              <a16:creationId xmlns:a16="http://schemas.microsoft.com/office/drawing/2014/main" id="{00000000-0008-0000-0200-00002D030000}"/>
            </a:ext>
          </a:extLst>
        </xdr:cNvPr>
        <xdr:cNvGrpSpPr/>
      </xdr:nvGrpSpPr>
      <xdr:grpSpPr>
        <a:xfrm>
          <a:off x="4080398" y="4192956"/>
          <a:ext cx="540824" cy="242673"/>
          <a:chOff x="3635828" y="3843564"/>
          <a:chExt cx="460995" cy="236952"/>
        </a:xfrm>
      </xdr:grpSpPr>
      <xdr:grpSp>
        <xdr:nvGrpSpPr>
          <xdr:cNvPr id="633" name="Group 632">
            <a:extLst>
              <a:ext uri="{FF2B5EF4-FFF2-40B4-BE49-F238E27FC236}">
                <a16:creationId xmlns:a16="http://schemas.microsoft.com/office/drawing/2014/main" id="{00000000-0008-0000-0200-000079020000}"/>
              </a:ext>
            </a:extLst>
          </xdr:cNvPr>
          <xdr:cNvGrpSpPr/>
        </xdr:nvGrpSpPr>
        <xdr:grpSpPr>
          <a:xfrm>
            <a:off x="3713242" y="3961770"/>
            <a:ext cx="309291" cy="90333"/>
            <a:chOff x="4356988" y="4795137"/>
            <a:chExt cx="364191" cy="129848"/>
          </a:xfrm>
        </xdr:grpSpPr>
        <xdr:cxnSp macro="">
          <xdr:nvCxnSpPr>
            <xdr:cNvPr id="642" name="Straight Connector 641">
              <a:extLst>
                <a:ext uri="{FF2B5EF4-FFF2-40B4-BE49-F238E27FC236}">
                  <a16:creationId xmlns:a16="http://schemas.microsoft.com/office/drawing/2014/main" id="{00000000-0008-0000-0200-000082020000}"/>
                </a:ext>
              </a:extLst>
            </xdr:cNvPr>
            <xdr:cNvCxnSpPr/>
          </xdr:nvCxnSpPr>
          <xdr:spPr>
            <a:xfrm rot="5400000">
              <a:off x="4508896" y="4843953"/>
              <a:ext cx="97632"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cxnSp macro="">
          <xdr:nvCxnSpPr>
            <xdr:cNvPr id="643" name="Straight Connector 642">
              <a:extLst>
                <a:ext uri="{FF2B5EF4-FFF2-40B4-BE49-F238E27FC236}">
                  <a16:creationId xmlns:a16="http://schemas.microsoft.com/office/drawing/2014/main" id="{00000000-0008-0000-0200-000083020000}"/>
                </a:ext>
              </a:extLst>
            </xdr:cNvPr>
            <xdr:cNvCxnSpPr/>
          </xdr:nvCxnSpPr>
          <xdr:spPr>
            <a:xfrm rot="10800000">
              <a:off x="4356988" y="4924985"/>
              <a:ext cx="364191"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64" name="Pentagon 763">
            <a:extLst>
              <a:ext uri="{FF2B5EF4-FFF2-40B4-BE49-F238E27FC236}">
                <a16:creationId xmlns:a16="http://schemas.microsoft.com/office/drawing/2014/main" id="{00000000-0008-0000-0200-0000FC020000}"/>
              </a:ext>
            </a:extLst>
          </xdr:cNvPr>
          <xdr:cNvSpPr/>
        </xdr:nvSpPr>
        <xdr:spPr>
          <a:xfrm rot="16200000">
            <a:off x="3816350" y="3881664"/>
            <a:ext cx="12700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802" name="Group 801">
            <a:extLst>
              <a:ext uri="{FF2B5EF4-FFF2-40B4-BE49-F238E27FC236}">
                <a16:creationId xmlns:a16="http://schemas.microsoft.com/office/drawing/2014/main" id="{00000000-0008-0000-0200-000022030000}"/>
              </a:ext>
            </a:extLst>
          </xdr:cNvPr>
          <xdr:cNvGrpSpPr/>
        </xdr:nvGrpSpPr>
        <xdr:grpSpPr>
          <a:xfrm>
            <a:off x="3635828" y="4005943"/>
            <a:ext cx="69107" cy="74573"/>
            <a:chOff x="11549063" y="1904999"/>
            <a:chExt cx="214312" cy="198439"/>
          </a:xfrm>
        </xdr:grpSpPr>
        <xdr:cxnSp macro="">
          <xdr:nvCxnSpPr>
            <xdr:cNvPr id="803" name="Straight Connector 802">
              <a:extLst>
                <a:ext uri="{FF2B5EF4-FFF2-40B4-BE49-F238E27FC236}">
                  <a16:creationId xmlns:a16="http://schemas.microsoft.com/office/drawing/2014/main" id="{00000000-0008-0000-0200-00002303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04" name="Straight Connector 803">
              <a:extLst>
                <a:ext uri="{FF2B5EF4-FFF2-40B4-BE49-F238E27FC236}">
                  <a16:creationId xmlns:a16="http://schemas.microsoft.com/office/drawing/2014/main" id="{00000000-0008-0000-0200-00002403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05" name="Straight Connector 804">
              <a:extLst>
                <a:ext uri="{FF2B5EF4-FFF2-40B4-BE49-F238E27FC236}">
                  <a16:creationId xmlns:a16="http://schemas.microsoft.com/office/drawing/2014/main" id="{00000000-0008-0000-0200-00002503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809" name="Group 808">
            <a:extLst>
              <a:ext uri="{FF2B5EF4-FFF2-40B4-BE49-F238E27FC236}">
                <a16:creationId xmlns:a16="http://schemas.microsoft.com/office/drawing/2014/main" id="{00000000-0008-0000-0200-000029030000}"/>
              </a:ext>
            </a:extLst>
          </xdr:cNvPr>
          <xdr:cNvGrpSpPr/>
        </xdr:nvGrpSpPr>
        <xdr:grpSpPr>
          <a:xfrm rot="10800000">
            <a:off x="4027716" y="4005943"/>
            <a:ext cx="69107" cy="74573"/>
            <a:chOff x="11549063" y="1904999"/>
            <a:chExt cx="214312" cy="198439"/>
          </a:xfrm>
        </xdr:grpSpPr>
        <xdr:cxnSp macro="">
          <xdr:nvCxnSpPr>
            <xdr:cNvPr id="810" name="Straight Connector 809">
              <a:extLst>
                <a:ext uri="{FF2B5EF4-FFF2-40B4-BE49-F238E27FC236}">
                  <a16:creationId xmlns:a16="http://schemas.microsoft.com/office/drawing/2014/main" id="{00000000-0008-0000-0200-00002A03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11" name="Straight Connector 810">
              <a:extLst>
                <a:ext uri="{FF2B5EF4-FFF2-40B4-BE49-F238E27FC236}">
                  <a16:creationId xmlns:a16="http://schemas.microsoft.com/office/drawing/2014/main" id="{00000000-0008-0000-0200-00002B03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12" name="Straight Connector 811">
              <a:extLst>
                <a:ext uri="{FF2B5EF4-FFF2-40B4-BE49-F238E27FC236}">
                  <a16:creationId xmlns:a16="http://schemas.microsoft.com/office/drawing/2014/main" id="{00000000-0008-0000-0200-00002C03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3</xdr:col>
      <xdr:colOff>409158</xdr:colOff>
      <xdr:row>25</xdr:row>
      <xdr:rowOff>119041</xdr:rowOff>
    </xdr:from>
    <xdr:to>
      <xdr:col>5</xdr:col>
      <xdr:colOff>539932</xdr:colOff>
      <xdr:row>27</xdr:row>
      <xdr:rowOff>88656</xdr:rowOff>
    </xdr:to>
    <xdr:cxnSp macro="">
      <xdr:nvCxnSpPr>
        <xdr:cNvPr id="814" name="Straight Arrow Connector 813">
          <a:extLst>
            <a:ext uri="{FF2B5EF4-FFF2-40B4-BE49-F238E27FC236}">
              <a16:creationId xmlns:a16="http://schemas.microsoft.com/office/drawing/2014/main" id="{00000000-0008-0000-0200-00002E030000}"/>
            </a:ext>
          </a:extLst>
        </xdr:cNvPr>
        <xdr:cNvCxnSpPr>
          <a:stCxn id="790" idx="3"/>
          <a:endCxn id="764" idx="1"/>
        </xdr:cNvCxnSpPr>
      </xdr:nvCxnSpPr>
      <xdr:spPr>
        <a:xfrm flipV="1">
          <a:off x="2424062" y="4236772"/>
          <a:ext cx="1471601" cy="29199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504410</xdr:colOff>
      <xdr:row>22</xdr:row>
      <xdr:rowOff>4069</xdr:rowOff>
    </xdr:from>
    <xdr:to>
      <xdr:col>5</xdr:col>
      <xdr:colOff>550130</xdr:colOff>
      <xdr:row>23</xdr:row>
      <xdr:rowOff>30701</xdr:rowOff>
    </xdr:to>
    <xdr:grpSp>
      <xdr:nvGrpSpPr>
        <xdr:cNvPr id="834" name="Group 833">
          <a:extLst>
            <a:ext uri="{FF2B5EF4-FFF2-40B4-BE49-F238E27FC236}">
              <a16:creationId xmlns:a16="http://schemas.microsoft.com/office/drawing/2014/main" id="{00000000-0008-0000-0200-000042030000}"/>
            </a:ext>
          </a:extLst>
        </xdr:cNvPr>
        <xdr:cNvGrpSpPr/>
      </xdr:nvGrpSpPr>
      <xdr:grpSpPr>
        <a:xfrm rot="5400000">
          <a:off x="4216004" y="3785475"/>
          <a:ext cx="191732" cy="45720"/>
          <a:chOff x="16085133" y="3919106"/>
          <a:chExt cx="826072" cy="142008"/>
        </a:xfrm>
      </xdr:grpSpPr>
      <xdr:sp macro="" textlink="">
        <xdr:nvSpPr>
          <xdr:cNvPr id="835" name="Flowchart: Delay 834">
            <a:extLst>
              <a:ext uri="{FF2B5EF4-FFF2-40B4-BE49-F238E27FC236}">
                <a16:creationId xmlns:a16="http://schemas.microsoft.com/office/drawing/2014/main" id="{00000000-0008-0000-0200-000043030000}"/>
              </a:ext>
            </a:extLst>
          </xdr:cNvPr>
          <xdr:cNvSpPr/>
        </xdr:nvSpPr>
        <xdr:spPr>
          <a:xfrm>
            <a:off x="16495568" y="3922568"/>
            <a:ext cx="415637" cy="138546"/>
          </a:xfrm>
          <a:prstGeom prst="flowChartDelay">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36" name="Flowchart: Delay 835">
            <a:extLst>
              <a:ext uri="{FF2B5EF4-FFF2-40B4-BE49-F238E27FC236}">
                <a16:creationId xmlns:a16="http://schemas.microsoft.com/office/drawing/2014/main" id="{00000000-0008-0000-0200-000044030000}"/>
              </a:ext>
            </a:extLst>
          </xdr:cNvPr>
          <xdr:cNvSpPr/>
        </xdr:nvSpPr>
        <xdr:spPr>
          <a:xfrm rot="10800000">
            <a:off x="16085133" y="3919106"/>
            <a:ext cx="415637" cy="138546"/>
          </a:xfrm>
          <a:prstGeom prst="flowChartDelay">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4</xdr:col>
      <xdr:colOff>435378</xdr:colOff>
      <xdr:row>11</xdr:row>
      <xdr:rowOff>117230</xdr:rowOff>
    </xdr:from>
    <xdr:to>
      <xdr:col>5</xdr:col>
      <xdr:colOff>527828</xdr:colOff>
      <xdr:row>22</xdr:row>
      <xdr:rowOff>98572</xdr:rowOff>
    </xdr:to>
    <xdr:cxnSp macro="">
      <xdr:nvCxnSpPr>
        <xdr:cNvPr id="842" name="Straight Arrow Connector 841">
          <a:extLst>
            <a:ext uri="{FF2B5EF4-FFF2-40B4-BE49-F238E27FC236}">
              <a16:creationId xmlns:a16="http://schemas.microsoft.com/office/drawing/2014/main" id="{00000000-0008-0000-0200-00004A030000}"/>
            </a:ext>
          </a:extLst>
        </xdr:cNvPr>
        <xdr:cNvCxnSpPr>
          <a:stCxn id="841" idx="2"/>
          <a:endCxn id="836" idx="1"/>
        </xdr:cNvCxnSpPr>
      </xdr:nvCxnSpPr>
      <xdr:spPr>
        <a:xfrm>
          <a:off x="3058416" y="1978268"/>
          <a:ext cx="825143" cy="175445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107534</xdr:colOff>
      <xdr:row>40</xdr:row>
      <xdr:rowOff>117713</xdr:rowOff>
    </xdr:from>
    <xdr:to>
      <xdr:col>10</xdr:col>
      <xdr:colOff>234879</xdr:colOff>
      <xdr:row>42</xdr:row>
      <xdr:rowOff>24285</xdr:rowOff>
    </xdr:to>
    <xdr:grpSp>
      <xdr:nvGrpSpPr>
        <xdr:cNvPr id="880" name="Group 879">
          <a:extLst>
            <a:ext uri="{FF2B5EF4-FFF2-40B4-BE49-F238E27FC236}">
              <a16:creationId xmlns:a16="http://schemas.microsoft.com/office/drawing/2014/main" id="{00000000-0008-0000-0200-000070030000}"/>
            </a:ext>
          </a:extLst>
        </xdr:cNvPr>
        <xdr:cNvGrpSpPr/>
      </xdr:nvGrpSpPr>
      <xdr:grpSpPr>
        <a:xfrm>
          <a:off x="8743534" y="6797913"/>
          <a:ext cx="127345" cy="236772"/>
          <a:chOff x="7764169" y="6653328"/>
          <a:chExt cx="127345" cy="228957"/>
        </a:xfrm>
      </xdr:grpSpPr>
      <xdr:grpSp>
        <xdr:nvGrpSpPr>
          <xdr:cNvPr id="850" name="Group 849">
            <a:extLst>
              <a:ext uri="{FF2B5EF4-FFF2-40B4-BE49-F238E27FC236}">
                <a16:creationId xmlns:a16="http://schemas.microsoft.com/office/drawing/2014/main" id="{00000000-0008-0000-0200-000052030000}"/>
              </a:ext>
            </a:extLst>
          </xdr:cNvPr>
          <xdr:cNvGrpSpPr/>
        </xdr:nvGrpSpPr>
        <xdr:grpSpPr>
          <a:xfrm rot="10800000">
            <a:off x="7784176" y="6755284"/>
            <a:ext cx="107338" cy="127001"/>
            <a:chOff x="11549063" y="1904999"/>
            <a:chExt cx="214312" cy="198439"/>
          </a:xfrm>
        </xdr:grpSpPr>
        <xdr:cxnSp macro="">
          <xdr:nvCxnSpPr>
            <xdr:cNvPr id="855" name="Straight Connector 854">
              <a:extLst>
                <a:ext uri="{FF2B5EF4-FFF2-40B4-BE49-F238E27FC236}">
                  <a16:creationId xmlns:a16="http://schemas.microsoft.com/office/drawing/2014/main" id="{00000000-0008-0000-0200-00005703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56" name="Straight Connector 855">
              <a:extLst>
                <a:ext uri="{FF2B5EF4-FFF2-40B4-BE49-F238E27FC236}">
                  <a16:creationId xmlns:a16="http://schemas.microsoft.com/office/drawing/2014/main" id="{00000000-0008-0000-0200-00005803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57" name="Straight Connector 856">
              <a:extLst>
                <a:ext uri="{FF2B5EF4-FFF2-40B4-BE49-F238E27FC236}">
                  <a16:creationId xmlns:a16="http://schemas.microsoft.com/office/drawing/2014/main" id="{00000000-0008-0000-0200-00005903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851" name="Group 850">
            <a:extLst>
              <a:ext uri="{FF2B5EF4-FFF2-40B4-BE49-F238E27FC236}">
                <a16:creationId xmlns:a16="http://schemas.microsoft.com/office/drawing/2014/main" id="{00000000-0008-0000-0200-000053030000}"/>
              </a:ext>
            </a:extLst>
          </xdr:cNvPr>
          <xdr:cNvGrpSpPr/>
        </xdr:nvGrpSpPr>
        <xdr:grpSpPr>
          <a:xfrm rot="5400000">
            <a:off x="7774001" y="6643496"/>
            <a:ext cx="107338" cy="127001"/>
            <a:chOff x="11549063" y="1904999"/>
            <a:chExt cx="214312" cy="198439"/>
          </a:xfrm>
        </xdr:grpSpPr>
        <xdr:cxnSp macro="">
          <xdr:nvCxnSpPr>
            <xdr:cNvPr id="852" name="Straight Connector 851">
              <a:extLst>
                <a:ext uri="{FF2B5EF4-FFF2-40B4-BE49-F238E27FC236}">
                  <a16:creationId xmlns:a16="http://schemas.microsoft.com/office/drawing/2014/main" id="{00000000-0008-0000-0200-00005403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53" name="Straight Connector 852">
              <a:extLst>
                <a:ext uri="{FF2B5EF4-FFF2-40B4-BE49-F238E27FC236}">
                  <a16:creationId xmlns:a16="http://schemas.microsoft.com/office/drawing/2014/main" id="{00000000-0008-0000-0200-00005503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54" name="Straight Connector 853">
              <a:extLst>
                <a:ext uri="{FF2B5EF4-FFF2-40B4-BE49-F238E27FC236}">
                  <a16:creationId xmlns:a16="http://schemas.microsoft.com/office/drawing/2014/main" id="{00000000-0008-0000-0200-00005603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10</xdr:col>
      <xdr:colOff>391990</xdr:colOff>
      <xdr:row>36</xdr:row>
      <xdr:rowOff>123187</xdr:rowOff>
    </xdr:from>
    <xdr:to>
      <xdr:col>13</xdr:col>
      <xdr:colOff>83343</xdr:colOff>
      <xdr:row>39</xdr:row>
      <xdr:rowOff>108531</xdr:rowOff>
    </xdr:to>
    <xdr:sp macro="" textlink="">
      <xdr:nvSpPr>
        <xdr:cNvPr id="859" name="TextBox 858">
          <a:extLst>
            <a:ext uri="{FF2B5EF4-FFF2-40B4-BE49-F238E27FC236}">
              <a16:creationId xmlns:a16="http://schemas.microsoft.com/office/drawing/2014/main" id="{00000000-0008-0000-0200-00005B030000}"/>
            </a:ext>
          </a:extLst>
        </xdr:cNvPr>
        <xdr:cNvSpPr txBox="1"/>
      </xdr:nvSpPr>
      <xdr:spPr>
        <a:xfrm>
          <a:off x="8000084" y="5998921"/>
          <a:ext cx="1977353" cy="4675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t>1/8" F/F</a:t>
          </a:r>
          <a:r>
            <a:rPr lang="en-US" baseline="0"/>
            <a:t> NPT 90</a:t>
          </a:r>
          <a:r>
            <a:rPr lang="en-US" baseline="30000"/>
            <a:t>o</a:t>
          </a:r>
          <a:r>
            <a:rPr lang="en-US" baseline="0"/>
            <a:t> Brass Coupling 50785K35</a:t>
          </a:r>
          <a:endParaRPr lang="en-US"/>
        </a:p>
      </xdr:txBody>
    </xdr:sp>
    <xdr:clientData/>
  </xdr:twoCellAnchor>
  <xdr:twoCellAnchor>
    <xdr:from>
      <xdr:col>10</xdr:col>
      <xdr:colOff>189703</xdr:colOff>
      <xdr:row>39</xdr:row>
      <xdr:rowOff>108531</xdr:rowOff>
    </xdr:from>
    <xdr:to>
      <xdr:col>11</xdr:col>
      <xdr:colOff>541277</xdr:colOff>
      <xdr:row>41</xdr:row>
      <xdr:rowOff>123923</xdr:rowOff>
    </xdr:to>
    <xdr:cxnSp macro="">
      <xdr:nvCxnSpPr>
        <xdr:cNvPr id="860" name="Straight Arrow Connector 859">
          <a:extLst>
            <a:ext uri="{FF2B5EF4-FFF2-40B4-BE49-F238E27FC236}">
              <a16:creationId xmlns:a16="http://schemas.microsoft.com/office/drawing/2014/main" id="{00000000-0008-0000-0200-00005C030000}"/>
            </a:ext>
          </a:extLst>
        </xdr:cNvPr>
        <xdr:cNvCxnSpPr>
          <a:stCxn id="859" idx="2"/>
          <a:endCxn id="116" idx="3"/>
        </xdr:cNvCxnSpPr>
      </xdr:nvCxnSpPr>
      <xdr:spPr>
        <a:xfrm flipH="1">
          <a:off x="7797797" y="6466469"/>
          <a:ext cx="1190964" cy="3368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168519</xdr:colOff>
      <xdr:row>38</xdr:row>
      <xdr:rowOff>20581</xdr:rowOff>
    </xdr:from>
    <xdr:to>
      <xdr:col>10</xdr:col>
      <xdr:colOff>171949</xdr:colOff>
      <xdr:row>38</xdr:row>
      <xdr:rowOff>157741</xdr:rowOff>
    </xdr:to>
    <xdr:cxnSp macro="">
      <xdr:nvCxnSpPr>
        <xdr:cNvPr id="881" name="Straight Connector 880">
          <a:extLst>
            <a:ext uri="{FF2B5EF4-FFF2-40B4-BE49-F238E27FC236}">
              <a16:creationId xmlns:a16="http://schemas.microsoft.com/office/drawing/2014/main" id="{00000000-0008-0000-0200-000071030000}"/>
            </a:ext>
          </a:extLst>
        </xdr:cNvPr>
        <xdr:cNvCxnSpPr/>
      </xdr:nvCxnSpPr>
      <xdr:spPr>
        <a:xfrm flipV="1">
          <a:off x="7791450" y="6233812"/>
          <a:ext cx="3430" cy="13716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1225331</xdr:colOff>
      <xdr:row>65</xdr:row>
      <xdr:rowOff>89214</xdr:rowOff>
    </xdr:from>
    <xdr:to>
      <xdr:col>9</xdr:col>
      <xdr:colOff>1350358</xdr:colOff>
      <xdr:row>65</xdr:row>
      <xdr:rowOff>140014</xdr:rowOff>
    </xdr:to>
    <xdr:sp macro="" textlink="">
      <xdr:nvSpPr>
        <xdr:cNvPr id="882" name="Pentagon 881">
          <a:extLst>
            <a:ext uri="{FF2B5EF4-FFF2-40B4-BE49-F238E27FC236}">
              <a16:creationId xmlns:a16="http://schemas.microsoft.com/office/drawing/2014/main" id="{00000000-0008-0000-0200-000072030000}"/>
            </a:ext>
          </a:extLst>
        </xdr:cNvPr>
        <xdr:cNvSpPr/>
      </xdr:nvSpPr>
      <xdr:spPr>
        <a:xfrm>
          <a:off x="7317278" y="10712629"/>
          <a:ext cx="125027"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494995</xdr:colOff>
      <xdr:row>34</xdr:row>
      <xdr:rowOff>45425</xdr:rowOff>
    </xdr:from>
    <xdr:to>
      <xdr:col>4</xdr:col>
      <xdr:colOff>545795</xdr:colOff>
      <xdr:row>35</xdr:row>
      <xdr:rowOff>6592</xdr:rowOff>
    </xdr:to>
    <xdr:sp macro="" textlink="">
      <xdr:nvSpPr>
        <xdr:cNvPr id="883" name="Pentagon 882">
          <a:extLst>
            <a:ext uri="{FF2B5EF4-FFF2-40B4-BE49-F238E27FC236}">
              <a16:creationId xmlns:a16="http://schemas.microsoft.com/office/drawing/2014/main" id="{00000000-0008-0000-0200-000073030000}"/>
            </a:ext>
          </a:extLst>
        </xdr:cNvPr>
        <xdr:cNvSpPr/>
      </xdr:nvSpPr>
      <xdr:spPr>
        <a:xfrm rot="16200000">
          <a:off x="3078224" y="5672746"/>
          <a:ext cx="123092"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477076</xdr:colOff>
      <xdr:row>65</xdr:row>
      <xdr:rowOff>120503</xdr:rowOff>
    </xdr:from>
    <xdr:to>
      <xdr:col>9</xdr:col>
      <xdr:colOff>1224979</xdr:colOff>
      <xdr:row>65</xdr:row>
      <xdr:rowOff>120503</xdr:rowOff>
    </xdr:to>
    <xdr:cxnSp macro="">
      <xdr:nvCxnSpPr>
        <xdr:cNvPr id="884" name="Straight Connector 883">
          <a:extLst>
            <a:ext uri="{FF2B5EF4-FFF2-40B4-BE49-F238E27FC236}">
              <a16:creationId xmlns:a16="http://schemas.microsoft.com/office/drawing/2014/main" id="{00000000-0008-0000-0200-000074030000}"/>
            </a:ext>
          </a:extLst>
        </xdr:cNvPr>
        <xdr:cNvCxnSpPr/>
      </xdr:nvCxnSpPr>
      <xdr:spPr>
        <a:xfrm flipH="1">
          <a:off x="3096451" y="10731353"/>
          <a:ext cx="4224528" cy="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516765</xdr:colOff>
      <xdr:row>35</xdr:row>
      <xdr:rowOff>14918</xdr:rowOff>
    </xdr:from>
    <xdr:to>
      <xdr:col>4</xdr:col>
      <xdr:colOff>521444</xdr:colOff>
      <xdr:row>65</xdr:row>
      <xdr:rowOff>122360</xdr:rowOff>
    </xdr:to>
    <xdr:cxnSp macro="">
      <xdr:nvCxnSpPr>
        <xdr:cNvPr id="888" name="Straight Connector 887">
          <a:extLst>
            <a:ext uri="{FF2B5EF4-FFF2-40B4-BE49-F238E27FC236}">
              <a16:creationId xmlns:a16="http://schemas.microsoft.com/office/drawing/2014/main" id="{00000000-0008-0000-0200-000078030000}"/>
            </a:ext>
          </a:extLst>
        </xdr:cNvPr>
        <xdr:cNvCxnSpPr/>
      </xdr:nvCxnSpPr>
      <xdr:spPr>
        <a:xfrm flipV="1">
          <a:off x="3136140" y="5768018"/>
          <a:ext cx="4679" cy="4965192"/>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1249722</xdr:colOff>
      <xdr:row>65</xdr:row>
      <xdr:rowOff>59460</xdr:rowOff>
    </xdr:from>
    <xdr:to>
      <xdr:col>10</xdr:col>
      <xdr:colOff>81897</xdr:colOff>
      <xdr:row>66</xdr:row>
      <xdr:rowOff>12993</xdr:rowOff>
    </xdr:to>
    <xdr:grpSp>
      <xdr:nvGrpSpPr>
        <xdr:cNvPr id="890" name="Group 889">
          <a:extLst>
            <a:ext uri="{FF2B5EF4-FFF2-40B4-BE49-F238E27FC236}">
              <a16:creationId xmlns:a16="http://schemas.microsoft.com/office/drawing/2014/main" id="{00000000-0008-0000-0200-00007A030000}"/>
            </a:ext>
          </a:extLst>
        </xdr:cNvPr>
        <xdr:cNvGrpSpPr/>
      </xdr:nvGrpSpPr>
      <xdr:grpSpPr>
        <a:xfrm rot="5400000">
          <a:off x="8372543" y="10640439"/>
          <a:ext cx="118633" cy="572075"/>
          <a:chOff x="12368892" y="4279450"/>
          <a:chExt cx="115661" cy="442228"/>
        </a:xfrm>
      </xdr:grpSpPr>
      <xdr:sp macro="" textlink="">
        <xdr:nvSpPr>
          <xdr:cNvPr id="891" name="Up Arrow 890">
            <a:extLst>
              <a:ext uri="{FF2B5EF4-FFF2-40B4-BE49-F238E27FC236}">
                <a16:creationId xmlns:a16="http://schemas.microsoft.com/office/drawing/2014/main" id="{00000000-0008-0000-0200-00007B030000}"/>
              </a:ext>
            </a:extLst>
          </xdr:cNvPr>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92" name="Down Arrow 891">
            <a:extLst>
              <a:ext uri="{FF2B5EF4-FFF2-40B4-BE49-F238E27FC236}">
                <a16:creationId xmlns:a16="http://schemas.microsoft.com/office/drawing/2014/main" id="{00000000-0008-0000-0200-00007C030000}"/>
              </a:ext>
            </a:extLst>
          </xdr:cNvPr>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93" name="Group 892">
            <a:extLst>
              <a:ext uri="{FF2B5EF4-FFF2-40B4-BE49-F238E27FC236}">
                <a16:creationId xmlns:a16="http://schemas.microsoft.com/office/drawing/2014/main" id="{00000000-0008-0000-0200-00007D030000}"/>
              </a:ext>
            </a:extLst>
          </xdr:cNvPr>
          <xdr:cNvGrpSpPr/>
        </xdr:nvGrpSpPr>
        <xdr:grpSpPr>
          <a:xfrm rot="16200000">
            <a:off x="12341678" y="4578803"/>
            <a:ext cx="170089" cy="115661"/>
            <a:chOff x="11549063" y="1904999"/>
            <a:chExt cx="214312" cy="198439"/>
          </a:xfrm>
        </xdr:grpSpPr>
        <xdr:cxnSp macro="">
          <xdr:nvCxnSpPr>
            <xdr:cNvPr id="894" name="Straight Connector 893">
              <a:extLst>
                <a:ext uri="{FF2B5EF4-FFF2-40B4-BE49-F238E27FC236}">
                  <a16:creationId xmlns:a16="http://schemas.microsoft.com/office/drawing/2014/main" id="{00000000-0008-0000-0200-00007E030000}"/>
                </a:ext>
              </a:extLst>
            </xdr:cNvPr>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95" name="Straight Connector 894">
              <a:extLst>
                <a:ext uri="{FF2B5EF4-FFF2-40B4-BE49-F238E27FC236}">
                  <a16:creationId xmlns:a16="http://schemas.microsoft.com/office/drawing/2014/main" id="{00000000-0008-0000-0200-00007F030000}"/>
                </a:ext>
              </a:extLst>
            </xdr:cNvPr>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96" name="Straight Connector 895">
              <a:extLst>
                <a:ext uri="{FF2B5EF4-FFF2-40B4-BE49-F238E27FC236}">
                  <a16:creationId xmlns:a16="http://schemas.microsoft.com/office/drawing/2014/main" id="{00000000-0008-0000-0200-000080030000}"/>
                </a:ext>
              </a:extLst>
            </xdr:cNvPr>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9</xdr:col>
      <xdr:colOff>1225331</xdr:colOff>
      <xdr:row>36</xdr:row>
      <xdr:rowOff>9357</xdr:rowOff>
    </xdr:from>
    <xdr:to>
      <xdr:col>13</xdr:col>
      <xdr:colOff>254113</xdr:colOff>
      <xdr:row>65</xdr:row>
      <xdr:rowOff>114614</xdr:rowOff>
    </xdr:to>
    <xdr:cxnSp macro="">
      <xdr:nvCxnSpPr>
        <xdr:cNvPr id="897" name="Straight Arrow Connector 896">
          <a:extLst>
            <a:ext uri="{FF2B5EF4-FFF2-40B4-BE49-F238E27FC236}">
              <a16:creationId xmlns:a16="http://schemas.microsoft.com/office/drawing/2014/main" id="{00000000-0008-0000-0200-000081030000}"/>
            </a:ext>
          </a:extLst>
        </xdr:cNvPr>
        <xdr:cNvCxnSpPr>
          <a:stCxn id="89" idx="2"/>
          <a:endCxn id="882" idx="1"/>
        </xdr:cNvCxnSpPr>
      </xdr:nvCxnSpPr>
      <xdr:spPr>
        <a:xfrm flipH="1">
          <a:off x="7309425" y="5885091"/>
          <a:ext cx="2838782" cy="47665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28851</xdr:colOff>
      <xdr:row>27</xdr:row>
      <xdr:rowOff>22897</xdr:rowOff>
    </xdr:from>
    <xdr:to>
      <xdr:col>20</xdr:col>
      <xdr:colOff>74571</xdr:colOff>
      <xdr:row>28</xdr:row>
      <xdr:rowOff>49986</xdr:rowOff>
    </xdr:to>
    <xdr:grpSp>
      <xdr:nvGrpSpPr>
        <xdr:cNvPr id="912" name="Group 911">
          <a:extLst>
            <a:ext uri="{FF2B5EF4-FFF2-40B4-BE49-F238E27FC236}">
              <a16:creationId xmlns:a16="http://schemas.microsoft.com/office/drawing/2014/main" id="{00000000-0008-0000-0200-000090030000}"/>
            </a:ext>
          </a:extLst>
        </xdr:cNvPr>
        <xdr:cNvGrpSpPr/>
      </xdr:nvGrpSpPr>
      <xdr:grpSpPr>
        <a:xfrm rot="5400000">
          <a:off x="15881416" y="4630032"/>
          <a:ext cx="192189" cy="45720"/>
          <a:chOff x="16085133" y="3919106"/>
          <a:chExt cx="826072" cy="142008"/>
        </a:xfrm>
      </xdr:grpSpPr>
      <xdr:sp macro="" textlink="">
        <xdr:nvSpPr>
          <xdr:cNvPr id="913" name="Flowchart: Delay 912">
            <a:extLst>
              <a:ext uri="{FF2B5EF4-FFF2-40B4-BE49-F238E27FC236}">
                <a16:creationId xmlns:a16="http://schemas.microsoft.com/office/drawing/2014/main" id="{00000000-0008-0000-0200-000091030000}"/>
              </a:ext>
            </a:extLst>
          </xdr:cNvPr>
          <xdr:cNvSpPr/>
        </xdr:nvSpPr>
        <xdr:spPr>
          <a:xfrm>
            <a:off x="16495568" y="3922568"/>
            <a:ext cx="415637" cy="138546"/>
          </a:xfrm>
          <a:prstGeom prst="flowChartDelay">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14" name="Flowchart: Delay 913">
            <a:extLst>
              <a:ext uri="{FF2B5EF4-FFF2-40B4-BE49-F238E27FC236}">
                <a16:creationId xmlns:a16="http://schemas.microsoft.com/office/drawing/2014/main" id="{00000000-0008-0000-0200-000092030000}"/>
              </a:ext>
            </a:extLst>
          </xdr:cNvPr>
          <xdr:cNvSpPr/>
        </xdr:nvSpPr>
        <xdr:spPr>
          <a:xfrm rot="10800000">
            <a:off x="16085133" y="3919106"/>
            <a:ext cx="415637" cy="138546"/>
          </a:xfrm>
          <a:prstGeom prst="flowChartDelay">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23</xdr:col>
      <xdr:colOff>374325</xdr:colOff>
      <xdr:row>28</xdr:row>
      <xdr:rowOff>59989</xdr:rowOff>
    </xdr:from>
    <xdr:to>
      <xdr:col>27</xdr:col>
      <xdr:colOff>561424</xdr:colOff>
      <xdr:row>31</xdr:row>
      <xdr:rowOff>54036</xdr:rowOff>
    </xdr:to>
    <xdr:sp macro="" textlink="">
      <xdr:nvSpPr>
        <xdr:cNvPr id="915" name="TextBox 914">
          <a:extLst>
            <a:ext uri="{FF2B5EF4-FFF2-40B4-BE49-F238E27FC236}">
              <a16:creationId xmlns:a16="http://schemas.microsoft.com/office/drawing/2014/main" id="{00000000-0008-0000-0200-000093030000}"/>
            </a:ext>
          </a:extLst>
        </xdr:cNvPr>
        <xdr:cNvSpPr txBox="1"/>
      </xdr:nvSpPr>
      <xdr:spPr>
        <a:xfrm>
          <a:off x="16361671" y="4661297"/>
          <a:ext cx="2619638" cy="477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1/4" M/M</a:t>
          </a:r>
          <a:r>
            <a:rPr lang="en-US" sz="1100" baseline="0">
              <a:solidFill>
                <a:schemeClr val="dk1"/>
              </a:solidFill>
              <a:latin typeface="+mn-lt"/>
              <a:ea typeface="+mn-ea"/>
              <a:cs typeface="+mn-cs"/>
            </a:rPr>
            <a:t> Brass Nipple. 1000psi @ 72F 5485K22</a:t>
          </a:r>
          <a:endParaRPr lang="en-US"/>
        </a:p>
      </xdr:txBody>
    </xdr:sp>
    <xdr:clientData/>
  </xdr:twoCellAnchor>
  <xdr:twoCellAnchor>
    <xdr:from>
      <xdr:col>20</xdr:col>
      <xdr:colOff>52269</xdr:colOff>
      <xdr:row>27</xdr:row>
      <xdr:rowOff>117631</xdr:rowOff>
    </xdr:from>
    <xdr:to>
      <xdr:col>23</xdr:col>
      <xdr:colOff>374325</xdr:colOff>
      <xdr:row>29</xdr:row>
      <xdr:rowOff>137609</xdr:rowOff>
    </xdr:to>
    <xdr:cxnSp macro="">
      <xdr:nvCxnSpPr>
        <xdr:cNvPr id="916" name="Straight Arrow Connector 915">
          <a:extLst>
            <a:ext uri="{FF2B5EF4-FFF2-40B4-BE49-F238E27FC236}">
              <a16:creationId xmlns:a16="http://schemas.microsoft.com/office/drawing/2014/main" id="{00000000-0008-0000-0200-000094030000}"/>
            </a:ext>
          </a:extLst>
        </xdr:cNvPr>
        <xdr:cNvCxnSpPr>
          <a:stCxn id="915" idx="1"/>
          <a:endCxn id="914" idx="1"/>
        </xdr:cNvCxnSpPr>
      </xdr:nvCxnSpPr>
      <xdr:spPr>
        <a:xfrm flipH="1" flipV="1">
          <a:off x="14215211" y="4557746"/>
          <a:ext cx="2146460" cy="3423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48086</xdr:colOff>
      <xdr:row>33</xdr:row>
      <xdr:rowOff>62279</xdr:rowOff>
    </xdr:from>
    <xdr:to>
      <xdr:col>20</xdr:col>
      <xdr:colOff>105709</xdr:colOff>
      <xdr:row>34</xdr:row>
      <xdr:rowOff>158970</xdr:rowOff>
    </xdr:to>
    <xdr:grpSp>
      <xdr:nvGrpSpPr>
        <xdr:cNvPr id="928" name="Group 927">
          <a:extLst>
            <a:ext uri="{FF2B5EF4-FFF2-40B4-BE49-F238E27FC236}">
              <a16:creationId xmlns:a16="http://schemas.microsoft.com/office/drawing/2014/main" id="{00000000-0008-0000-0200-0000A0030000}"/>
            </a:ext>
          </a:extLst>
        </xdr:cNvPr>
        <xdr:cNvGrpSpPr/>
      </xdr:nvGrpSpPr>
      <xdr:grpSpPr>
        <a:xfrm>
          <a:off x="15973886" y="5586779"/>
          <a:ext cx="57623" cy="261791"/>
          <a:chOff x="14507769" y="5601890"/>
          <a:chExt cx="57623" cy="257426"/>
        </a:xfrm>
      </xdr:grpSpPr>
      <xdr:sp macro="" textlink="">
        <xdr:nvSpPr>
          <xdr:cNvPr id="909" name="Pentagon 908">
            <a:extLst>
              <a:ext uri="{FF2B5EF4-FFF2-40B4-BE49-F238E27FC236}">
                <a16:creationId xmlns:a16="http://schemas.microsoft.com/office/drawing/2014/main" id="{00000000-0008-0000-0200-00008D030000}"/>
              </a:ext>
            </a:extLst>
          </xdr:cNvPr>
          <xdr:cNvSpPr/>
        </xdr:nvSpPr>
        <xdr:spPr>
          <a:xfrm rot="16200000">
            <a:off x="14471852" y="5637807"/>
            <a:ext cx="122633"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924" name="Group 923">
            <a:extLst>
              <a:ext uri="{FF2B5EF4-FFF2-40B4-BE49-F238E27FC236}">
                <a16:creationId xmlns:a16="http://schemas.microsoft.com/office/drawing/2014/main" id="{00000000-0008-0000-0200-00009C030000}"/>
              </a:ext>
            </a:extLst>
          </xdr:cNvPr>
          <xdr:cNvGrpSpPr/>
        </xdr:nvGrpSpPr>
        <xdr:grpSpPr>
          <a:xfrm rot="16200000">
            <a:off x="14485257" y="5779181"/>
            <a:ext cx="114550" cy="45720"/>
            <a:chOff x="11549063" y="1904999"/>
            <a:chExt cx="214312" cy="198439"/>
          </a:xfrm>
        </xdr:grpSpPr>
        <xdr:cxnSp macro="">
          <xdr:nvCxnSpPr>
            <xdr:cNvPr id="925" name="Straight Connector 924">
              <a:extLst>
                <a:ext uri="{FF2B5EF4-FFF2-40B4-BE49-F238E27FC236}">
                  <a16:creationId xmlns:a16="http://schemas.microsoft.com/office/drawing/2014/main" id="{00000000-0008-0000-0200-00009D03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926" name="Straight Connector 925">
              <a:extLst>
                <a:ext uri="{FF2B5EF4-FFF2-40B4-BE49-F238E27FC236}">
                  <a16:creationId xmlns:a16="http://schemas.microsoft.com/office/drawing/2014/main" id="{00000000-0008-0000-0200-00009E03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927" name="Straight Connector 926">
              <a:extLst>
                <a:ext uri="{FF2B5EF4-FFF2-40B4-BE49-F238E27FC236}">
                  <a16:creationId xmlns:a16="http://schemas.microsoft.com/office/drawing/2014/main" id="{00000000-0008-0000-0200-00009F03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61363</xdr:colOff>
      <xdr:row>34</xdr:row>
      <xdr:rowOff>107156</xdr:rowOff>
    </xdr:from>
    <xdr:to>
      <xdr:col>20</xdr:col>
      <xdr:colOff>112163</xdr:colOff>
      <xdr:row>35</xdr:row>
      <xdr:rowOff>70056</xdr:rowOff>
    </xdr:to>
    <xdr:sp macro="" textlink="">
      <xdr:nvSpPr>
        <xdr:cNvPr id="934" name="Pentagon 933">
          <a:extLst>
            <a:ext uri="{FF2B5EF4-FFF2-40B4-BE49-F238E27FC236}">
              <a16:creationId xmlns:a16="http://schemas.microsoft.com/office/drawing/2014/main" id="{00000000-0008-0000-0200-0000A6030000}"/>
            </a:ext>
          </a:extLst>
        </xdr:cNvPr>
        <xdr:cNvSpPr/>
      </xdr:nvSpPr>
      <xdr:spPr>
        <a:xfrm rot="16200000">
          <a:off x="14187659" y="5712264"/>
          <a:ext cx="124092"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136921</xdr:colOff>
      <xdr:row>38</xdr:row>
      <xdr:rowOff>53577</xdr:rowOff>
    </xdr:from>
    <xdr:to>
      <xdr:col>20</xdr:col>
      <xdr:colOff>113651</xdr:colOff>
      <xdr:row>38</xdr:row>
      <xdr:rowOff>53577</xdr:rowOff>
    </xdr:to>
    <xdr:cxnSp macro="">
      <xdr:nvCxnSpPr>
        <xdr:cNvPr id="935" name="Straight Connector 934">
          <a:extLst>
            <a:ext uri="{FF2B5EF4-FFF2-40B4-BE49-F238E27FC236}">
              <a16:creationId xmlns:a16="http://schemas.microsoft.com/office/drawing/2014/main" id="{00000000-0008-0000-0200-0000A7030000}"/>
            </a:ext>
          </a:extLst>
        </xdr:cNvPr>
        <xdr:cNvCxnSpPr/>
      </xdr:nvCxnSpPr>
      <xdr:spPr>
        <a:xfrm flipH="1">
          <a:off x="10042921" y="6266808"/>
          <a:ext cx="4233672" cy="0"/>
        </a:xfrm>
        <a:prstGeom prst="line">
          <a:avLst/>
        </a:prstGeom>
        <a:ln w="635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166688</xdr:colOff>
      <xdr:row>38</xdr:row>
      <xdr:rowOff>77390</xdr:rowOff>
    </xdr:from>
    <xdr:to>
      <xdr:col>13</xdr:col>
      <xdr:colOff>170118</xdr:colOff>
      <xdr:row>39</xdr:row>
      <xdr:rowOff>8095</xdr:rowOff>
    </xdr:to>
    <xdr:cxnSp macro="">
      <xdr:nvCxnSpPr>
        <xdr:cNvPr id="936" name="Straight Connector 935">
          <a:extLst>
            <a:ext uri="{FF2B5EF4-FFF2-40B4-BE49-F238E27FC236}">
              <a16:creationId xmlns:a16="http://schemas.microsoft.com/office/drawing/2014/main" id="{00000000-0008-0000-0200-0000A8030000}"/>
            </a:ext>
          </a:extLst>
        </xdr:cNvPr>
        <xdr:cNvCxnSpPr/>
      </xdr:nvCxnSpPr>
      <xdr:spPr>
        <a:xfrm flipV="1">
          <a:off x="10060782" y="6274593"/>
          <a:ext cx="3430" cy="91440"/>
        </a:xfrm>
        <a:prstGeom prst="line">
          <a:avLst/>
        </a:prstGeom>
        <a:ln w="635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107156</xdr:colOff>
      <xdr:row>38</xdr:row>
      <xdr:rowOff>146894</xdr:rowOff>
    </xdr:from>
    <xdr:to>
      <xdr:col>13</xdr:col>
      <xdr:colOff>222817</xdr:colOff>
      <xdr:row>41</xdr:row>
      <xdr:rowOff>18079</xdr:rowOff>
    </xdr:to>
    <xdr:grpSp>
      <xdr:nvGrpSpPr>
        <xdr:cNvPr id="937" name="Group 936">
          <a:extLst>
            <a:ext uri="{FF2B5EF4-FFF2-40B4-BE49-F238E27FC236}">
              <a16:creationId xmlns:a16="http://schemas.microsoft.com/office/drawing/2014/main" id="{00000000-0008-0000-0200-0000A9030000}"/>
            </a:ext>
          </a:extLst>
        </xdr:cNvPr>
        <xdr:cNvGrpSpPr/>
      </xdr:nvGrpSpPr>
      <xdr:grpSpPr>
        <a:xfrm rot="10800000">
          <a:off x="11321256" y="6496894"/>
          <a:ext cx="115661" cy="366485"/>
          <a:chOff x="12368892" y="4279450"/>
          <a:chExt cx="115661" cy="442228"/>
        </a:xfrm>
      </xdr:grpSpPr>
      <xdr:sp macro="" textlink="">
        <xdr:nvSpPr>
          <xdr:cNvPr id="938" name="Up Arrow 937">
            <a:extLst>
              <a:ext uri="{FF2B5EF4-FFF2-40B4-BE49-F238E27FC236}">
                <a16:creationId xmlns:a16="http://schemas.microsoft.com/office/drawing/2014/main" id="{00000000-0008-0000-0200-0000AA030000}"/>
              </a:ext>
            </a:extLst>
          </xdr:cNvPr>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9" name="Down Arrow 938">
            <a:extLst>
              <a:ext uri="{FF2B5EF4-FFF2-40B4-BE49-F238E27FC236}">
                <a16:creationId xmlns:a16="http://schemas.microsoft.com/office/drawing/2014/main" id="{00000000-0008-0000-0200-0000AB030000}"/>
              </a:ext>
            </a:extLst>
          </xdr:cNvPr>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40" name="Group 939">
            <a:extLst>
              <a:ext uri="{FF2B5EF4-FFF2-40B4-BE49-F238E27FC236}">
                <a16:creationId xmlns:a16="http://schemas.microsoft.com/office/drawing/2014/main" id="{00000000-0008-0000-0200-0000AC030000}"/>
              </a:ext>
            </a:extLst>
          </xdr:cNvPr>
          <xdr:cNvGrpSpPr/>
        </xdr:nvGrpSpPr>
        <xdr:grpSpPr>
          <a:xfrm rot="16200000">
            <a:off x="12341678" y="4578803"/>
            <a:ext cx="170089" cy="115661"/>
            <a:chOff x="11549063" y="1904999"/>
            <a:chExt cx="214312" cy="198439"/>
          </a:xfrm>
        </xdr:grpSpPr>
        <xdr:cxnSp macro="">
          <xdr:nvCxnSpPr>
            <xdr:cNvPr id="941" name="Straight Connector 940">
              <a:extLst>
                <a:ext uri="{FF2B5EF4-FFF2-40B4-BE49-F238E27FC236}">
                  <a16:creationId xmlns:a16="http://schemas.microsoft.com/office/drawing/2014/main" id="{00000000-0008-0000-0200-0000AD030000}"/>
                </a:ext>
              </a:extLst>
            </xdr:cNvPr>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42" name="Straight Connector 941">
              <a:extLst>
                <a:ext uri="{FF2B5EF4-FFF2-40B4-BE49-F238E27FC236}">
                  <a16:creationId xmlns:a16="http://schemas.microsoft.com/office/drawing/2014/main" id="{00000000-0008-0000-0200-0000AE030000}"/>
                </a:ext>
              </a:extLst>
            </xdr:cNvPr>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43" name="Straight Connector 942">
              <a:extLst>
                <a:ext uri="{FF2B5EF4-FFF2-40B4-BE49-F238E27FC236}">
                  <a16:creationId xmlns:a16="http://schemas.microsoft.com/office/drawing/2014/main" id="{00000000-0008-0000-0200-0000AF030000}"/>
                </a:ext>
              </a:extLst>
            </xdr:cNvPr>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13</xdr:col>
      <xdr:colOff>143789</xdr:colOff>
      <xdr:row>38</xdr:row>
      <xdr:rowOff>119066</xdr:rowOff>
    </xdr:from>
    <xdr:to>
      <xdr:col>13</xdr:col>
      <xdr:colOff>194589</xdr:colOff>
      <xdr:row>39</xdr:row>
      <xdr:rowOff>81965</xdr:rowOff>
    </xdr:to>
    <xdr:sp macro="" textlink="">
      <xdr:nvSpPr>
        <xdr:cNvPr id="944" name="Pentagon 943">
          <a:extLst>
            <a:ext uri="{FF2B5EF4-FFF2-40B4-BE49-F238E27FC236}">
              <a16:creationId xmlns:a16="http://schemas.microsoft.com/office/drawing/2014/main" id="{00000000-0008-0000-0200-0000B0030000}"/>
            </a:ext>
          </a:extLst>
        </xdr:cNvPr>
        <xdr:cNvSpPr/>
      </xdr:nvSpPr>
      <xdr:spPr>
        <a:xfrm rot="5400000">
          <a:off x="10001466" y="6352686"/>
          <a:ext cx="123634"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97397</xdr:colOff>
      <xdr:row>40</xdr:row>
      <xdr:rowOff>142876</xdr:rowOff>
    </xdr:from>
    <xdr:to>
      <xdr:col>13</xdr:col>
      <xdr:colOff>228204</xdr:colOff>
      <xdr:row>42</xdr:row>
      <xdr:rowOff>31590</xdr:rowOff>
    </xdr:to>
    <xdr:grpSp>
      <xdr:nvGrpSpPr>
        <xdr:cNvPr id="962" name="Group 961">
          <a:extLst>
            <a:ext uri="{FF2B5EF4-FFF2-40B4-BE49-F238E27FC236}">
              <a16:creationId xmlns:a16="http://schemas.microsoft.com/office/drawing/2014/main" id="{00000000-0008-0000-0200-0000C2030000}"/>
            </a:ext>
          </a:extLst>
        </xdr:cNvPr>
        <xdr:cNvGrpSpPr/>
      </xdr:nvGrpSpPr>
      <xdr:grpSpPr>
        <a:xfrm>
          <a:off x="11311497" y="6823076"/>
          <a:ext cx="130807" cy="218914"/>
          <a:chOff x="9991491" y="6768702"/>
          <a:chExt cx="130807" cy="210183"/>
        </a:xfrm>
      </xdr:grpSpPr>
      <xdr:grpSp>
        <xdr:nvGrpSpPr>
          <xdr:cNvPr id="946" name="Group 945">
            <a:extLst>
              <a:ext uri="{FF2B5EF4-FFF2-40B4-BE49-F238E27FC236}">
                <a16:creationId xmlns:a16="http://schemas.microsoft.com/office/drawing/2014/main" id="{00000000-0008-0000-0200-0000B2030000}"/>
              </a:ext>
            </a:extLst>
          </xdr:cNvPr>
          <xdr:cNvGrpSpPr/>
        </xdr:nvGrpSpPr>
        <xdr:grpSpPr>
          <a:xfrm>
            <a:off x="9991491" y="6852392"/>
            <a:ext cx="107338" cy="126493"/>
            <a:chOff x="11549063" y="1904999"/>
            <a:chExt cx="214312" cy="198439"/>
          </a:xfrm>
        </xdr:grpSpPr>
        <xdr:cxnSp macro="">
          <xdr:nvCxnSpPr>
            <xdr:cNvPr id="951" name="Straight Connector 950">
              <a:extLst>
                <a:ext uri="{FF2B5EF4-FFF2-40B4-BE49-F238E27FC236}">
                  <a16:creationId xmlns:a16="http://schemas.microsoft.com/office/drawing/2014/main" id="{00000000-0008-0000-0200-0000B703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952" name="Straight Connector 951">
              <a:extLst>
                <a:ext uri="{FF2B5EF4-FFF2-40B4-BE49-F238E27FC236}">
                  <a16:creationId xmlns:a16="http://schemas.microsoft.com/office/drawing/2014/main" id="{00000000-0008-0000-0200-0000B803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953" name="Straight Connector 952">
              <a:extLst>
                <a:ext uri="{FF2B5EF4-FFF2-40B4-BE49-F238E27FC236}">
                  <a16:creationId xmlns:a16="http://schemas.microsoft.com/office/drawing/2014/main" id="{00000000-0008-0000-0200-0000B903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947" name="Group 946">
            <a:extLst>
              <a:ext uri="{FF2B5EF4-FFF2-40B4-BE49-F238E27FC236}">
                <a16:creationId xmlns:a16="http://schemas.microsoft.com/office/drawing/2014/main" id="{00000000-0008-0000-0200-0000B3030000}"/>
              </a:ext>
            </a:extLst>
          </xdr:cNvPr>
          <xdr:cNvGrpSpPr/>
        </xdr:nvGrpSpPr>
        <xdr:grpSpPr>
          <a:xfrm rot="5400000">
            <a:off x="10005343" y="6758656"/>
            <a:ext cx="106909" cy="127001"/>
            <a:chOff x="11549063" y="1904999"/>
            <a:chExt cx="214312" cy="198439"/>
          </a:xfrm>
        </xdr:grpSpPr>
        <xdr:cxnSp macro="">
          <xdr:nvCxnSpPr>
            <xdr:cNvPr id="948" name="Straight Connector 947">
              <a:extLst>
                <a:ext uri="{FF2B5EF4-FFF2-40B4-BE49-F238E27FC236}">
                  <a16:creationId xmlns:a16="http://schemas.microsoft.com/office/drawing/2014/main" id="{00000000-0008-0000-0200-0000B403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949" name="Straight Connector 948">
              <a:extLst>
                <a:ext uri="{FF2B5EF4-FFF2-40B4-BE49-F238E27FC236}">
                  <a16:creationId xmlns:a16="http://schemas.microsoft.com/office/drawing/2014/main" id="{00000000-0008-0000-0200-0000B503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950" name="Straight Connector 949">
              <a:extLst>
                <a:ext uri="{FF2B5EF4-FFF2-40B4-BE49-F238E27FC236}">
                  <a16:creationId xmlns:a16="http://schemas.microsoft.com/office/drawing/2014/main" id="{00000000-0008-0000-0200-0000B603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11</xdr:col>
      <xdr:colOff>541277</xdr:colOff>
      <xdr:row>39</xdr:row>
      <xdr:rowOff>108531</xdr:rowOff>
    </xdr:from>
    <xdr:to>
      <xdr:col>13</xdr:col>
      <xdr:colOff>164030</xdr:colOff>
      <xdr:row>41</xdr:row>
      <xdr:rowOff>18079</xdr:rowOff>
    </xdr:to>
    <xdr:cxnSp macro="">
      <xdr:nvCxnSpPr>
        <xdr:cNvPr id="958" name="Straight Arrow Connector 957">
          <a:extLst>
            <a:ext uri="{FF2B5EF4-FFF2-40B4-BE49-F238E27FC236}">
              <a16:creationId xmlns:a16="http://schemas.microsoft.com/office/drawing/2014/main" id="{00000000-0008-0000-0200-0000BE030000}"/>
            </a:ext>
          </a:extLst>
        </xdr:cNvPr>
        <xdr:cNvCxnSpPr>
          <a:stCxn id="859" idx="2"/>
          <a:endCxn id="939" idx="0"/>
        </xdr:cNvCxnSpPr>
      </xdr:nvCxnSpPr>
      <xdr:spPr>
        <a:xfrm>
          <a:off x="8988761" y="6466469"/>
          <a:ext cx="1069363" cy="23101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500063</xdr:colOff>
      <xdr:row>41</xdr:row>
      <xdr:rowOff>89300</xdr:rowOff>
    </xdr:from>
    <xdr:to>
      <xdr:col>13</xdr:col>
      <xdr:colOff>146684</xdr:colOff>
      <xdr:row>42</xdr:row>
      <xdr:rowOff>1388</xdr:rowOff>
    </xdr:to>
    <xdr:grpSp>
      <xdr:nvGrpSpPr>
        <xdr:cNvPr id="963" name="Group 962">
          <a:extLst>
            <a:ext uri="{FF2B5EF4-FFF2-40B4-BE49-F238E27FC236}">
              <a16:creationId xmlns:a16="http://schemas.microsoft.com/office/drawing/2014/main" id="{00000000-0008-0000-0200-0000C3030000}"/>
            </a:ext>
          </a:extLst>
        </xdr:cNvPr>
        <xdr:cNvGrpSpPr/>
      </xdr:nvGrpSpPr>
      <xdr:grpSpPr>
        <a:xfrm rot="5400000">
          <a:off x="11022630" y="6673633"/>
          <a:ext cx="77188" cy="599121"/>
          <a:chOff x="8939493" y="6687051"/>
          <a:chExt cx="72823" cy="486012"/>
        </a:xfrm>
      </xdr:grpSpPr>
      <xdr:sp macro="" textlink="">
        <xdr:nvSpPr>
          <xdr:cNvPr id="964" name="Pentagon 963">
            <a:extLst>
              <a:ext uri="{FF2B5EF4-FFF2-40B4-BE49-F238E27FC236}">
                <a16:creationId xmlns:a16="http://schemas.microsoft.com/office/drawing/2014/main" id="{00000000-0008-0000-0200-0000C4030000}"/>
              </a:ext>
            </a:extLst>
          </xdr:cNvPr>
          <xdr:cNvSpPr/>
        </xdr:nvSpPr>
        <xdr:spPr>
          <a:xfrm rot="16200000">
            <a:off x="8894315" y="6737444"/>
            <a:ext cx="162020" cy="61233"/>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65" name="Isosceles Triangle 964">
            <a:extLst>
              <a:ext uri="{FF2B5EF4-FFF2-40B4-BE49-F238E27FC236}">
                <a16:creationId xmlns:a16="http://schemas.microsoft.com/office/drawing/2014/main" id="{00000000-0008-0000-0200-0000C5030000}"/>
              </a:ext>
            </a:extLst>
          </xdr:cNvPr>
          <xdr:cNvSpPr/>
        </xdr:nvSpPr>
        <xdr:spPr>
          <a:xfrm rot="10800000">
            <a:off x="8939493" y="6860360"/>
            <a:ext cx="72823" cy="312703"/>
          </a:xfrm>
          <a:prstGeom prst="triangle">
            <a:avLst/>
          </a:prstGeom>
          <a:solidFill>
            <a:schemeClr val="accent2">
              <a:lumMod val="40000"/>
              <a:lumOff val="6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20</xdr:col>
      <xdr:colOff>79222</xdr:colOff>
      <xdr:row>35</xdr:row>
      <xdr:rowOff>77390</xdr:rowOff>
    </xdr:from>
    <xdr:to>
      <xdr:col>20</xdr:col>
      <xdr:colOff>82652</xdr:colOff>
      <xdr:row>38</xdr:row>
      <xdr:rowOff>51013</xdr:rowOff>
    </xdr:to>
    <xdr:cxnSp macro="">
      <xdr:nvCxnSpPr>
        <xdr:cNvPr id="969" name="Straight Connector 968">
          <a:extLst>
            <a:ext uri="{FF2B5EF4-FFF2-40B4-BE49-F238E27FC236}">
              <a16:creationId xmlns:a16="http://schemas.microsoft.com/office/drawing/2014/main" id="{00000000-0008-0000-0200-0000C9030000}"/>
            </a:ext>
          </a:extLst>
        </xdr:cNvPr>
        <xdr:cNvCxnSpPr/>
      </xdr:nvCxnSpPr>
      <xdr:spPr>
        <a:xfrm flipV="1">
          <a:off x="14242164" y="5807044"/>
          <a:ext cx="3430" cy="457200"/>
        </a:xfrm>
        <a:prstGeom prst="line">
          <a:avLst/>
        </a:prstGeom>
        <a:ln w="635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483119</xdr:colOff>
      <xdr:row>43</xdr:row>
      <xdr:rowOff>130511</xdr:rowOff>
    </xdr:from>
    <xdr:to>
      <xdr:col>27</xdr:col>
      <xdr:colOff>523324</xdr:colOff>
      <xdr:row>46</xdr:row>
      <xdr:rowOff>100288</xdr:rowOff>
    </xdr:to>
    <xdr:sp macro="" textlink="">
      <xdr:nvSpPr>
        <xdr:cNvPr id="971" name="TextBox 970">
          <a:extLst>
            <a:ext uri="{FF2B5EF4-FFF2-40B4-BE49-F238E27FC236}">
              <a16:creationId xmlns:a16="http://schemas.microsoft.com/office/drawing/2014/main" id="{00000000-0008-0000-0200-0000CB030000}"/>
            </a:ext>
          </a:extLst>
        </xdr:cNvPr>
        <xdr:cNvSpPr txBox="1"/>
      </xdr:nvSpPr>
      <xdr:spPr>
        <a:xfrm>
          <a:off x="16470465" y="7149703"/>
          <a:ext cx="2472744" cy="4533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1/8"</a:t>
          </a:r>
          <a:r>
            <a:rPr lang="en-US" sz="1100" baseline="0"/>
            <a:t> TBD GOX compatible stainless steel tubing. TBD</a:t>
          </a:r>
          <a:endParaRPr lang="en-US" sz="1100"/>
        </a:p>
      </xdr:txBody>
    </xdr:sp>
    <xdr:clientData/>
  </xdr:twoCellAnchor>
  <xdr:twoCellAnchor>
    <xdr:from>
      <xdr:col>20</xdr:col>
      <xdr:colOff>307731</xdr:colOff>
      <xdr:row>21</xdr:row>
      <xdr:rowOff>14653</xdr:rowOff>
    </xdr:from>
    <xdr:to>
      <xdr:col>20</xdr:col>
      <xdr:colOff>423392</xdr:colOff>
      <xdr:row>23</xdr:row>
      <xdr:rowOff>47031</xdr:rowOff>
    </xdr:to>
    <xdr:grpSp>
      <xdr:nvGrpSpPr>
        <xdr:cNvPr id="985" name="Group 984">
          <a:extLst>
            <a:ext uri="{FF2B5EF4-FFF2-40B4-BE49-F238E27FC236}">
              <a16:creationId xmlns:a16="http://schemas.microsoft.com/office/drawing/2014/main" id="{00000000-0008-0000-0200-0000D9030000}"/>
            </a:ext>
          </a:extLst>
        </xdr:cNvPr>
        <xdr:cNvGrpSpPr/>
      </xdr:nvGrpSpPr>
      <xdr:grpSpPr>
        <a:xfrm rot="10800000">
          <a:off x="16233531" y="3557953"/>
          <a:ext cx="115661" cy="362578"/>
          <a:chOff x="12368892" y="4279450"/>
          <a:chExt cx="115661" cy="442228"/>
        </a:xfrm>
      </xdr:grpSpPr>
      <xdr:sp macro="" textlink="">
        <xdr:nvSpPr>
          <xdr:cNvPr id="986" name="Up Arrow 985">
            <a:extLst>
              <a:ext uri="{FF2B5EF4-FFF2-40B4-BE49-F238E27FC236}">
                <a16:creationId xmlns:a16="http://schemas.microsoft.com/office/drawing/2014/main" id="{00000000-0008-0000-0200-0000DA030000}"/>
              </a:ext>
            </a:extLst>
          </xdr:cNvPr>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87" name="Down Arrow 986">
            <a:extLst>
              <a:ext uri="{FF2B5EF4-FFF2-40B4-BE49-F238E27FC236}">
                <a16:creationId xmlns:a16="http://schemas.microsoft.com/office/drawing/2014/main" id="{00000000-0008-0000-0200-0000DB030000}"/>
              </a:ext>
            </a:extLst>
          </xdr:cNvPr>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88" name="Group 987">
            <a:extLst>
              <a:ext uri="{FF2B5EF4-FFF2-40B4-BE49-F238E27FC236}">
                <a16:creationId xmlns:a16="http://schemas.microsoft.com/office/drawing/2014/main" id="{00000000-0008-0000-0200-0000DC030000}"/>
              </a:ext>
            </a:extLst>
          </xdr:cNvPr>
          <xdr:cNvGrpSpPr/>
        </xdr:nvGrpSpPr>
        <xdr:grpSpPr>
          <a:xfrm rot="16200000">
            <a:off x="12341678" y="4578803"/>
            <a:ext cx="170089" cy="115661"/>
            <a:chOff x="11549063" y="1904999"/>
            <a:chExt cx="214312" cy="198439"/>
          </a:xfrm>
        </xdr:grpSpPr>
        <xdr:cxnSp macro="">
          <xdr:nvCxnSpPr>
            <xdr:cNvPr id="989" name="Straight Connector 988">
              <a:extLst>
                <a:ext uri="{FF2B5EF4-FFF2-40B4-BE49-F238E27FC236}">
                  <a16:creationId xmlns:a16="http://schemas.microsoft.com/office/drawing/2014/main" id="{00000000-0008-0000-0200-0000DD030000}"/>
                </a:ext>
              </a:extLst>
            </xdr:cNvPr>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90" name="Straight Connector 989">
              <a:extLst>
                <a:ext uri="{FF2B5EF4-FFF2-40B4-BE49-F238E27FC236}">
                  <a16:creationId xmlns:a16="http://schemas.microsoft.com/office/drawing/2014/main" id="{00000000-0008-0000-0200-0000DE030000}"/>
                </a:ext>
              </a:extLst>
            </xdr:cNvPr>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91" name="Straight Connector 990">
              <a:extLst>
                <a:ext uri="{FF2B5EF4-FFF2-40B4-BE49-F238E27FC236}">
                  <a16:creationId xmlns:a16="http://schemas.microsoft.com/office/drawing/2014/main" id="{00000000-0008-0000-0200-0000DF030000}"/>
                </a:ext>
              </a:extLst>
            </xdr:cNvPr>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22</xdr:col>
      <xdr:colOff>153865</xdr:colOff>
      <xdr:row>16</xdr:row>
      <xdr:rowOff>109904</xdr:rowOff>
    </xdr:from>
    <xdr:to>
      <xdr:col>26</xdr:col>
      <xdr:colOff>340965</xdr:colOff>
      <xdr:row>19</xdr:row>
      <xdr:rowOff>6963</xdr:rowOff>
    </xdr:to>
    <xdr:sp macro="" textlink="">
      <xdr:nvSpPr>
        <xdr:cNvPr id="993" name="TextBox 992">
          <a:extLst>
            <a:ext uri="{FF2B5EF4-FFF2-40B4-BE49-F238E27FC236}">
              <a16:creationId xmlns:a16="http://schemas.microsoft.com/office/drawing/2014/main" id="{00000000-0008-0000-0200-0000E1030000}"/>
            </a:ext>
          </a:extLst>
        </xdr:cNvPr>
        <xdr:cNvSpPr txBox="1"/>
      </xdr:nvSpPr>
      <xdr:spPr>
        <a:xfrm>
          <a:off x="15533077" y="2776904"/>
          <a:ext cx="2619638" cy="380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1/4" NPT</a:t>
          </a:r>
          <a:r>
            <a:rPr lang="en-US" sz="1100" baseline="0">
              <a:solidFill>
                <a:schemeClr val="dk1"/>
              </a:solidFill>
              <a:latin typeface="+mn-lt"/>
              <a:ea typeface="+mn-ea"/>
              <a:cs typeface="+mn-cs"/>
            </a:rPr>
            <a:t> GOX Compatible Quick Connect</a:t>
          </a:r>
          <a:endParaRPr lang="en-US"/>
        </a:p>
      </xdr:txBody>
    </xdr:sp>
    <xdr:clientData/>
  </xdr:twoCellAnchor>
  <xdr:twoCellAnchor>
    <xdr:from>
      <xdr:col>20</xdr:col>
      <xdr:colOff>343654</xdr:colOff>
      <xdr:row>17</xdr:row>
      <xdr:rowOff>139030</xdr:rowOff>
    </xdr:from>
    <xdr:to>
      <xdr:col>22</xdr:col>
      <xdr:colOff>153865</xdr:colOff>
      <xdr:row>22</xdr:row>
      <xdr:rowOff>38002</xdr:rowOff>
    </xdr:to>
    <xdr:cxnSp macro="">
      <xdr:nvCxnSpPr>
        <xdr:cNvPr id="996" name="Straight Arrow Connector 995">
          <a:extLst>
            <a:ext uri="{FF2B5EF4-FFF2-40B4-BE49-F238E27FC236}">
              <a16:creationId xmlns:a16="http://schemas.microsoft.com/office/drawing/2014/main" id="{00000000-0008-0000-0200-0000E4030000}"/>
            </a:ext>
          </a:extLst>
        </xdr:cNvPr>
        <xdr:cNvCxnSpPr>
          <a:stCxn id="993" idx="1"/>
          <a:endCxn id="986" idx="3"/>
        </xdr:cNvCxnSpPr>
      </xdr:nvCxnSpPr>
      <xdr:spPr>
        <a:xfrm flipH="1">
          <a:off x="14506596" y="2967222"/>
          <a:ext cx="1026481" cy="7049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202007</xdr:colOff>
      <xdr:row>23</xdr:row>
      <xdr:rowOff>73199</xdr:rowOff>
    </xdr:from>
    <xdr:to>
      <xdr:col>20</xdr:col>
      <xdr:colOff>511439</xdr:colOff>
      <xdr:row>24</xdr:row>
      <xdr:rowOff>1542</xdr:rowOff>
    </xdr:to>
    <xdr:grpSp>
      <xdr:nvGrpSpPr>
        <xdr:cNvPr id="973" name="Group 972">
          <a:extLst>
            <a:ext uri="{FF2B5EF4-FFF2-40B4-BE49-F238E27FC236}">
              <a16:creationId xmlns:a16="http://schemas.microsoft.com/office/drawing/2014/main" id="{00000000-0008-0000-0200-0000CD030000}"/>
            </a:ext>
          </a:extLst>
        </xdr:cNvPr>
        <xdr:cNvGrpSpPr/>
      </xdr:nvGrpSpPr>
      <xdr:grpSpPr>
        <a:xfrm>
          <a:off x="16127807" y="3946699"/>
          <a:ext cx="309432" cy="93443"/>
          <a:chOff x="4356988" y="4795137"/>
          <a:chExt cx="364191" cy="129848"/>
        </a:xfrm>
      </xdr:grpSpPr>
      <xdr:cxnSp macro="">
        <xdr:nvCxnSpPr>
          <xdr:cNvPr id="983" name="Straight Connector 982">
            <a:extLst>
              <a:ext uri="{FF2B5EF4-FFF2-40B4-BE49-F238E27FC236}">
                <a16:creationId xmlns:a16="http://schemas.microsoft.com/office/drawing/2014/main" id="{00000000-0008-0000-0200-0000D7030000}"/>
              </a:ext>
            </a:extLst>
          </xdr:cNvPr>
          <xdr:cNvCxnSpPr/>
        </xdr:nvCxnSpPr>
        <xdr:spPr>
          <a:xfrm rot="5400000">
            <a:off x="4508896" y="4843953"/>
            <a:ext cx="97632"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cxnSp macro="">
        <xdr:nvCxnSpPr>
          <xdr:cNvPr id="984" name="Straight Connector 983">
            <a:extLst>
              <a:ext uri="{FF2B5EF4-FFF2-40B4-BE49-F238E27FC236}">
                <a16:creationId xmlns:a16="http://schemas.microsoft.com/office/drawing/2014/main" id="{00000000-0008-0000-0200-0000D8030000}"/>
              </a:ext>
            </a:extLst>
          </xdr:cNvPr>
          <xdr:cNvCxnSpPr/>
        </xdr:nvCxnSpPr>
        <xdr:spPr>
          <a:xfrm rot="10800000">
            <a:off x="4356988" y="4924985"/>
            <a:ext cx="364191"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20</xdr:col>
      <xdr:colOff>334651</xdr:colOff>
      <xdr:row>23</xdr:row>
      <xdr:rowOff>2387</xdr:rowOff>
    </xdr:from>
    <xdr:to>
      <xdr:col>20</xdr:col>
      <xdr:colOff>408565</xdr:colOff>
      <xdr:row>23</xdr:row>
      <xdr:rowOff>71525</xdr:rowOff>
    </xdr:to>
    <xdr:grpSp>
      <xdr:nvGrpSpPr>
        <xdr:cNvPr id="999" name="Group 998">
          <a:extLst>
            <a:ext uri="{FF2B5EF4-FFF2-40B4-BE49-F238E27FC236}">
              <a16:creationId xmlns:a16="http://schemas.microsoft.com/office/drawing/2014/main" id="{00000000-0008-0000-0200-0000E7030000}"/>
            </a:ext>
          </a:extLst>
        </xdr:cNvPr>
        <xdr:cNvGrpSpPr/>
      </xdr:nvGrpSpPr>
      <xdr:grpSpPr>
        <a:xfrm rot="5400000">
          <a:off x="16262839" y="3873499"/>
          <a:ext cx="69138" cy="73914"/>
          <a:chOff x="11549063" y="1904999"/>
          <a:chExt cx="214312" cy="198439"/>
        </a:xfrm>
      </xdr:grpSpPr>
      <xdr:cxnSp macro="">
        <xdr:nvCxnSpPr>
          <xdr:cNvPr id="1000" name="Straight Connector 999">
            <a:extLst>
              <a:ext uri="{FF2B5EF4-FFF2-40B4-BE49-F238E27FC236}">
                <a16:creationId xmlns:a16="http://schemas.microsoft.com/office/drawing/2014/main" id="{00000000-0008-0000-0200-0000E803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01" name="Straight Connector 1000">
            <a:extLst>
              <a:ext uri="{FF2B5EF4-FFF2-40B4-BE49-F238E27FC236}">
                <a16:creationId xmlns:a16="http://schemas.microsoft.com/office/drawing/2014/main" id="{00000000-0008-0000-0200-0000E903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02" name="Straight Connector 1001">
            <a:extLst>
              <a:ext uri="{FF2B5EF4-FFF2-40B4-BE49-F238E27FC236}">
                <a16:creationId xmlns:a16="http://schemas.microsoft.com/office/drawing/2014/main" id="{00000000-0008-0000-0200-0000EA03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20</xdr:col>
      <xdr:colOff>556852</xdr:colOff>
      <xdr:row>23</xdr:row>
      <xdr:rowOff>139211</xdr:rowOff>
    </xdr:from>
    <xdr:to>
      <xdr:col>21</xdr:col>
      <xdr:colOff>82067</xdr:colOff>
      <xdr:row>24</xdr:row>
      <xdr:rowOff>28819</xdr:rowOff>
    </xdr:to>
    <xdr:sp macro="" textlink="">
      <xdr:nvSpPr>
        <xdr:cNvPr id="1004" name="Pentagon 1003">
          <a:extLst>
            <a:ext uri="{FF2B5EF4-FFF2-40B4-BE49-F238E27FC236}">
              <a16:creationId xmlns:a16="http://schemas.microsoft.com/office/drawing/2014/main" id="{00000000-0008-0000-0200-0000EC030000}"/>
            </a:ext>
          </a:extLst>
        </xdr:cNvPr>
        <xdr:cNvSpPr/>
      </xdr:nvSpPr>
      <xdr:spPr>
        <a:xfrm rot="10800000">
          <a:off x="14719794" y="3934557"/>
          <a:ext cx="13335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22</xdr:col>
      <xdr:colOff>146538</xdr:colOff>
      <xdr:row>19</xdr:row>
      <xdr:rowOff>51286</xdr:rowOff>
    </xdr:from>
    <xdr:to>
      <xdr:col>26</xdr:col>
      <xdr:colOff>333638</xdr:colOff>
      <xdr:row>22</xdr:row>
      <xdr:rowOff>124556</xdr:rowOff>
    </xdr:to>
    <xdr:sp macro="" textlink="">
      <xdr:nvSpPr>
        <xdr:cNvPr id="1005" name="TextBox 1004">
          <a:extLst>
            <a:ext uri="{FF2B5EF4-FFF2-40B4-BE49-F238E27FC236}">
              <a16:creationId xmlns:a16="http://schemas.microsoft.com/office/drawing/2014/main" id="{00000000-0008-0000-0200-0000ED030000}"/>
            </a:ext>
          </a:extLst>
        </xdr:cNvPr>
        <xdr:cNvSpPr txBox="1"/>
      </xdr:nvSpPr>
      <xdr:spPr>
        <a:xfrm>
          <a:off x="15525750" y="3201863"/>
          <a:ext cx="2619638" cy="5568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t>1/4" NPT</a:t>
          </a:r>
          <a:r>
            <a:rPr lang="en-US" baseline="0"/>
            <a:t> </a:t>
          </a:r>
          <a:r>
            <a:rPr lang="en-US"/>
            <a:t>F/F/F</a:t>
          </a:r>
          <a:r>
            <a:rPr lang="en-US" baseline="0"/>
            <a:t> Brass Pipe Tee. 1000psi @ 72F. </a:t>
          </a:r>
          <a:r>
            <a:rPr lang="en-US"/>
            <a:t>50785K72</a:t>
          </a:r>
        </a:p>
      </xdr:txBody>
    </xdr:sp>
    <xdr:clientData/>
  </xdr:twoCellAnchor>
  <xdr:twoCellAnchor>
    <xdr:from>
      <xdr:col>20</xdr:col>
      <xdr:colOff>29302</xdr:colOff>
      <xdr:row>23</xdr:row>
      <xdr:rowOff>139211</xdr:rowOff>
    </xdr:from>
    <xdr:to>
      <xdr:col>20</xdr:col>
      <xdr:colOff>162652</xdr:colOff>
      <xdr:row>24</xdr:row>
      <xdr:rowOff>28819</xdr:rowOff>
    </xdr:to>
    <xdr:sp macro="" textlink="">
      <xdr:nvSpPr>
        <xdr:cNvPr id="1009" name="Pentagon 1008">
          <a:extLst>
            <a:ext uri="{FF2B5EF4-FFF2-40B4-BE49-F238E27FC236}">
              <a16:creationId xmlns:a16="http://schemas.microsoft.com/office/drawing/2014/main" id="{00000000-0008-0000-0200-0000F1030000}"/>
            </a:ext>
          </a:extLst>
        </xdr:cNvPr>
        <xdr:cNvSpPr/>
      </xdr:nvSpPr>
      <xdr:spPr>
        <a:xfrm>
          <a:off x="14192244" y="3934557"/>
          <a:ext cx="13335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20</xdr:col>
      <xdr:colOff>499725</xdr:colOff>
      <xdr:row>23</xdr:row>
      <xdr:rowOff>95250</xdr:rowOff>
    </xdr:from>
    <xdr:to>
      <xdr:col>20</xdr:col>
      <xdr:colOff>607063</xdr:colOff>
      <xdr:row>24</xdr:row>
      <xdr:rowOff>61102</xdr:rowOff>
    </xdr:to>
    <xdr:grpSp>
      <xdr:nvGrpSpPr>
        <xdr:cNvPr id="1011" name="Group 1010">
          <a:extLst>
            <a:ext uri="{FF2B5EF4-FFF2-40B4-BE49-F238E27FC236}">
              <a16:creationId xmlns:a16="http://schemas.microsoft.com/office/drawing/2014/main" id="{00000000-0008-0000-0200-0000F3030000}"/>
            </a:ext>
          </a:extLst>
        </xdr:cNvPr>
        <xdr:cNvGrpSpPr/>
      </xdr:nvGrpSpPr>
      <xdr:grpSpPr>
        <a:xfrm rot="10800000">
          <a:off x="16425525" y="3968750"/>
          <a:ext cx="107338" cy="130952"/>
          <a:chOff x="11549063" y="1904999"/>
          <a:chExt cx="214312" cy="198439"/>
        </a:xfrm>
      </xdr:grpSpPr>
      <xdr:cxnSp macro="">
        <xdr:nvCxnSpPr>
          <xdr:cNvPr id="1016" name="Straight Connector 1015">
            <a:extLst>
              <a:ext uri="{FF2B5EF4-FFF2-40B4-BE49-F238E27FC236}">
                <a16:creationId xmlns:a16="http://schemas.microsoft.com/office/drawing/2014/main" id="{00000000-0008-0000-0200-0000F803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17" name="Straight Connector 1016">
            <a:extLst>
              <a:ext uri="{FF2B5EF4-FFF2-40B4-BE49-F238E27FC236}">
                <a16:creationId xmlns:a16="http://schemas.microsoft.com/office/drawing/2014/main" id="{00000000-0008-0000-0200-0000F903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18" name="Straight Connector 1017">
            <a:extLst>
              <a:ext uri="{FF2B5EF4-FFF2-40B4-BE49-F238E27FC236}">
                <a16:creationId xmlns:a16="http://schemas.microsoft.com/office/drawing/2014/main" id="{00000000-0008-0000-0200-0000FA03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19</xdr:col>
      <xdr:colOff>578827</xdr:colOff>
      <xdr:row>24</xdr:row>
      <xdr:rowOff>52436</xdr:rowOff>
    </xdr:from>
    <xdr:to>
      <xdr:col>20</xdr:col>
      <xdr:colOff>97694</xdr:colOff>
      <xdr:row>24</xdr:row>
      <xdr:rowOff>159811</xdr:rowOff>
    </xdr:to>
    <xdr:grpSp>
      <xdr:nvGrpSpPr>
        <xdr:cNvPr id="1012" name="Group 1011">
          <a:extLst>
            <a:ext uri="{FF2B5EF4-FFF2-40B4-BE49-F238E27FC236}">
              <a16:creationId xmlns:a16="http://schemas.microsoft.com/office/drawing/2014/main" id="{00000000-0008-0000-0200-0000F4030000}"/>
            </a:ext>
          </a:extLst>
        </xdr:cNvPr>
        <xdr:cNvGrpSpPr/>
      </xdr:nvGrpSpPr>
      <xdr:grpSpPr>
        <a:xfrm rot="16200000">
          <a:off x="15873823" y="4048740"/>
          <a:ext cx="107375" cy="191967"/>
          <a:chOff x="11549063" y="1904999"/>
          <a:chExt cx="214312" cy="198439"/>
        </a:xfrm>
      </xdr:grpSpPr>
      <xdr:cxnSp macro="">
        <xdr:nvCxnSpPr>
          <xdr:cNvPr id="1013" name="Straight Connector 1012">
            <a:extLst>
              <a:ext uri="{FF2B5EF4-FFF2-40B4-BE49-F238E27FC236}">
                <a16:creationId xmlns:a16="http://schemas.microsoft.com/office/drawing/2014/main" id="{00000000-0008-0000-0200-0000F503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14" name="Straight Connector 1013">
            <a:extLst>
              <a:ext uri="{FF2B5EF4-FFF2-40B4-BE49-F238E27FC236}">
                <a16:creationId xmlns:a16="http://schemas.microsoft.com/office/drawing/2014/main" id="{00000000-0008-0000-0200-0000F603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15" name="Straight Connector 1014">
            <a:extLst>
              <a:ext uri="{FF2B5EF4-FFF2-40B4-BE49-F238E27FC236}">
                <a16:creationId xmlns:a16="http://schemas.microsoft.com/office/drawing/2014/main" id="{00000000-0008-0000-0200-0000F703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20</xdr:col>
      <xdr:colOff>29309</xdr:colOff>
      <xdr:row>30</xdr:row>
      <xdr:rowOff>1</xdr:rowOff>
    </xdr:from>
    <xdr:to>
      <xdr:col>20</xdr:col>
      <xdr:colOff>75029</xdr:colOff>
      <xdr:row>31</xdr:row>
      <xdr:rowOff>27090</xdr:rowOff>
    </xdr:to>
    <xdr:grpSp>
      <xdr:nvGrpSpPr>
        <xdr:cNvPr id="1019" name="Group 1018">
          <a:extLst>
            <a:ext uri="{FF2B5EF4-FFF2-40B4-BE49-F238E27FC236}">
              <a16:creationId xmlns:a16="http://schemas.microsoft.com/office/drawing/2014/main" id="{00000000-0008-0000-0200-0000FB030000}"/>
            </a:ext>
          </a:extLst>
        </xdr:cNvPr>
        <xdr:cNvGrpSpPr/>
      </xdr:nvGrpSpPr>
      <xdr:grpSpPr>
        <a:xfrm rot="5400000">
          <a:off x="15881874" y="5102436"/>
          <a:ext cx="192189" cy="45720"/>
          <a:chOff x="16085133" y="3919106"/>
          <a:chExt cx="826072" cy="142008"/>
        </a:xfrm>
      </xdr:grpSpPr>
      <xdr:sp macro="" textlink="">
        <xdr:nvSpPr>
          <xdr:cNvPr id="1020" name="Flowchart: Delay 1019">
            <a:extLst>
              <a:ext uri="{FF2B5EF4-FFF2-40B4-BE49-F238E27FC236}">
                <a16:creationId xmlns:a16="http://schemas.microsoft.com/office/drawing/2014/main" id="{00000000-0008-0000-0200-0000FC030000}"/>
              </a:ext>
            </a:extLst>
          </xdr:cNvPr>
          <xdr:cNvSpPr/>
        </xdr:nvSpPr>
        <xdr:spPr>
          <a:xfrm>
            <a:off x="16495568" y="3922568"/>
            <a:ext cx="415637" cy="138546"/>
          </a:xfrm>
          <a:prstGeom prst="flowChartDelay">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1021" name="Flowchart: Delay 1020">
            <a:extLst>
              <a:ext uri="{FF2B5EF4-FFF2-40B4-BE49-F238E27FC236}">
                <a16:creationId xmlns:a16="http://schemas.microsoft.com/office/drawing/2014/main" id="{00000000-0008-0000-0200-0000FD030000}"/>
              </a:ext>
            </a:extLst>
          </xdr:cNvPr>
          <xdr:cNvSpPr/>
        </xdr:nvSpPr>
        <xdr:spPr>
          <a:xfrm rot="10800000">
            <a:off x="16085133" y="3919106"/>
            <a:ext cx="415637" cy="138546"/>
          </a:xfrm>
          <a:prstGeom prst="flowChartDelay">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20</xdr:col>
      <xdr:colOff>29310</xdr:colOff>
      <xdr:row>29</xdr:row>
      <xdr:rowOff>137609</xdr:rowOff>
    </xdr:from>
    <xdr:to>
      <xdr:col>23</xdr:col>
      <xdr:colOff>374325</xdr:colOff>
      <xdr:row>30</xdr:row>
      <xdr:rowOff>140916</xdr:rowOff>
    </xdr:to>
    <xdr:cxnSp macro="">
      <xdr:nvCxnSpPr>
        <xdr:cNvPr id="1024" name="Straight Arrow Connector 1023">
          <a:extLst>
            <a:ext uri="{FF2B5EF4-FFF2-40B4-BE49-F238E27FC236}">
              <a16:creationId xmlns:a16="http://schemas.microsoft.com/office/drawing/2014/main" id="{00000000-0008-0000-0200-000000040000}"/>
            </a:ext>
          </a:extLst>
        </xdr:cNvPr>
        <xdr:cNvCxnSpPr>
          <a:stCxn id="915" idx="1"/>
          <a:endCxn id="1020" idx="2"/>
        </xdr:cNvCxnSpPr>
      </xdr:nvCxnSpPr>
      <xdr:spPr>
        <a:xfrm flipH="1">
          <a:off x="14192252" y="4900109"/>
          <a:ext cx="2169419" cy="16449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109899</xdr:colOff>
      <xdr:row>23</xdr:row>
      <xdr:rowOff>95250</xdr:rowOff>
    </xdr:from>
    <xdr:to>
      <xdr:col>20</xdr:col>
      <xdr:colOff>217237</xdr:colOff>
      <xdr:row>24</xdr:row>
      <xdr:rowOff>61059</xdr:rowOff>
    </xdr:to>
    <xdr:grpSp>
      <xdr:nvGrpSpPr>
        <xdr:cNvPr id="1033" name="Group 1032">
          <a:extLst>
            <a:ext uri="{FF2B5EF4-FFF2-40B4-BE49-F238E27FC236}">
              <a16:creationId xmlns:a16="http://schemas.microsoft.com/office/drawing/2014/main" id="{00000000-0008-0000-0200-000009040000}"/>
            </a:ext>
          </a:extLst>
        </xdr:cNvPr>
        <xdr:cNvGrpSpPr/>
      </xdr:nvGrpSpPr>
      <xdr:grpSpPr>
        <a:xfrm>
          <a:off x="16035699" y="3968750"/>
          <a:ext cx="107338" cy="130909"/>
          <a:chOff x="11549063" y="1904999"/>
          <a:chExt cx="214312" cy="198439"/>
        </a:xfrm>
      </xdr:grpSpPr>
      <xdr:cxnSp macro="">
        <xdr:nvCxnSpPr>
          <xdr:cNvPr id="1038" name="Straight Connector 1037">
            <a:extLst>
              <a:ext uri="{FF2B5EF4-FFF2-40B4-BE49-F238E27FC236}">
                <a16:creationId xmlns:a16="http://schemas.microsoft.com/office/drawing/2014/main" id="{00000000-0008-0000-0200-00000E04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39" name="Straight Connector 1038">
            <a:extLst>
              <a:ext uri="{FF2B5EF4-FFF2-40B4-BE49-F238E27FC236}">
                <a16:creationId xmlns:a16="http://schemas.microsoft.com/office/drawing/2014/main" id="{00000000-0008-0000-0200-00000F04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40" name="Straight Connector 1039">
            <a:extLst>
              <a:ext uri="{FF2B5EF4-FFF2-40B4-BE49-F238E27FC236}">
                <a16:creationId xmlns:a16="http://schemas.microsoft.com/office/drawing/2014/main" id="{00000000-0008-0000-0200-00001004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21</xdr:col>
      <xdr:colOff>7670</xdr:colOff>
      <xdr:row>24</xdr:row>
      <xdr:rowOff>55678</xdr:rowOff>
    </xdr:from>
    <xdr:to>
      <xdr:col>21</xdr:col>
      <xdr:colOff>134671</xdr:colOff>
      <xdr:row>25</xdr:row>
      <xdr:rowOff>1823</xdr:rowOff>
    </xdr:to>
    <xdr:grpSp>
      <xdr:nvGrpSpPr>
        <xdr:cNvPr id="1034" name="Group 1033">
          <a:extLst>
            <a:ext uri="{FF2B5EF4-FFF2-40B4-BE49-F238E27FC236}">
              <a16:creationId xmlns:a16="http://schemas.microsoft.com/office/drawing/2014/main" id="{00000000-0008-0000-0200-00000A040000}"/>
            </a:ext>
          </a:extLst>
        </xdr:cNvPr>
        <xdr:cNvGrpSpPr/>
      </xdr:nvGrpSpPr>
      <xdr:grpSpPr>
        <a:xfrm rot="16200000">
          <a:off x="16614448" y="4086400"/>
          <a:ext cx="111245" cy="127001"/>
          <a:chOff x="11549063" y="1904999"/>
          <a:chExt cx="214312" cy="198439"/>
        </a:xfrm>
      </xdr:grpSpPr>
      <xdr:cxnSp macro="">
        <xdr:nvCxnSpPr>
          <xdr:cNvPr id="1035" name="Straight Connector 1034">
            <a:extLst>
              <a:ext uri="{FF2B5EF4-FFF2-40B4-BE49-F238E27FC236}">
                <a16:creationId xmlns:a16="http://schemas.microsoft.com/office/drawing/2014/main" id="{00000000-0008-0000-0200-00000B04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36" name="Straight Connector 1035">
            <a:extLst>
              <a:ext uri="{FF2B5EF4-FFF2-40B4-BE49-F238E27FC236}">
                <a16:creationId xmlns:a16="http://schemas.microsoft.com/office/drawing/2014/main" id="{00000000-0008-0000-0200-00000C04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37" name="Straight Connector 1036">
            <a:extLst>
              <a:ext uri="{FF2B5EF4-FFF2-40B4-BE49-F238E27FC236}">
                <a16:creationId xmlns:a16="http://schemas.microsoft.com/office/drawing/2014/main" id="{00000000-0008-0000-0200-00000D04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20</xdr:col>
      <xdr:colOff>600808</xdr:colOff>
      <xdr:row>24</xdr:row>
      <xdr:rowOff>102577</xdr:rowOff>
    </xdr:from>
    <xdr:to>
      <xdr:col>21</xdr:col>
      <xdr:colOff>149840</xdr:colOff>
      <xdr:row>27</xdr:row>
      <xdr:rowOff>53903</xdr:rowOff>
    </xdr:to>
    <xdr:grpSp>
      <xdr:nvGrpSpPr>
        <xdr:cNvPr id="1041" name="Group 1040">
          <a:extLst>
            <a:ext uri="{FF2B5EF4-FFF2-40B4-BE49-F238E27FC236}">
              <a16:creationId xmlns:a16="http://schemas.microsoft.com/office/drawing/2014/main" id="{00000000-0008-0000-0200-000011040000}"/>
            </a:ext>
          </a:extLst>
        </xdr:cNvPr>
        <xdr:cNvGrpSpPr/>
      </xdr:nvGrpSpPr>
      <xdr:grpSpPr>
        <a:xfrm>
          <a:off x="16526608" y="4141177"/>
          <a:ext cx="222132" cy="446626"/>
          <a:chOff x="14882536" y="4740520"/>
          <a:chExt cx="157167" cy="522826"/>
        </a:xfrm>
      </xdr:grpSpPr>
      <xdr:grpSp>
        <xdr:nvGrpSpPr>
          <xdr:cNvPr id="1042" name="Group 1041">
            <a:extLst>
              <a:ext uri="{FF2B5EF4-FFF2-40B4-BE49-F238E27FC236}">
                <a16:creationId xmlns:a16="http://schemas.microsoft.com/office/drawing/2014/main" id="{00000000-0008-0000-0200-000012040000}"/>
              </a:ext>
            </a:extLst>
          </xdr:cNvPr>
          <xdr:cNvGrpSpPr/>
        </xdr:nvGrpSpPr>
        <xdr:grpSpPr>
          <a:xfrm rot="16200000">
            <a:off x="14848010" y="4975999"/>
            <a:ext cx="226219" cy="157167"/>
            <a:chOff x="5703094" y="3033714"/>
            <a:chExt cx="226219" cy="157167"/>
          </a:xfrm>
        </xdr:grpSpPr>
        <xdr:sp macro="" textlink="">
          <xdr:nvSpPr>
            <xdr:cNvPr id="1048" name="Rectangle 1047">
              <a:extLst>
                <a:ext uri="{FF2B5EF4-FFF2-40B4-BE49-F238E27FC236}">
                  <a16:creationId xmlns:a16="http://schemas.microsoft.com/office/drawing/2014/main" id="{00000000-0008-0000-0200-000018040000}"/>
                </a:ext>
              </a:extLst>
            </xdr:cNvPr>
            <xdr:cNvSpPr/>
          </xdr:nvSpPr>
          <xdr:spPr>
            <a:xfrm>
              <a:off x="5712618" y="3033714"/>
              <a:ext cx="216695" cy="157162"/>
            </a:xfrm>
            <a:prstGeom prst="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049" name="Straight Connector 1048">
              <a:extLst>
                <a:ext uri="{FF2B5EF4-FFF2-40B4-BE49-F238E27FC236}">
                  <a16:creationId xmlns:a16="http://schemas.microsoft.com/office/drawing/2014/main" id="{00000000-0008-0000-0200-000019040000}"/>
                </a:ext>
              </a:extLst>
            </xdr:cNvPr>
            <xdr:cNvCxnSpPr/>
          </xdr:nvCxnSpPr>
          <xdr:spPr>
            <a:xfrm>
              <a:off x="5712617" y="3052765"/>
              <a:ext cx="204789" cy="138116"/>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050" name="Straight Connector 1049">
              <a:extLst>
                <a:ext uri="{FF2B5EF4-FFF2-40B4-BE49-F238E27FC236}">
                  <a16:creationId xmlns:a16="http://schemas.microsoft.com/office/drawing/2014/main" id="{00000000-0008-0000-0200-00001A040000}"/>
                </a:ext>
              </a:extLst>
            </xdr:cNvPr>
            <xdr:cNvCxnSpPr/>
          </xdr:nvCxnSpPr>
          <xdr:spPr>
            <a:xfrm flipV="1">
              <a:off x="5703094" y="3045625"/>
              <a:ext cx="200025" cy="14525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43" name="Pentagon 1042">
            <a:extLst>
              <a:ext uri="{FF2B5EF4-FFF2-40B4-BE49-F238E27FC236}">
                <a16:creationId xmlns:a16="http://schemas.microsoft.com/office/drawing/2014/main" id="{00000000-0008-0000-0200-000013040000}"/>
              </a:ext>
            </a:extLst>
          </xdr:cNvPr>
          <xdr:cNvSpPr/>
        </xdr:nvSpPr>
        <xdr:spPr>
          <a:xfrm rot="16200000">
            <a:off x="14865543" y="4805153"/>
            <a:ext cx="190500" cy="61233"/>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1044" name="Group 1043">
            <a:extLst>
              <a:ext uri="{FF2B5EF4-FFF2-40B4-BE49-F238E27FC236}">
                <a16:creationId xmlns:a16="http://schemas.microsoft.com/office/drawing/2014/main" id="{00000000-0008-0000-0200-000014040000}"/>
              </a:ext>
            </a:extLst>
          </xdr:cNvPr>
          <xdr:cNvGrpSpPr/>
        </xdr:nvGrpSpPr>
        <xdr:grpSpPr>
          <a:xfrm rot="16200000">
            <a:off x="14905419" y="5159570"/>
            <a:ext cx="108631" cy="98921"/>
            <a:chOff x="11549063" y="1904999"/>
            <a:chExt cx="214312" cy="198439"/>
          </a:xfrm>
        </xdr:grpSpPr>
        <xdr:cxnSp macro="">
          <xdr:nvCxnSpPr>
            <xdr:cNvPr id="1045" name="Straight Connector 1044">
              <a:extLst>
                <a:ext uri="{FF2B5EF4-FFF2-40B4-BE49-F238E27FC236}">
                  <a16:creationId xmlns:a16="http://schemas.microsoft.com/office/drawing/2014/main" id="{00000000-0008-0000-0200-00001504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46" name="Straight Connector 1045">
              <a:extLst>
                <a:ext uri="{FF2B5EF4-FFF2-40B4-BE49-F238E27FC236}">
                  <a16:creationId xmlns:a16="http://schemas.microsoft.com/office/drawing/2014/main" id="{00000000-0008-0000-0200-00001604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47" name="Straight Connector 1046">
              <a:extLst>
                <a:ext uri="{FF2B5EF4-FFF2-40B4-BE49-F238E27FC236}">
                  <a16:creationId xmlns:a16="http://schemas.microsoft.com/office/drawing/2014/main" id="{00000000-0008-0000-0200-00001704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600809</xdr:colOff>
      <xdr:row>26</xdr:row>
      <xdr:rowOff>139211</xdr:rowOff>
    </xdr:from>
    <xdr:to>
      <xdr:col>21</xdr:col>
      <xdr:colOff>165110</xdr:colOff>
      <xdr:row>29</xdr:row>
      <xdr:rowOff>133956</xdr:rowOff>
    </xdr:to>
    <xdr:grpSp>
      <xdr:nvGrpSpPr>
        <xdr:cNvPr id="1059" name="Group 1058">
          <a:extLst>
            <a:ext uri="{FF2B5EF4-FFF2-40B4-BE49-F238E27FC236}">
              <a16:creationId xmlns:a16="http://schemas.microsoft.com/office/drawing/2014/main" id="{00000000-0008-0000-0200-000023040000}"/>
            </a:ext>
          </a:extLst>
        </xdr:cNvPr>
        <xdr:cNvGrpSpPr/>
      </xdr:nvGrpSpPr>
      <xdr:grpSpPr>
        <a:xfrm>
          <a:off x="16526609" y="4508011"/>
          <a:ext cx="237401" cy="490045"/>
          <a:chOff x="23582585" y="2693276"/>
          <a:chExt cx="172436" cy="487418"/>
        </a:xfrm>
      </xdr:grpSpPr>
      <xdr:grpSp>
        <xdr:nvGrpSpPr>
          <xdr:cNvPr id="1060" name="Group 1059">
            <a:extLst>
              <a:ext uri="{FF2B5EF4-FFF2-40B4-BE49-F238E27FC236}">
                <a16:creationId xmlns:a16="http://schemas.microsoft.com/office/drawing/2014/main" id="{00000000-0008-0000-0200-000024040000}"/>
              </a:ext>
            </a:extLst>
          </xdr:cNvPr>
          <xdr:cNvGrpSpPr/>
        </xdr:nvGrpSpPr>
        <xdr:grpSpPr>
          <a:xfrm>
            <a:off x="23582585" y="2839468"/>
            <a:ext cx="172436" cy="193776"/>
            <a:chOff x="5703094" y="3033714"/>
            <a:chExt cx="226219" cy="157167"/>
          </a:xfrm>
          <a:solidFill>
            <a:srgbClr val="A5D773"/>
          </a:solidFill>
        </xdr:grpSpPr>
        <xdr:sp macro="" textlink="">
          <xdr:nvSpPr>
            <xdr:cNvPr id="1063" name="Rectangle 1062">
              <a:extLst>
                <a:ext uri="{FF2B5EF4-FFF2-40B4-BE49-F238E27FC236}">
                  <a16:creationId xmlns:a16="http://schemas.microsoft.com/office/drawing/2014/main" id="{00000000-0008-0000-0200-000027040000}"/>
                </a:ext>
              </a:extLst>
            </xdr:cNvPr>
            <xdr:cNvSpPr/>
          </xdr:nvSpPr>
          <xdr:spPr>
            <a:xfrm>
              <a:off x="5712618" y="3033714"/>
              <a:ext cx="216695" cy="157162"/>
            </a:xfrm>
            <a:prstGeom prst="rect">
              <a:avLst/>
            </a:prstGeom>
            <a:grp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064" name="Straight Connector 1063">
              <a:extLst>
                <a:ext uri="{FF2B5EF4-FFF2-40B4-BE49-F238E27FC236}">
                  <a16:creationId xmlns:a16="http://schemas.microsoft.com/office/drawing/2014/main" id="{00000000-0008-0000-0200-000028040000}"/>
                </a:ext>
              </a:extLst>
            </xdr:cNvPr>
            <xdr:cNvCxnSpPr/>
          </xdr:nvCxnSpPr>
          <xdr:spPr>
            <a:xfrm>
              <a:off x="5712617" y="3052765"/>
              <a:ext cx="204789" cy="138116"/>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065" name="Straight Connector 1064">
              <a:extLst>
                <a:ext uri="{FF2B5EF4-FFF2-40B4-BE49-F238E27FC236}">
                  <a16:creationId xmlns:a16="http://schemas.microsoft.com/office/drawing/2014/main" id="{00000000-0008-0000-0200-000029040000}"/>
                </a:ext>
              </a:extLst>
            </xdr:cNvPr>
            <xdr:cNvCxnSpPr/>
          </xdr:nvCxnSpPr>
          <xdr:spPr>
            <a:xfrm flipV="1">
              <a:off x="5703094" y="3045625"/>
              <a:ext cx="200025" cy="145250"/>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61" name="Pentagon 1060">
            <a:extLst>
              <a:ext uri="{FF2B5EF4-FFF2-40B4-BE49-F238E27FC236}">
                <a16:creationId xmlns:a16="http://schemas.microsoft.com/office/drawing/2014/main" id="{00000000-0008-0000-0200-000025040000}"/>
              </a:ext>
            </a:extLst>
          </xdr:cNvPr>
          <xdr:cNvSpPr/>
        </xdr:nvSpPr>
        <xdr:spPr>
          <a:xfrm rot="5400000">
            <a:off x="23603851" y="3092426"/>
            <a:ext cx="126124" cy="50412"/>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1062" name="Pentagon 1061">
            <a:extLst>
              <a:ext uri="{FF2B5EF4-FFF2-40B4-BE49-F238E27FC236}">
                <a16:creationId xmlns:a16="http://schemas.microsoft.com/office/drawing/2014/main" id="{00000000-0008-0000-0200-000026040000}"/>
              </a:ext>
            </a:extLst>
          </xdr:cNvPr>
          <xdr:cNvSpPr/>
        </xdr:nvSpPr>
        <xdr:spPr>
          <a:xfrm rot="16200000">
            <a:off x="23597282" y="2731132"/>
            <a:ext cx="126124" cy="50412"/>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21</xdr:col>
      <xdr:colOff>7327</xdr:colOff>
      <xdr:row>29</xdr:row>
      <xdr:rowOff>58615</xdr:rowOff>
    </xdr:from>
    <xdr:to>
      <xdr:col>21</xdr:col>
      <xdr:colOff>162656</xdr:colOff>
      <xdr:row>32</xdr:row>
      <xdr:rowOff>16177</xdr:rowOff>
    </xdr:to>
    <xdr:grpSp>
      <xdr:nvGrpSpPr>
        <xdr:cNvPr id="1066" name="Group 1065">
          <a:extLst>
            <a:ext uri="{FF2B5EF4-FFF2-40B4-BE49-F238E27FC236}">
              <a16:creationId xmlns:a16="http://schemas.microsoft.com/office/drawing/2014/main" id="{00000000-0008-0000-0200-00002A040000}"/>
            </a:ext>
          </a:extLst>
        </xdr:cNvPr>
        <xdr:cNvGrpSpPr/>
      </xdr:nvGrpSpPr>
      <xdr:grpSpPr>
        <a:xfrm>
          <a:off x="16606227" y="4922715"/>
          <a:ext cx="155329" cy="452862"/>
          <a:chOff x="10384971" y="9386673"/>
          <a:chExt cx="155329" cy="529061"/>
        </a:xfrm>
      </xdr:grpSpPr>
      <xdr:grpSp>
        <xdr:nvGrpSpPr>
          <xdr:cNvPr id="1067" name="Group 1066">
            <a:extLst>
              <a:ext uri="{FF2B5EF4-FFF2-40B4-BE49-F238E27FC236}">
                <a16:creationId xmlns:a16="http://schemas.microsoft.com/office/drawing/2014/main" id="{00000000-0008-0000-0200-00002B040000}"/>
              </a:ext>
            </a:extLst>
          </xdr:cNvPr>
          <xdr:cNvGrpSpPr/>
        </xdr:nvGrpSpPr>
        <xdr:grpSpPr>
          <a:xfrm rot="16200000">
            <a:off x="10416428" y="9811958"/>
            <a:ext cx="108631" cy="98921"/>
            <a:chOff x="11549063" y="1904999"/>
            <a:chExt cx="214312" cy="198439"/>
          </a:xfrm>
        </xdr:grpSpPr>
        <xdr:cxnSp macro="">
          <xdr:nvCxnSpPr>
            <xdr:cNvPr id="1075" name="Straight Connector 1074">
              <a:extLst>
                <a:ext uri="{FF2B5EF4-FFF2-40B4-BE49-F238E27FC236}">
                  <a16:creationId xmlns:a16="http://schemas.microsoft.com/office/drawing/2014/main" id="{00000000-0008-0000-0200-00003304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76" name="Straight Connector 1075">
              <a:extLst>
                <a:ext uri="{FF2B5EF4-FFF2-40B4-BE49-F238E27FC236}">
                  <a16:creationId xmlns:a16="http://schemas.microsoft.com/office/drawing/2014/main" id="{00000000-0008-0000-0200-00003404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77" name="Straight Connector 1076">
              <a:extLst>
                <a:ext uri="{FF2B5EF4-FFF2-40B4-BE49-F238E27FC236}">
                  <a16:creationId xmlns:a16="http://schemas.microsoft.com/office/drawing/2014/main" id="{00000000-0008-0000-0200-00003504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1068" name="Group 1067">
            <a:extLst>
              <a:ext uri="{FF2B5EF4-FFF2-40B4-BE49-F238E27FC236}">
                <a16:creationId xmlns:a16="http://schemas.microsoft.com/office/drawing/2014/main" id="{00000000-0008-0000-0200-00002C040000}"/>
              </a:ext>
            </a:extLst>
          </xdr:cNvPr>
          <xdr:cNvGrpSpPr/>
        </xdr:nvGrpSpPr>
        <xdr:grpSpPr>
          <a:xfrm rot="5400000">
            <a:off x="10400099" y="9391528"/>
            <a:ext cx="108631" cy="98921"/>
            <a:chOff x="11549063" y="1904999"/>
            <a:chExt cx="214312" cy="198439"/>
          </a:xfrm>
        </xdr:grpSpPr>
        <xdr:cxnSp macro="">
          <xdr:nvCxnSpPr>
            <xdr:cNvPr id="1072" name="Straight Connector 1071">
              <a:extLst>
                <a:ext uri="{FF2B5EF4-FFF2-40B4-BE49-F238E27FC236}">
                  <a16:creationId xmlns:a16="http://schemas.microsoft.com/office/drawing/2014/main" id="{00000000-0008-0000-0200-00003004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73" name="Straight Connector 1072">
              <a:extLst>
                <a:ext uri="{FF2B5EF4-FFF2-40B4-BE49-F238E27FC236}">
                  <a16:creationId xmlns:a16="http://schemas.microsoft.com/office/drawing/2014/main" id="{00000000-0008-0000-0200-00003104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74" name="Straight Connector 1073">
              <a:extLst>
                <a:ext uri="{FF2B5EF4-FFF2-40B4-BE49-F238E27FC236}">
                  <a16:creationId xmlns:a16="http://schemas.microsoft.com/office/drawing/2014/main" id="{00000000-0008-0000-0200-00003204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1069" name="Group 1068">
            <a:extLst>
              <a:ext uri="{FF2B5EF4-FFF2-40B4-BE49-F238E27FC236}">
                <a16:creationId xmlns:a16="http://schemas.microsoft.com/office/drawing/2014/main" id="{00000000-0008-0000-0200-00002D040000}"/>
              </a:ext>
            </a:extLst>
          </xdr:cNvPr>
          <xdr:cNvGrpSpPr/>
        </xdr:nvGrpSpPr>
        <xdr:grpSpPr>
          <a:xfrm rot="16200000">
            <a:off x="10320591" y="9575812"/>
            <a:ext cx="284089" cy="155329"/>
            <a:chOff x="2667000" y="1262063"/>
            <a:chExt cx="428625" cy="226218"/>
          </a:xfrm>
        </xdr:grpSpPr>
        <xdr:sp macro="" textlink="">
          <xdr:nvSpPr>
            <xdr:cNvPr id="1070" name="Rectangle 1069">
              <a:extLst>
                <a:ext uri="{FF2B5EF4-FFF2-40B4-BE49-F238E27FC236}">
                  <a16:creationId xmlns:a16="http://schemas.microsoft.com/office/drawing/2014/main" id="{00000000-0008-0000-0200-00002E040000}"/>
                </a:ext>
              </a:extLst>
            </xdr:cNvPr>
            <xdr:cNvSpPr/>
          </xdr:nvSpPr>
          <xdr:spPr>
            <a:xfrm>
              <a:off x="2678906" y="1262063"/>
              <a:ext cx="416719" cy="2262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071" name="Straight Arrow Connector 1070">
              <a:extLst>
                <a:ext uri="{FF2B5EF4-FFF2-40B4-BE49-F238E27FC236}">
                  <a16:creationId xmlns:a16="http://schemas.microsoft.com/office/drawing/2014/main" id="{00000000-0008-0000-0200-00002F040000}"/>
                </a:ext>
              </a:extLst>
            </xdr:cNvPr>
            <xdr:cNvCxnSpPr/>
          </xdr:nvCxnSpPr>
          <xdr:spPr>
            <a:xfrm flipH="1">
              <a:off x="2667000" y="1363266"/>
              <a:ext cx="416719" cy="1588"/>
            </a:xfrm>
            <a:prstGeom prst="straightConnector1">
              <a:avLst/>
            </a:prstGeom>
            <a:ln w="2667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21</xdr:col>
      <xdr:colOff>65942</xdr:colOff>
      <xdr:row>31</xdr:row>
      <xdr:rowOff>139212</xdr:rowOff>
    </xdr:from>
    <xdr:to>
      <xdr:col>21</xdr:col>
      <xdr:colOff>123565</xdr:colOff>
      <xdr:row>33</xdr:row>
      <xdr:rowOff>74712</xdr:rowOff>
    </xdr:to>
    <xdr:grpSp>
      <xdr:nvGrpSpPr>
        <xdr:cNvPr id="1083" name="Group 1082">
          <a:extLst>
            <a:ext uri="{FF2B5EF4-FFF2-40B4-BE49-F238E27FC236}">
              <a16:creationId xmlns:a16="http://schemas.microsoft.com/office/drawing/2014/main" id="{00000000-0008-0000-0200-00003B040000}"/>
            </a:ext>
          </a:extLst>
        </xdr:cNvPr>
        <xdr:cNvGrpSpPr/>
      </xdr:nvGrpSpPr>
      <xdr:grpSpPr>
        <a:xfrm>
          <a:off x="16664842" y="5333512"/>
          <a:ext cx="57623" cy="265700"/>
          <a:chOff x="14507769" y="5601890"/>
          <a:chExt cx="57623" cy="257426"/>
        </a:xfrm>
      </xdr:grpSpPr>
      <xdr:sp macro="" textlink="">
        <xdr:nvSpPr>
          <xdr:cNvPr id="1084" name="Pentagon 1083">
            <a:extLst>
              <a:ext uri="{FF2B5EF4-FFF2-40B4-BE49-F238E27FC236}">
                <a16:creationId xmlns:a16="http://schemas.microsoft.com/office/drawing/2014/main" id="{00000000-0008-0000-0200-00003C040000}"/>
              </a:ext>
            </a:extLst>
          </xdr:cNvPr>
          <xdr:cNvSpPr/>
        </xdr:nvSpPr>
        <xdr:spPr>
          <a:xfrm rot="16200000">
            <a:off x="14471852" y="5637807"/>
            <a:ext cx="122633"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1085" name="Group 1084">
            <a:extLst>
              <a:ext uri="{FF2B5EF4-FFF2-40B4-BE49-F238E27FC236}">
                <a16:creationId xmlns:a16="http://schemas.microsoft.com/office/drawing/2014/main" id="{00000000-0008-0000-0200-00003D040000}"/>
              </a:ext>
            </a:extLst>
          </xdr:cNvPr>
          <xdr:cNvGrpSpPr/>
        </xdr:nvGrpSpPr>
        <xdr:grpSpPr>
          <a:xfrm rot="16200000">
            <a:off x="14485257" y="5779181"/>
            <a:ext cx="114550" cy="45720"/>
            <a:chOff x="11549063" y="1904999"/>
            <a:chExt cx="214312" cy="198439"/>
          </a:xfrm>
        </xdr:grpSpPr>
        <xdr:cxnSp macro="">
          <xdr:nvCxnSpPr>
            <xdr:cNvPr id="1086" name="Straight Connector 1085">
              <a:extLst>
                <a:ext uri="{FF2B5EF4-FFF2-40B4-BE49-F238E27FC236}">
                  <a16:creationId xmlns:a16="http://schemas.microsoft.com/office/drawing/2014/main" id="{00000000-0008-0000-0200-00003E04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87" name="Straight Connector 1086">
              <a:extLst>
                <a:ext uri="{FF2B5EF4-FFF2-40B4-BE49-F238E27FC236}">
                  <a16:creationId xmlns:a16="http://schemas.microsoft.com/office/drawing/2014/main" id="{00000000-0008-0000-0200-00003F04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88" name="Straight Connector 1087">
              <a:extLst>
                <a:ext uri="{FF2B5EF4-FFF2-40B4-BE49-F238E27FC236}">
                  <a16:creationId xmlns:a16="http://schemas.microsoft.com/office/drawing/2014/main" id="{00000000-0008-0000-0200-00004004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21</xdr:col>
      <xdr:colOff>162657</xdr:colOff>
      <xdr:row>30</xdr:row>
      <xdr:rowOff>116598</xdr:rowOff>
    </xdr:from>
    <xdr:to>
      <xdr:col>27</xdr:col>
      <xdr:colOff>349770</xdr:colOff>
      <xdr:row>33</xdr:row>
      <xdr:rowOff>17393</xdr:rowOff>
    </xdr:to>
    <xdr:cxnSp macro="">
      <xdr:nvCxnSpPr>
        <xdr:cNvPr id="1089" name="Straight Arrow Connector 1088">
          <a:extLst>
            <a:ext uri="{FF2B5EF4-FFF2-40B4-BE49-F238E27FC236}">
              <a16:creationId xmlns:a16="http://schemas.microsoft.com/office/drawing/2014/main" id="{00000000-0008-0000-0200-000041040000}"/>
            </a:ext>
          </a:extLst>
        </xdr:cNvPr>
        <xdr:cNvCxnSpPr>
          <a:stCxn id="522" idx="0"/>
          <a:endCxn id="1070" idx="2"/>
        </xdr:cNvCxnSpPr>
      </xdr:nvCxnSpPr>
      <xdr:spPr>
        <a:xfrm flipH="1" flipV="1">
          <a:off x="14933734" y="5040290"/>
          <a:ext cx="3835921" cy="38437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83277</xdr:colOff>
      <xdr:row>21</xdr:row>
      <xdr:rowOff>7325</xdr:rowOff>
    </xdr:from>
    <xdr:to>
      <xdr:col>22</xdr:col>
      <xdr:colOff>146538</xdr:colOff>
      <xdr:row>23</xdr:row>
      <xdr:rowOff>139211</xdr:rowOff>
    </xdr:to>
    <xdr:cxnSp macro="">
      <xdr:nvCxnSpPr>
        <xdr:cNvPr id="1102" name="Straight Arrow Connector 1101">
          <a:extLst>
            <a:ext uri="{FF2B5EF4-FFF2-40B4-BE49-F238E27FC236}">
              <a16:creationId xmlns:a16="http://schemas.microsoft.com/office/drawing/2014/main" id="{00000000-0008-0000-0200-00004E040000}"/>
            </a:ext>
          </a:extLst>
        </xdr:cNvPr>
        <xdr:cNvCxnSpPr>
          <a:stCxn id="1005" idx="1"/>
          <a:endCxn id="1009" idx="0"/>
        </xdr:cNvCxnSpPr>
      </xdr:nvCxnSpPr>
      <xdr:spPr>
        <a:xfrm flipH="1">
          <a:off x="14246219" y="3480287"/>
          <a:ext cx="1279531" cy="45427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445228</xdr:colOff>
      <xdr:row>26</xdr:row>
      <xdr:rowOff>7327</xdr:rowOff>
    </xdr:from>
    <xdr:to>
      <xdr:col>4</xdr:col>
      <xdr:colOff>591752</xdr:colOff>
      <xdr:row>27</xdr:row>
      <xdr:rowOff>24287</xdr:rowOff>
    </xdr:to>
    <xdr:grpSp>
      <xdr:nvGrpSpPr>
        <xdr:cNvPr id="1125" name="Group 1124">
          <a:extLst>
            <a:ext uri="{FF2B5EF4-FFF2-40B4-BE49-F238E27FC236}">
              <a16:creationId xmlns:a16="http://schemas.microsoft.com/office/drawing/2014/main" id="{00000000-0008-0000-0200-000065040000}"/>
            </a:ext>
          </a:extLst>
        </xdr:cNvPr>
        <xdr:cNvGrpSpPr/>
      </xdr:nvGrpSpPr>
      <xdr:grpSpPr>
        <a:xfrm>
          <a:off x="3391628" y="4376127"/>
          <a:ext cx="146524" cy="182060"/>
          <a:chOff x="3524734" y="4286250"/>
          <a:chExt cx="146524" cy="178152"/>
        </a:xfrm>
      </xdr:grpSpPr>
      <xdr:grpSp>
        <xdr:nvGrpSpPr>
          <xdr:cNvPr id="1106" name="Group 1105">
            <a:extLst>
              <a:ext uri="{FF2B5EF4-FFF2-40B4-BE49-F238E27FC236}">
                <a16:creationId xmlns:a16="http://schemas.microsoft.com/office/drawing/2014/main" id="{00000000-0008-0000-0200-000052040000}"/>
              </a:ext>
            </a:extLst>
          </xdr:cNvPr>
          <xdr:cNvGrpSpPr/>
        </xdr:nvGrpSpPr>
        <xdr:grpSpPr>
          <a:xfrm rot="16200000">
            <a:off x="3534566" y="4347232"/>
            <a:ext cx="107338" cy="127001"/>
            <a:chOff x="11549063" y="1904999"/>
            <a:chExt cx="214312" cy="198439"/>
          </a:xfrm>
        </xdr:grpSpPr>
        <xdr:cxnSp macro="">
          <xdr:nvCxnSpPr>
            <xdr:cNvPr id="1111" name="Straight Connector 1110">
              <a:extLst>
                <a:ext uri="{FF2B5EF4-FFF2-40B4-BE49-F238E27FC236}">
                  <a16:creationId xmlns:a16="http://schemas.microsoft.com/office/drawing/2014/main" id="{00000000-0008-0000-0200-00005704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112" name="Straight Connector 1111">
              <a:extLst>
                <a:ext uri="{FF2B5EF4-FFF2-40B4-BE49-F238E27FC236}">
                  <a16:creationId xmlns:a16="http://schemas.microsoft.com/office/drawing/2014/main" id="{00000000-0008-0000-0200-00005804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113" name="Straight Connector 1112">
              <a:extLst>
                <a:ext uri="{FF2B5EF4-FFF2-40B4-BE49-F238E27FC236}">
                  <a16:creationId xmlns:a16="http://schemas.microsoft.com/office/drawing/2014/main" id="{00000000-0008-0000-0200-00005904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124" name="Pentagon 1123">
            <a:extLst>
              <a:ext uri="{FF2B5EF4-FFF2-40B4-BE49-F238E27FC236}">
                <a16:creationId xmlns:a16="http://schemas.microsoft.com/office/drawing/2014/main" id="{00000000-0008-0000-0200-000064040000}"/>
              </a:ext>
            </a:extLst>
          </xdr:cNvPr>
          <xdr:cNvSpPr/>
        </xdr:nvSpPr>
        <xdr:spPr>
          <a:xfrm>
            <a:off x="3546231" y="4286250"/>
            <a:ext cx="125027"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564173</xdr:colOff>
      <xdr:row>26</xdr:row>
      <xdr:rowOff>0</xdr:rowOff>
    </xdr:from>
    <xdr:to>
      <xdr:col>6</xdr:col>
      <xdr:colOff>739980</xdr:colOff>
      <xdr:row>27</xdr:row>
      <xdr:rowOff>10746</xdr:rowOff>
    </xdr:to>
    <xdr:grpSp>
      <xdr:nvGrpSpPr>
        <xdr:cNvPr id="1133" name="Group 1132">
          <a:extLst>
            <a:ext uri="{FF2B5EF4-FFF2-40B4-BE49-F238E27FC236}">
              <a16:creationId xmlns:a16="http://schemas.microsoft.com/office/drawing/2014/main" id="{00000000-0008-0000-0200-00006D040000}"/>
            </a:ext>
          </a:extLst>
        </xdr:cNvPr>
        <xdr:cNvGrpSpPr/>
      </xdr:nvGrpSpPr>
      <xdr:grpSpPr>
        <a:xfrm>
          <a:off x="5021873" y="4368800"/>
          <a:ext cx="175807" cy="175846"/>
          <a:chOff x="4513385" y="4278923"/>
          <a:chExt cx="175807" cy="171938"/>
        </a:xfrm>
      </xdr:grpSpPr>
      <xdr:grpSp>
        <xdr:nvGrpSpPr>
          <xdr:cNvPr id="1115" name="Group 1114">
            <a:extLst>
              <a:ext uri="{FF2B5EF4-FFF2-40B4-BE49-F238E27FC236}">
                <a16:creationId xmlns:a16="http://schemas.microsoft.com/office/drawing/2014/main" id="{00000000-0008-0000-0200-00005B040000}"/>
              </a:ext>
            </a:extLst>
          </xdr:cNvPr>
          <xdr:cNvGrpSpPr/>
        </xdr:nvGrpSpPr>
        <xdr:grpSpPr>
          <a:xfrm rot="16200000">
            <a:off x="4572001" y="4333670"/>
            <a:ext cx="107338" cy="127044"/>
            <a:chOff x="11549063" y="1904999"/>
            <a:chExt cx="214312" cy="198439"/>
          </a:xfrm>
        </xdr:grpSpPr>
        <xdr:cxnSp macro="">
          <xdr:nvCxnSpPr>
            <xdr:cNvPr id="1120" name="Straight Connector 1119">
              <a:extLst>
                <a:ext uri="{FF2B5EF4-FFF2-40B4-BE49-F238E27FC236}">
                  <a16:creationId xmlns:a16="http://schemas.microsoft.com/office/drawing/2014/main" id="{00000000-0008-0000-0200-00006004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121" name="Straight Connector 1120">
              <a:extLst>
                <a:ext uri="{FF2B5EF4-FFF2-40B4-BE49-F238E27FC236}">
                  <a16:creationId xmlns:a16="http://schemas.microsoft.com/office/drawing/2014/main" id="{00000000-0008-0000-0200-00006104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122" name="Straight Connector 1121">
              <a:extLst>
                <a:ext uri="{FF2B5EF4-FFF2-40B4-BE49-F238E27FC236}">
                  <a16:creationId xmlns:a16="http://schemas.microsoft.com/office/drawing/2014/main" id="{00000000-0008-0000-0200-00006204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132" name="Pentagon 1131">
            <a:extLst>
              <a:ext uri="{FF2B5EF4-FFF2-40B4-BE49-F238E27FC236}">
                <a16:creationId xmlns:a16="http://schemas.microsoft.com/office/drawing/2014/main" id="{00000000-0008-0000-0200-00006C040000}"/>
              </a:ext>
            </a:extLst>
          </xdr:cNvPr>
          <xdr:cNvSpPr/>
        </xdr:nvSpPr>
        <xdr:spPr>
          <a:xfrm rot="10800000">
            <a:off x="4513385" y="4278923"/>
            <a:ext cx="13335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0</xdr:col>
      <xdr:colOff>402981</xdr:colOff>
      <xdr:row>32</xdr:row>
      <xdr:rowOff>139212</xdr:rowOff>
    </xdr:from>
    <xdr:to>
      <xdr:col>4</xdr:col>
      <xdr:colOff>204005</xdr:colOff>
      <xdr:row>35</xdr:row>
      <xdr:rowOff>102576</xdr:rowOff>
    </xdr:to>
    <xdr:sp macro="" textlink="">
      <xdr:nvSpPr>
        <xdr:cNvPr id="1139" name="TextBox 1138">
          <a:extLst>
            <a:ext uri="{FF2B5EF4-FFF2-40B4-BE49-F238E27FC236}">
              <a16:creationId xmlns:a16="http://schemas.microsoft.com/office/drawing/2014/main" id="{00000000-0008-0000-0200-000073040000}"/>
            </a:ext>
          </a:extLst>
        </xdr:cNvPr>
        <xdr:cNvSpPr txBox="1"/>
      </xdr:nvSpPr>
      <xdr:spPr>
        <a:xfrm>
          <a:off x="402981" y="5385289"/>
          <a:ext cx="2424062" cy="446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t>1/8" NPT M/F 90o elbow. 1000psi @ 72F. 50785K41</a:t>
          </a:r>
        </a:p>
      </xdr:txBody>
    </xdr:sp>
    <xdr:clientData/>
  </xdr:twoCellAnchor>
  <xdr:twoCellAnchor>
    <xdr:from>
      <xdr:col>6</xdr:col>
      <xdr:colOff>674076</xdr:colOff>
      <xdr:row>34</xdr:row>
      <xdr:rowOff>161191</xdr:rowOff>
    </xdr:from>
    <xdr:to>
      <xdr:col>6</xdr:col>
      <xdr:colOff>677506</xdr:colOff>
      <xdr:row>38</xdr:row>
      <xdr:rowOff>65062</xdr:rowOff>
    </xdr:to>
    <xdr:cxnSp macro="">
      <xdr:nvCxnSpPr>
        <xdr:cNvPr id="1146" name="Straight Connector 1145">
          <a:extLst>
            <a:ext uri="{FF2B5EF4-FFF2-40B4-BE49-F238E27FC236}">
              <a16:creationId xmlns:a16="http://schemas.microsoft.com/office/drawing/2014/main" id="{00000000-0008-0000-0200-00007A040000}"/>
            </a:ext>
          </a:extLst>
        </xdr:cNvPr>
        <xdr:cNvCxnSpPr/>
      </xdr:nvCxnSpPr>
      <xdr:spPr>
        <a:xfrm flipV="1">
          <a:off x="4623288" y="5729653"/>
          <a:ext cx="3430" cy="54864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234461</xdr:colOff>
      <xdr:row>23</xdr:row>
      <xdr:rowOff>87923</xdr:rowOff>
    </xdr:from>
    <xdr:to>
      <xdr:col>26</xdr:col>
      <xdr:colOff>421561</xdr:colOff>
      <xdr:row>26</xdr:row>
      <xdr:rowOff>80596</xdr:rowOff>
    </xdr:to>
    <xdr:sp macro="" textlink="">
      <xdr:nvSpPr>
        <xdr:cNvPr id="1149" name="TextBox 1148">
          <a:extLst>
            <a:ext uri="{FF2B5EF4-FFF2-40B4-BE49-F238E27FC236}">
              <a16:creationId xmlns:a16="http://schemas.microsoft.com/office/drawing/2014/main" id="{00000000-0008-0000-0200-00007D040000}"/>
            </a:ext>
          </a:extLst>
        </xdr:cNvPr>
        <xdr:cNvSpPr txBox="1"/>
      </xdr:nvSpPr>
      <xdr:spPr>
        <a:xfrm>
          <a:off x="15613673" y="3883269"/>
          <a:ext cx="2619638"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M/F 1/4" NPT 90o</a:t>
          </a:r>
          <a:r>
            <a:rPr lang="en-US" sz="1100" baseline="0">
              <a:solidFill>
                <a:schemeClr val="dk1"/>
              </a:solidFill>
              <a:latin typeface="+mn-lt"/>
              <a:ea typeface="+mn-ea"/>
              <a:cs typeface="+mn-cs"/>
            </a:rPr>
            <a:t> Elbow b</a:t>
          </a:r>
          <a:r>
            <a:rPr lang="en-US" sz="1100">
              <a:solidFill>
                <a:schemeClr val="dk1"/>
              </a:solidFill>
              <a:latin typeface="+mn-lt"/>
              <a:ea typeface="+mn-ea"/>
              <a:cs typeface="+mn-cs"/>
            </a:rPr>
            <a:t>rass Pipe</a:t>
          </a:r>
          <a:r>
            <a:rPr lang="en-US" sz="1100" baseline="0">
              <a:solidFill>
                <a:schemeClr val="dk1"/>
              </a:solidFill>
              <a:latin typeface="+mn-lt"/>
              <a:ea typeface="+mn-ea"/>
              <a:cs typeface="+mn-cs"/>
            </a:rPr>
            <a:t> Fitting. 1000psi @72F. 50785K43</a:t>
          </a:r>
          <a:endParaRPr lang="en-US"/>
        </a:p>
      </xdr:txBody>
    </xdr:sp>
    <xdr:clientData/>
  </xdr:twoCellAnchor>
  <xdr:twoCellAnchor>
    <xdr:from>
      <xdr:col>21</xdr:col>
      <xdr:colOff>80596</xdr:colOff>
      <xdr:row>33</xdr:row>
      <xdr:rowOff>65943</xdr:rowOff>
    </xdr:from>
    <xdr:to>
      <xdr:col>21</xdr:col>
      <xdr:colOff>131396</xdr:colOff>
      <xdr:row>34</xdr:row>
      <xdr:rowOff>28842</xdr:rowOff>
    </xdr:to>
    <xdr:sp macro="" textlink="">
      <xdr:nvSpPr>
        <xdr:cNvPr id="1158" name="Pentagon 1157">
          <a:extLst>
            <a:ext uri="{FF2B5EF4-FFF2-40B4-BE49-F238E27FC236}">
              <a16:creationId xmlns:a16="http://schemas.microsoft.com/office/drawing/2014/main" id="{00000000-0008-0000-0200-000086040000}"/>
            </a:ext>
          </a:extLst>
        </xdr:cNvPr>
        <xdr:cNvSpPr/>
      </xdr:nvSpPr>
      <xdr:spPr>
        <a:xfrm rot="16200000">
          <a:off x="14815027" y="5509858"/>
          <a:ext cx="124092"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21</xdr:col>
      <xdr:colOff>105782</xdr:colOff>
      <xdr:row>34</xdr:row>
      <xdr:rowOff>36176</xdr:rowOff>
    </xdr:from>
    <xdr:to>
      <xdr:col>21</xdr:col>
      <xdr:colOff>109212</xdr:colOff>
      <xdr:row>51</xdr:row>
      <xdr:rowOff>39107</xdr:rowOff>
    </xdr:to>
    <xdr:cxnSp macro="">
      <xdr:nvCxnSpPr>
        <xdr:cNvPr id="1159" name="Straight Connector 1158">
          <a:extLst>
            <a:ext uri="{FF2B5EF4-FFF2-40B4-BE49-F238E27FC236}">
              <a16:creationId xmlns:a16="http://schemas.microsoft.com/office/drawing/2014/main" id="{00000000-0008-0000-0200-000087040000}"/>
            </a:ext>
          </a:extLst>
        </xdr:cNvPr>
        <xdr:cNvCxnSpPr/>
      </xdr:nvCxnSpPr>
      <xdr:spPr>
        <a:xfrm flipV="1">
          <a:off x="14876859" y="5604638"/>
          <a:ext cx="3430" cy="2743200"/>
        </a:xfrm>
        <a:prstGeom prst="line">
          <a:avLst/>
        </a:prstGeom>
        <a:ln w="635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153865</xdr:colOff>
      <xdr:row>51</xdr:row>
      <xdr:rowOff>29307</xdr:rowOff>
    </xdr:from>
    <xdr:to>
      <xdr:col>21</xdr:col>
      <xdr:colOff>130595</xdr:colOff>
      <xdr:row>51</xdr:row>
      <xdr:rowOff>29307</xdr:rowOff>
    </xdr:to>
    <xdr:cxnSp macro="">
      <xdr:nvCxnSpPr>
        <xdr:cNvPr id="1160" name="Straight Connector 1159">
          <a:extLst>
            <a:ext uri="{FF2B5EF4-FFF2-40B4-BE49-F238E27FC236}">
              <a16:creationId xmlns:a16="http://schemas.microsoft.com/office/drawing/2014/main" id="{00000000-0008-0000-0200-000088040000}"/>
            </a:ext>
          </a:extLst>
        </xdr:cNvPr>
        <xdr:cNvCxnSpPr/>
      </xdr:nvCxnSpPr>
      <xdr:spPr>
        <a:xfrm flipH="1">
          <a:off x="10668000" y="8338038"/>
          <a:ext cx="4233672" cy="0"/>
        </a:xfrm>
        <a:prstGeom prst="line">
          <a:avLst/>
        </a:prstGeom>
        <a:ln w="635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186836</xdr:colOff>
      <xdr:row>51</xdr:row>
      <xdr:rowOff>0</xdr:rowOff>
    </xdr:from>
    <xdr:to>
      <xdr:col>14</xdr:col>
      <xdr:colOff>190266</xdr:colOff>
      <xdr:row>51</xdr:row>
      <xdr:rowOff>91897</xdr:rowOff>
    </xdr:to>
    <xdr:cxnSp macro="">
      <xdr:nvCxnSpPr>
        <xdr:cNvPr id="1161" name="Straight Connector 1160">
          <a:extLst>
            <a:ext uri="{FF2B5EF4-FFF2-40B4-BE49-F238E27FC236}">
              <a16:creationId xmlns:a16="http://schemas.microsoft.com/office/drawing/2014/main" id="{00000000-0008-0000-0200-000089040000}"/>
            </a:ext>
          </a:extLst>
        </xdr:cNvPr>
        <xdr:cNvCxnSpPr/>
      </xdr:nvCxnSpPr>
      <xdr:spPr>
        <a:xfrm flipV="1">
          <a:off x="10702436" y="8343900"/>
          <a:ext cx="3430" cy="91897"/>
        </a:xfrm>
        <a:prstGeom prst="line">
          <a:avLst/>
        </a:prstGeom>
        <a:ln w="635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127304</xdr:colOff>
      <xdr:row>51</xdr:row>
      <xdr:rowOff>69504</xdr:rowOff>
    </xdr:from>
    <xdr:to>
      <xdr:col>14</xdr:col>
      <xdr:colOff>242965</xdr:colOff>
      <xdr:row>53</xdr:row>
      <xdr:rowOff>101882</xdr:rowOff>
    </xdr:to>
    <xdr:grpSp>
      <xdr:nvGrpSpPr>
        <xdr:cNvPr id="1162" name="Group 1161">
          <a:extLst>
            <a:ext uri="{FF2B5EF4-FFF2-40B4-BE49-F238E27FC236}">
              <a16:creationId xmlns:a16="http://schemas.microsoft.com/office/drawing/2014/main" id="{00000000-0008-0000-0200-00008A040000}"/>
            </a:ext>
          </a:extLst>
        </xdr:cNvPr>
        <xdr:cNvGrpSpPr/>
      </xdr:nvGrpSpPr>
      <xdr:grpSpPr>
        <a:xfrm rot="10800000">
          <a:off x="12014504" y="8565804"/>
          <a:ext cx="115661" cy="362578"/>
          <a:chOff x="12368892" y="4279450"/>
          <a:chExt cx="115661" cy="442228"/>
        </a:xfrm>
      </xdr:grpSpPr>
      <xdr:sp macro="" textlink="">
        <xdr:nvSpPr>
          <xdr:cNvPr id="1163" name="Up Arrow 1162">
            <a:extLst>
              <a:ext uri="{FF2B5EF4-FFF2-40B4-BE49-F238E27FC236}">
                <a16:creationId xmlns:a16="http://schemas.microsoft.com/office/drawing/2014/main" id="{00000000-0008-0000-0200-00008B040000}"/>
              </a:ext>
            </a:extLst>
          </xdr:cNvPr>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64" name="Down Arrow 1163">
            <a:extLst>
              <a:ext uri="{FF2B5EF4-FFF2-40B4-BE49-F238E27FC236}">
                <a16:creationId xmlns:a16="http://schemas.microsoft.com/office/drawing/2014/main" id="{00000000-0008-0000-0200-00008C040000}"/>
              </a:ext>
            </a:extLst>
          </xdr:cNvPr>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65" name="Group 1164">
            <a:extLst>
              <a:ext uri="{FF2B5EF4-FFF2-40B4-BE49-F238E27FC236}">
                <a16:creationId xmlns:a16="http://schemas.microsoft.com/office/drawing/2014/main" id="{00000000-0008-0000-0200-00008D040000}"/>
              </a:ext>
            </a:extLst>
          </xdr:cNvPr>
          <xdr:cNvGrpSpPr/>
        </xdr:nvGrpSpPr>
        <xdr:grpSpPr>
          <a:xfrm rot="16200000">
            <a:off x="12341678" y="4578803"/>
            <a:ext cx="170089" cy="115661"/>
            <a:chOff x="11549063" y="1904999"/>
            <a:chExt cx="214312" cy="198439"/>
          </a:xfrm>
        </xdr:grpSpPr>
        <xdr:cxnSp macro="">
          <xdr:nvCxnSpPr>
            <xdr:cNvPr id="1166" name="Straight Connector 1165">
              <a:extLst>
                <a:ext uri="{FF2B5EF4-FFF2-40B4-BE49-F238E27FC236}">
                  <a16:creationId xmlns:a16="http://schemas.microsoft.com/office/drawing/2014/main" id="{00000000-0008-0000-0200-00008E040000}"/>
                </a:ext>
              </a:extLst>
            </xdr:cNvPr>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167" name="Straight Connector 1166">
              <a:extLst>
                <a:ext uri="{FF2B5EF4-FFF2-40B4-BE49-F238E27FC236}">
                  <a16:creationId xmlns:a16="http://schemas.microsoft.com/office/drawing/2014/main" id="{00000000-0008-0000-0200-00008F040000}"/>
                </a:ext>
              </a:extLst>
            </xdr:cNvPr>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168" name="Straight Connector 1167">
              <a:extLst>
                <a:ext uri="{FF2B5EF4-FFF2-40B4-BE49-F238E27FC236}">
                  <a16:creationId xmlns:a16="http://schemas.microsoft.com/office/drawing/2014/main" id="{00000000-0008-0000-0200-000090040000}"/>
                </a:ext>
              </a:extLst>
            </xdr:cNvPr>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14</xdr:col>
      <xdr:colOff>163937</xdr:colOff>
      <xdr:row>51</xdr:row>
      <xdr:rowOff>65945</xdr:rowOff>
    </xdr:from>
    <xdr:to>
      <xdr:col>14</xdr:col>
      <xdr:colOff>209656</xdr:colOff>
      <xdr:row>52</xdr:row>
      <xdr:rowOff>3843</xdr:rowOff>
    </xdr:to>
    <xdr:sp macro="" textlink="">
      <xdr:nvSpPr>
        <xdr:cNvPr id="1169" name="Pentagon 1168">
          <a:extLst>
            <a:ext uri="{FF2B5EF4-FFF2-40B4-BE49-F238E27FC236}">
              <a16:creationId xmlns:a16="http://schemas.microsoft.com/office/drawing/2014/main" id="{00000000-0008-0000-0200-000091040000}"/>
            </a:ext>
          </a:extLst>
        </xdr:cNvPr>
        <xdr:cNvSpPr/>
      </xdr:nvSpPr>
      <xdr:spPr>
        <a:xfrm rot="5400000">
          <a:off x="10652485" y="8436897"/>
          <a:ext cx="99823" cy="45719"/>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14</xdr:col>
      <xdr:colOff>153006</xdr:colOff>
      <xdr:row>54</xdr:row>
      <xdr:rowOff>34731</xdr:rowOff>
    </xdr:from>
    <xdr:to>
      <xdr:col>14</xdr:col>
      <xdr:colOff>226286</xdr:colOff>
      <xdr:row>57</xdr:row>
      <xdr:rowOff>33039</xdr:rowOff>
    </xdr:to>
    <xdr:grpSp>
      <xdr:nvGrpSpPr>
        <xdr:cNvPr id="1179" name="Group 1178">
          <a:extLst>
            <a:ext uri="{FF2B5EF4-FFF2-40B4-BE49-F238E27FC236}">
              <a16:creationId xmlns:a16="http://schemas.microsoft.com/office/drawing/2014/main" id="{00000000-0008-0000-0200-00009B040000}"/>
            </a:ext>
          </a:extLst>
        </xdr:cNvPr>
        <xdr:cNvGrpSpPr/>
      </xdr:nvGrpSpPr>
      <xdr:grpSpPr>
        <a:xfrm>
          <a:off x="12040206" y="9026331"/>
          <a:ext cx="73280" cy="493608"/>
          <a:chOff x="8939481" y="6687051"/>
          <a:chExt cx="72823" cy="486006"/>
        </a:xfrm>
      </xdr:grpSpPr>
      <xdr:sp macro="" textlink="">
        <xdr:nvSpPr>
          <xdr:cNvPr id="1180" name="Pentagon 1179">
            <a:extLst>
              <a:ext uri="{FF2B5EF4-FFF2-40B4-BE49-F238E27FC236}">
                <a16:creationId xmlns:a16="http://schemas.microsoft.com/office/drawing/2014/main" id="{00000000-0008-0000-0200-00009C040000}"/>
              </a:ext>
            </a:extLst>
          </xdr:cNvPr>
          <xdr:cNvSpPr/>
        </xdr:nvSpPr>
        <xdr:spPr>
          <a:xfrm rot="16200000">
            <a:off x="8894315" y="6737444"/>
            <a:ext cx="162020" cy="61233"/>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1181" name="Isosceles Triangle 1180">
            <a:extLst>
              <a:ext uri="{FF2B5EF4-FFF2-40B4-BE49-F238E27FC236}">
                <a16:creationId xmlns:a16="http://schemas.microsoft.com/office/drawing/2014/main" id="{00000000-0008-0000-0200-00009D040000}"/>
              </a:ext>
            </a:extLst>
          </xdr:cNvPr>
          <xdr:cNvSpPr/>
        </xdr:nvSpPr>
        <xdr:spPr>
          <a:xfrm rot="10800000">
            <a:off x="8939481" y="6860354"/>
            <a:ext cx="72823" cy="312703"/>
          </a:xfrm>
          <a:prstGeom prst="triangle">
            <a:avLst/>
          </a:prstGeom>
          <a:solidFill>
            <a:schemeClr val="accent2">
              <a:lumMod val="40000"/>
              <a:lumOff val="6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14</xdr:col>
      <xdr:colOff>208946</xdr:colOff>
      <xdr:row>41</xdr:row>
      <xdr:rowOff>106789</xdr:rowOff>
    </xdr:from>
    <xdr:to>
      <xdr:col>15</xdr:col>
      <xdr:colOff>511605</xdr:colOff>
      <xdr:row>52</xdr:row>
      <xdr:rowOff>92853</xdr:rowOff>
    </xdr:to>
    <xdr:cxnSp macro="">
      <xdr:nvCxnSpPr>
        <xdr:cNvPr id="1186" name="Straight Arrow Connector 1185">
          <a:extLst>
            <a:ext uri="{FF2B5EF4-FFF2-40B4-BE49-F238E27FC236}">
              <a16:creationId xmlns:a16="http://schemas.microsoft.com/office/drawing/2014/main" id="{00000000-0008-0000-0200-0000A2040000}"/>
            </a:ext>
          </a:extLst>
        </xdr:cNvPr>
        <xdr:cNvCxnSpPr>
          <a:stCxn id="546" idx="1"/>
          <a:endCxn id="1163" idx="1"/>
        </xdr:cNvCxnSpPr>
      </xdr:nvCxnSpPr>
      <xdr:spPr>
        <a:xfrm flipH="1">
          <a:off x="10723081" y="6803597"/>
          <a:ext cx="910793" cy="175917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105996</xdr:colOff>
      <xdr:row>34</xdr:row>
      <xdr:rowOff>28842</xdr:rowOff>
    </xdr:from>
    <xdr:to>
      <xdr:col>25</xdr:col>
      <xdr:colOff>503222</xdr:colOff>
      <xdr:row>43</xdr:row>
      <xdr:rowOff>130511</xdr:rowOff>
    </xdr:to>
    <xdr:cxnSp macro="">
      <xdr:nvCxnSpPr>
        <xdr:cNvPr id="1191" name="Straight Arrow Connector 1190">
          <a:extLst>
            <a:ext uri="{FF2B5EF4-FFF2-40B4-BE49-F238E27FC236}">
              <a16:creationId xmlns:a16="http://schemas.microsoft.com/office/drawing/2014/main" id="{00000000-0008-0000-0200-0000A7040000}"/>
            </a:ext>
          </a:extLst>
        </xdr:cNvPr>
        <xdr:cNvCxnSpPr>
          <a:stCxn id="971" idx="0"/>
          <a:endCxn id="1158" idx="1"/>
        </xdr:cNvCxnSpPr>
      </xdr:nvCxnSpPr>
      <xdr:spPr>
        <a:xfrm flipH="1" flipV="1">
          <a:off x="14877073" y="5597304"/>
          <a:ext cx="2829764" cy="155239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1384787</xdr:colOff>
      <xdr:row>56</xdr:row>
      <xdr:rowOff>124559</xdr:rowOff>
    </xdr:from>
    <xdr:to>
      <xdr:col>10</xdr:col>
      <xdr:colOff>216962</xdr:colOff>
      <xdr:row>57</xdr:row>
      <xdr:rowOff>81422</xdr:rowOff>
    </xdr:to>
    <xdr:grpSp>
      <xdr:nvGrpSpPr>
        <xdr:cNvPr id="1194" name="Group 1193">
          <a:extLst>
            <a:ext uri="{FF2B5EF4-FFF2-40B4-BE49-F238E27FC236}">
              <a16:creationId xmlns:a16="http://schemas.microsoft.com/office/drawing/2014/main" id="{00000000-0008-0000-0200-0000AA040000}"/>
            </a:ext>
          </a:extLst>
        </xdr:cNvPr>
        <xdr:cNvGrpSpPr/>
      </xdr:nvGrpSpPr>
      <xdr:grpSpPr>
        <a:xfrm rot="5400000">
          <a:off x="8505943" y="9221303"/>
          <a:ext cx="121963" cy="572075"/>
          <a:chOff x="12368892" y="4279450"/>
          <a:chExt cx="115661" cy="442228"/>
        </a:xfrm>
      </xdr:grpSpPr>
      <xdr:sp macro="" textlink="">
        <xdr:nvSpPr>
          <xdr:cNvPr id="1195" name="Up Arrow 1194">
            <a:extLst>
              <a:ext uri="{FF2B5EF4-FFF2-40B4-BE49-F238E27FC236}">
                <a16:creationId xmlns:a16="http://schemas.microsoft.com/office/drawing/2014/main" id="{00000000-0008-0000-0200-0000AB040000}"/>
              </a:ext>
            </a:extLst>
          </xdr:cNvPr>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96" name="Down Arrow 1195">
            <a:extLst>
              <a:ext uri="{FF2B5EF4-FFF2-40B4-BE49-F238E27FC236}">
                <a16:creationId xmlns:a16="http://schemas.microsoft.com/office/drawing/2014/main" id="{00000000-0008-0000-0200-0000AC040000}"/>
              </a:ext>
            </a:extLst>
          </xdr:cNvPr>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97" name="Group 1196">
            <a:extLst>
              <a:ext uri="{FF2B5EF4-FFF2-40B4-BE49-F238E27FC236}">
                <a16:creationId xmlns:a16="http://schemas.microsoft.com/office/drawing/2014/main" id="{00000000-0008-0000-0200-0000AD040000}"/>
              </a:ext>
            </a:extLst>
          </xdr:cNvPr>
          <xdr:cNvGrpSpPr/>
        </xdr:nvGrpSpPr>
        <xdr:grpSpPr>
          <a:xfrm rot="16200000">
            <a:off x="12341678" y="4578803"/>
            <a:ext cx="170089" cy="115661"/>
            <a:chOff x="11549063" y="1904999"/>
            <a:chExt cx="214312" cy="198439"/>
          </a:xfrm>
        </xdr:grpSpPr>
        <xdr:cxnSp macro="">
          <xdr:nvCxnSpPr>
            <xdr:cNvPr id="1198" name="Straight Connector 1197">
              <a:extLst>
                <a:ext uri="{FF2B5EF4-FFF2-40B4-BE49-F238E27FC236}">
                  <a16:creationId xmlns:a16="http://schemas.microsoft.com/office/drawing/2014/main" id="{00000000-0008-0000-0200-0000AE040000}"/>
                </a:ext>
              </a:extLst>
            </xdr:cNvPr>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199" name="Straight Connector 1198">
              <a:extLst>
                <a:ext uri="{FF2B5EF4-FFF2-40B4-BE49-F238E27FC236}">
                  <a16:creationId xmlns:a16="http://schemas.microsoft.com/office/drawing/2014/main" id="{00000000-0008-0000-0200-0000AF040000}"/>
                </a:ext>
              </a:extLst>
            </xdr:cNvPr>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00" name="Straight Connector 1199">
              <a:extLst>
                <a:ext uri="{FF2B5EF4-FFF2-40B4-BE49-F238E27FC236}">
                  <a16:creationId xmlns:a16="http://schemas.microsoft.com/office/drawing/2014/main" id="{00000000-0008-0000-0200-0000B0040000}"/>
                </a:ext>
              </a:extLst>
            </xdr:cNvPr>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9</xdr:col>
      <xdr:colOff>1326171</xdr:colOff>
      <xdr:row>57</xdr:row>
      <xdr:rowOff>0</xdr:rowOff>
    </xdr:from>
    <xdr:to>
      <xdr:col>9</xdr:col>
      <xdr:colOff>1459521</xdr:colOff>
      <xdr:row>57</xdr:row>
      <xdr:rowOff>50800</xdr:rowOff>
    </xdr:to>
    <xdr:sp macro="" textlink="">
      <xdr:nvSpPr>
        <xdr:cNvPr id="1221" name="Pentagon 1220">
          <a:extLst>
            <a:ext uri="{FF2B5EF4-FFF2-40B4-BE49-F238E27FC236}">
              <a16:creationId xmlns:a16="http://schemas.microsoft.com/office/drawing/2014/main" id="{00000000-0008-0000-0200-0000C5040000}"/>
            </a:ext>
          </a:extLst>
        </xdr:cNvPr>
        <xdr:cNvSpPr/>
      </xdr:nvSpPr>
      <xdr:spPr>
        <a:xfrm>
          <a:off x="7429498" y="9275885"/>
          <a:ext cx="13335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10</xdr:col>
      <xdr:colOff>443643</xdr:colOff>
      <xdr:row>53</xdr:row>
      <xdr:rowOff>135183</xdr:rowOff>
    </xdr:from>
    <xdr:to>
      <xdr:col>10</xdr:col>
      <xdr:colOff>561699</xdr:colOff>
      <xdr:row>56</xdr:row>
      <xdr:rowOff>7049</xdr:rowOff>
    </xdr:to>
    <xdr:grpSp>
      <xdr:nvGrpSpPr>
        <xdr:cNvPr id="1236" name="Group 1235">
          <a:extLst>
            <a:ext uri="{FF2B5EF4-FFF2-40B4-BE49-F238E27FC236}">
              <a16:creationId xmlns:a16="http://schemas.microsoft.com/office/drawing/2014/main" id="{00000000-0008-0000-0200-0000D4040000}"/>
            </a:ext>
          </a:extLst>
        </xdr:cNvPr>
        <xdr:cNvGrpSpPr/>
      </xdr:nvGrpSpPr>
      <xdr:grpSpPr>
        <a:xfrm rot="10800000">
          <a:off x="9079643" y="8961683"/>
          <a:ext cx="118056" cy="367166"/>
          <a:chOff x="12368892" y="4279450"/>
          <a:chExt cx="115661" cy="442228"/>
        </a:xfrm>
      </xdr:grpSpPr>
      <xdr:sp macro="" textlink="">
        <xdr:nvSpPr>
          <xdr:cNvPr id="1237" name="Up Arrow 1236">
            <a:extLst>
              <a:ext uri="{FF2B5EF4-FFF2-40B4-BE49-F238E27FC236}">
                <a16:creationId xmlns:a16="http://schemas.microsoft.com/office/drawing/2014/main" id="{00000000-0008-0000-0200-0000D5040000}"/>
              </a:ext>
            </a:extLst>
          </xdr:cNvPr>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38" name="Down Arrow 1237">
            <a:extLst>
              <a:ext uri="{FF2B5EF4-FFF2-40B4-BE49-F238E27FC236}">
                <a16:creationId xmlns:a16="http://schemas.microsoft.com/office/drawing/2014/main" id="{00000000-0008-0000-0200-0000D6040000}"/>
              </a:ext>
            </a:extLst>
          </xdr:cNvPr>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39" name="Group 1238">
            <a:extLst>
              <a:ext uri="{FF2B5EF4-FFF2-40B4-BE49-F238E27FC236}">
                <a16:creationId xmlns:a16="http://schemas.microsoft.com/office/drawing/2014/main" id="{00000000-0008-0000-0200-0000D7040000}"/>
              </a:ext>
            </a:extLst>
          </xdr:cNvPr>
          <xdr:cNvGrpSpPr/>
        </xdr:nvGrpSpPr>
        <xdr:grpSpPr>
          <a:xfrm rot="16200000">
            <a:off x="12341678" y="4578803"/>
            <a:ext cx="170089" cy="115661"/>
            <a:chOff x="11549063" y="1904999"/>
            <a:chExt cx="214312" cy="198439"/>
          </a:xfrm>
        </xdr:grpSpPr>
        <xdr:cxnSp macro="">
          <xdr:nvCxnSpPr>
            <xdr:cNvPr id="1240" name="Straight Connector 1239">
              <a:extLst>
                <a:ext uri="{FF2B5EF4-FFF2-40B4-BE49-F238E27FC236}">
                  <a16:creationId xmlns:a16="http://schemas.microsoft.com/office/drawing/2014/main" id="{00000000-0008-0000-0200-0000D8040000}"/>
                </a:ext>
              </a:extLst>
            </xdr:cNvPr>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41" name="Straight Connector 1240">
              <a:extLst>
                <a:ext uri="{FF2B5EF4-FFF2-40B4-BE49-F238E27FC236}">
                  <a16:creationId xmlns:a16="http://schemas.microsoft.com/office/drawing/2014/main" id="{00000000-0008-0000-0200-0000D9040000}"/>
                </a:ext>
              </a:extLst>
            </xdr:cNvPr>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42" name="Straight Connector 1241">
              <a:extLst>
                <a:ext uri="{FF2B5EF4-FFF2-40B4-BE49-F238E27FC236}">
                  <a16:creationId xmlns:a16="http://schemas.microsoft.com/office/drawing/2014/main" id="{00000000-0008-0000-0200-0000DA040000}"/>
                </a:ext>
              </a:extLst>
            </xdr:cNvPr>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10</xdr:col>
      <xdr:colOff>465235</xdr:colOff>
      <xdr:row>51</xdr:row>
      <xdr:rowOff>75492</xdr:rowOff>
    </xdr:from>
    <xdr:to>
      <xdr:col>10</xdr:col>
      <xdr:colOff>538058</xdr:colOff>
      <xdr:row>54</xdr:row>
      <xdr:rowOff>77927</xdr:rowOff>
    </xdr:to>
    <xdr:grpSp>
      <xdr:nvGrpSpPr>
        <xdr:cNvPr id="1243" name="Group 1242">
          <a:extLst>
            <a:ext uri="{FF2B5EF4-FFF2-40B4-BE49-F238E27FC236}">
              <a16:creationId xmlns:a16="http://schemas.microsoft.com/office/drawing/2014/main" id="{00000000-0008-0000-0200-0000DB040000}"/>
            </a:ext>
          </a:extLst>
        </xdr:cNvPr>
        <xdr:cNvGrpSpPr/>
      </xdr:nvGrpSpPr>
      <xdr:grpSpPr>
        <a:xfrm>
          <a:off x="9101235" y="8571792"/>
          <a:ext cx="72823" cy="497735"/>
          <a:chOff x="8939493" y="6687051"/>
          <a:chExt cx="72823" cy="486012"/>
        </a:xfrm>
      </xdr:grpSpPr>
      <xdr:sp macro="" textlink="">
        <xdr:nvSpPr>
          <xdr:cNvPr id="1244" name="Pentagon 1243">
            <a:extLst>
              <a:ext uri="{FF2B5EF4-FFF2-40B4-BE49-F238E27FC236}">
                <a16:creationId xmlns:a16="http://schemas.microsoft.com/office/drawing/2014/main" id="{00000000-0008-0000-0200-0000DC040000}"/>
              </a:ext>
            </a:extLst>
          </xdr:cNvPr>
          <xdr:cNvSpPr/>
        </xdr:nvSpPr>
        <xdr:spPr>
          <a:xfrm rot="16200000">
            <a:off x="8894315" y="6737444"/>
            <a:ext cx="162020" cy="61233"/>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1245" name="Isosceles Triangle 1244">
            <a:extLst>
              <a:ext uri="{FF2B5EF4-FFF2-40B4-BE49-F238E27FC236}">
                <a16:creationId xmlns:a16="http://schemas.microsoft.com/office/drawing/2014/main" id="{00000000-0008-0000-0200-0000DD040000}"/>
              </a:ext>
            </a:extLst>
          </xdr:cNvPr>
          <xdr:cNvSpPr/>
        </xdr:nvSpPr>
        <xdr:spPr>
          <a:xfrm rot="10800000">
            <a:off x="8939493" y="6860360"/>
            <a:ext cx="72823" cy="312703"/>
          </a:xfrm>
          <a:prstGeom prst="triangle">
            <a:avLst/>
          </a:prstGeom>
          <a:solidFill>
            <a:schemeClr val="accent2">
              <a:lumMod val="40000"/>
              <a:lumOff val="6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9</xdr:col>
      <xdr:colOff>1164981</xdr:colOff>
      <xdr:row>50</xdr:row>
      <xdr:rowOff>9526</xdr:rowOff>
    </xdr:from>
    <xdr:to>
      <xdr:col>9</xdr:col>
      <xdr:colOff>1168411</xdr:colOff>
      <xdr:row>57</xdr:row>
      <xdr:rowOff>19051</xdr:rowOff>
    </xdr:to>
    <xdr:cxnSp macro="">
      <xdr:nvCxnSpPr>
        <xdr:cNvPr id="1246" name="Straight Connector 1245">
          <a:extLst>
            <a:ext uri="{FF2B5EF4-FFF2-40B4-BE49-F238E27FC236}">
              <a16:creationId xmlns:a16="http://schemas.microsoft.com/office/drawing/2014/main" id="{00000000-0008-0000-0200-0000DE040000}"/>
            </a:ext>
          </a:extLst>
        </xdr:cNvPr>
        <xdr:cNvCxnSpPr/>
      </xdr:nvCxnSpPr>
      <xdr:spPr>
        <a:xfrm flipV="1">
          <a:off x="7260981" y="8191501"/>
          <a:ext cx="3430" cy="114300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1143001</xdr:colOff>
      <xdr:row>57</xdr:row>
      <xdr:rowOff>29310</xdr:rowOff>
    </xdr:from>
    <xdr:to>
      <xdr:col>9</xdr:col>
      <xdr:colOff>1325881</xdr:colOff>
      <xdr:row>57</xdr:row>
      <xdr:rowOff>29310</xdr:rowOff>
    </xdr:to>
    <xdr:cxnSp macro="">
      <xdr:nvCxnSpPr>
        <xdr:cNvPr id="1247" name="Straight Connector 1246">
          <a:extLst>
            <a:ext uri="{FF2B5EF4-FFF2-40B4-BE49-F238E27FC236}">
              <a16:creationId xmlns:a16="http://schemas.microsoft.com/office/drawing/2014/main" id="{00000000-0008-0000-0200-0000DF040000}"/>
            </a:ext>
          </a:extLst>
        </xdr:cNvPr>
        <xdr:cNvCxnSpPr/>
      </xdr:nvCxnSpPr>
      <xdr:spPr>
        <a:xfrm flipH="1">
          <a:off x="7246328" y="9305195"/>
          <a:ext cx="182880" cy="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1143007</xdr:colOff>
      <xdr:row>50</xdr:row>
      <xdr:rowOff>7328</xdr:rowOff>
    </xdr:from>
    <xdr:to>
      <xdr:col>10</xdr:col>
      <xdr:colOff>487687</xdr:colOff>
      <xdr:row>50</xdr:row>
      <xdr:rowOff>7328</xdr:rowOff>
    </xdr:to>
    <xdr:cxnSp macro="">
      <xdr:nvCxnSpPr>
        <xdr:cNvPr id="1257" name="Straight Connector 1256">
          <a:extLst>
            <a:ext uri="{FF2B5EF4-FFF2-40B4-BE49-F238E27FC236}">
              <a16:creationId xmlns:a16="http://schemas.microsoft.com/office/drawing/2014/main" id="{00000000-0008-0000-0200-0000E9040000}"/>
            </a:ext>
          </a:extLst>
        </xdr:cNvPr>
        <xdr:cNvCxnSpPr/>
      </xdr:nvCxnSpPr>
      <xdr:spPr>
        <a:xfrm flipH="1">
          <a:off x="7239007" y="8189303"/>
          <a:ext cx="868680" cy="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505549</xdr:colOff>
      <xdr:row>36</xdr:row>
      <xdr:rowOff>9357</xdr:rowOff>
    </xdr:from>
    <xdr:to>
      <xdr:col>13</xdr:col>
      <xdr:colOff>257685</xdr:colOff>
      <xdr:row>50</xdr:row>
      <xdr:rowOff>85970</xdr:rowOff>
    </xdr:to>
    <xdr:cxnSp macro="">
      <xdr:nvCxnSpPr>
        <xdr:cNvPr id="1258" name="Straight Arrow Connector 1257">
          <a:extLst>
            <a:ext uri="{FF2B5EF4-FFF2-40B4-BE49-F238E27FC236}">
              <a16:creationId xmlns:a16="http://schemas.microsoft.com/office/drawing/2014/main" id="{00000000-0008-0000-0200-0000EA040000}"/>
            </a:ext>
          </a:extLst>
        </xdr:cNvPr>
        <xdr:cNvCxnSpPr>
          <a:stCxn id="89" idx="2"/>
          <a:endCxn id="1262" idx="0"/>
        </xdr:cNvCxnSpPr>
      </xdr:nvCxnSpPr>
      <xdr:spPr>
        <a:xfrm flipH="1">
          <a:off x="8125549" y="5924382"/>
          <a:ext cx="2038136" cy="23435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454749</xdr:colOff>
      <xdr:row>50</xdr:row>
      <xdr:rowOff>36155</xdr:rowOff>
    </xdr:from>
    <xdr:to>
      <xdr:col>10</xdr:col>
      <xdr:colOff>505549</xdr:colOff>
      <xdr:row>50</xdr:row>
      <xdr:rowOff>161182</xdr:rowOff>
    </xdr:to>
    <xdr:sp macro="" textlink="">
      <xdr:nvSpPr>
        <xdr:cNvPr id="1262" name="Pentagon 1261">
          <a:extLst>
            <a:ext uri="{FF2B5EF4-FFF2-40B4-BE49-F238E27FC236}">
              <a16:creationId xmlns:a16="http://schemas.microsoft.com/office/drawing/2014/main" id="{00000000-0008-0000-0200-0000EE040000}"/>
            </a:ext>
          </a:extLst>
        </xdr:cNvPr>
        <xdr:cNvSpPr/>
      </xdr:nvSpPr>
      <xdr:spPr>
        <a:xfrm rot="5400000">
          <a:off x="8037635" y="8255244"/>
          <a:ext cx="125027"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9</xdr:col>
      <xdr:colOff>1377460</xdr:colOff>
      <xdr:row>60</xdr:row>
      <xdr:rowOff>0</xdr:rowOff>
    </xdr:from>
    <xdr:to>
      <xdr:col>10</xdr:col>
      <xdr:colOff>209635</xdr:colOff>
      <xdr:row>60</xdr:row>
      <xdr:rowOff>118056</xdr:rowOff>
    </xdr:to>
    <xdr:grpSp>
      <xdr:nvGrpSpPr>
        <xdr:cNvPr id="1271" name="Group 1270">
          <a:extLst>
            <a:ext uri="{FF2B5EF4-FFF2-40B4-BE49-F238E27FC236}">
              <a16:creationId xmlns:a16="http://schemas.microsoft.com/office/drawing/2014/main" id="{00000000-0008-0000-0200-0000F7040000}"/>
            </a:ext>
          </a:extLst>
        </xdr:cNvPr>
        <xdr:cNvGrpSpPr/>
      </xdr:nvGrpSpPr>
      <xdr:grpSpPr>
        <a:xfrm rot="5400000">
          <a:off x="8500570" y="9755190"/>
          <a:ext cx="118056" cy="572075"/>
          <a:chOff x="12368892" y="4279450"/>
          <a:chExt cx="115661" cy="442228"/>
        </a:xfrm>
      </xdr:grpSpPr>
      <xdr:sp macro="" textlink="">
        <xdr:nvSpPr>
          <xdr:cNvPr id="1272" name="Up Arrow 1271">
            <a:extLst>
              <a:ext uri="{FF2B5EF4-FFF2-40B4-BE49-F238E27FC236}">
                <a16:creationId xmlns:a16="http://schemas.microsoft.com/office/drawing/2014/main" id="{00000000-0008-0000-0200-0000F8040000}"/>
              </a:ext>
            </a:extLst>
          </xdr:cNvPr>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73" name="Down Arrow 1272">
            <a:extLst>
              <a:ext uri="{FF2B5EF4-FFF2-40B4-BE49-F238E27FC236}">
                <a16:creationId xmlns:a16="http://schemas.microsoft.com/office/drawing/2014/main" id="{00000000-0008-0000-0200-0000F9040000}"/>
              </a:ext>
            </a:extLst>
          </xdr:cNvPr>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74" name="Group 1273">
            <a:extLst>
              <a:ext uri="{FF2B5EF4-FFF2-40B4-BE49-F238E27FC236}">
                <a16:creationId xmlns:a16="http://schemas.microsoft.com/office/drawing/2014/main" id="{00000000-0008-0000-0200-0000FA040000}"/>
              </a:ext>
            </a:extLst>
          </xdr:cNvPr>
          <xdr:cNvGrpSpPr/>
        </xdr:nvGrpSpPr>
        <xdr:grpSpPr>
          <a:xfrm rot="16200000">
            <a:off x="12341678" y="4578803"/>
            <a:ext cx="170089" cy="115661"/>
            <a:chOff x="11549063" y="1904999"/>
            <a:chExt cx="214312" cy="198439"/>
          </a:xfrm>
        </xdr:grpSpPr>
        <xdr:cxnSp macro="">
          <xdr:nvCxnSpPr>
            <xdr:cNvPr id="1275" name="Straight Connector 1274">
              <a:extLst>
                <a:ext uri="{FF2B5EF4-FFF2-40B4-BE49-F238E27FC236}">
                  <a16:creationId xmlns:a16="http://schemas.microsoft.com/office/drawing/2014/main" id="{00000000-0008-0000-0200-0000FB040000}"/>
                </a:ext>
              </a:extLst>
            </xdr:cNvPr>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76" name="Straight Connector 1275">
              <a:extLst>
                <a:ext uri="{FF2B5EF4-FFF2-40B4-BE49-F238E27FC236}">
                  <a16:creationId xmlns:a16="http://schemas.microsoft.com/office/drawing/2014/main" id="{00000000-0008-0000-0200-0000FC040000}"/>
                </a:ext>
              </a:extLst>
            </xdr:cNvPr>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77" name="Straight Connector 1276">
              <a:extLst>
                <a:ext uri="{FF2B5EF4-FFF2-40B4-BE49-F238E27FC236}">
                  <a16:creationId xmlns:a16="http://schemas.microsoft.com/office/drawing/2014/main" id="{00000000-0008-0000-0200-0000FD040000}"/>
                </a:ext>
              </a:extLst>
            </xdr:cNvPr>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9</xdr:col>
      <xdr:colOff>1340823</xdr:colOff>
      <xdr:row>60</xdr:row>
      <xdr:rowOff>29308</xdr:rowOff>
    </xdr:from>
    <xdr:to>
      <xdr:col>9</xdr:col>
      <xdr:colOff>1474173</xdr:colOff>
      <xdr:row>60</xdr:row>
      <xdr:rowOff>80108</xdr:rowOff>
    </xdr:to>
    <xdr:sp macro="" textlink="">
      <xdr:nvSpPr>
        <xdr:cNvPr id="1286" name="Pentagon 1285">
          <a:extLst>
            <a:ext uri="{FF2B5EF4-FFF2-40B4-BE49-F238E27FC236}">
              <a16:creationId xmlns:a16="http://schemas.microsoft.com/office/drawing/2014/main" id="{00000000-0008-0000-0200-000006050000}"/>
            </a:ext>
          </a:extLst>
        </xdr:cNvPr>
        <xdr:cNvSpPr/>
      </xdr:nvSpPr>
      <xdr:spPr>
        <a:xfrm>
          <a:off x="7444150" y="9788770"/>
          <a:ext cx="13335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8</xdr:col>
      <xdr:colOff>571499</xdr:colOff>
      <xdr:row>60</xdr:row>
      <xdr:rowOff>51291</xdr:rowOff>
    </xdr:from>
    <xdr:to>
      <xdr:col>9</xdr:col>
      <xdr:colOff>1334964</xdr:colOff>
      <xdr:row>60</xdr:row>
      <xdr:rowOff>51291</xdr:rowOff>
    </xdr:to>
    <xdr:cxnSp macro="">
      <xdr:nvCxnSpPr>
        <xdr:cNvPr id="1287" name="Straight Connector 1286">
          <a:extLst>
            <a:ext uri="{FF2B5EF4-FFF2-40B4-BE49-F238E27FC236}">
              <a16:creationId xmlns:a16="http://schemas.microsoft.com/office/drawing/2014/main" id="{00000000-0008-0000-0200-000007050000}"/>
            </a:ext>
          </a:extLst>
        </xdr:cNvPr>
        <xdr:cNvCxnSpPr/>
      </xdr:nvCxnSpPr>
      <xdr:spPr>
        <a:xfrm flipH="1">
          <a:off x="6066691" y="9810753"/>
          <a:ext cx="1371600" cy="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424961</xdr:colOff>
      <xdr:row>60</xdr:row>
      <xdr:rowOff>21980</xdr:rowOff>
    </xdr:from>
    <xdr:to>
      <xdr:col>8</xdr:col>
      <xdr:colOff>558311</xdr:colOff>
      <xdr:row>60</xdr:row>
      <xdr:rowOff>72780</xdr:rowOff>
    </xdr:to>
    <xdr:sp macro="" textlink="">
      <xdr:nvSpPr>
        <xdr:cNvPr id="1288" name="Pentagon 1287">
          <a:extLst>
            <a:ext uri="{FF2B5EF4-FFF2-40B4-BE49-F238E27FC236}">
              <a16:creationId xmlns:a16="http://schemas.microsoft.com/office/drawing/2014/main" id="{00000000-0008-0000-0200-000008050000}"/>
            </a:ext>
          </a:extLst>
        </xdr:cNvPr>
        <xdr:cNvSpPr/>
      </xdr:nvSpPr>
      <xdr:spPr>
        <a:xfrm rot="10800000">
          <a:off x="5920153" y="9781442"/>
          <a:ext cx="13335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8</xdr:col>
      <xdr:colOff>558311</xdr:colOff>
      <xdr:row>34</xdr:row>
      <xdr:rowOff>62508</xdr:rowOff>
    </xdr:from>
    <xdr:to>
      <xdr:col>10</xdr:col>
      <xdr:colOff>787173</xdr:colOff>
      <xdr:row>60</xdr:row>
      <xdr:rowOff>47380</xdr:rowOff>
    </xdr:to>
    <xdr:cxnSp macro="">
      <xdr:nvCxnSpPr>
        <xdr:cNvPr id="1331" name="Straight Arrow Connector 1330">
          <a:extLst>
            <a:ext uri="{FF2B5EF4-FFF2-40B4-BE49-F238E27FC236}">
              <a16:creationId xmlns:a16="http://schemas.microsoft.com/office/drawing/2014/main" id="{00000000-0008-0000-0200-000033050000}"/>
            </a:ext>
          </a:extLst>
        </xdr:cNvPr>
        <xdr:cNvCxnSpPr>
          <a:stCxn id="89" idx="1"/>
          <a:endCxn id="1288" idx="1"/>
        </xdr:cNvCxnSpPr>
      </xdr:nvCxnSpPr>
      <xdr:spPr>
        <a:xfrm flipH="1">
          <a:off x="6053503" y="5630970"/>
          <a:ext cx="2360997" cy="417587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1038841</xdr:colOff>
      <xdr:row>18</xdr:row>
      <xdr:rowOff>153865</xdr:rowOff>
    </xdr:from>
    <xdr:to>
      <xdr:col>10</xdr:col>
      <xdr:colOff>38355</xdr:colOff>
      <xdr:row>60</xdr:row>
      <xdr:rowOff>81389</xdr:rowOff>
    </xdr:to>
    <xdr:cxnSp macro="">
      <xdr:nvCxnSpPr>
        <xdr:cNvPr id="1335" name="Straight Arrow Connector 1334">
          <a:extLst>
            <a:ext uri="{FF2B5EF4-FFF2-40B4-BE49-F238E27FC236}">
              <a16:creationId xmlns:a16="http://schemas.microsoft.com/office/drawing/2014/main" id="{00000000-0008-0000-0200-000037050000}"/>
            </a:ext>
          </a:extLst>
        </xdr:cNvPr>
        <xdr:cNvCxnSpPr>
          <a:stCxn id="329" idx="2"/>
          <a:endCxn id="1272" idx="3"/>
        </xdr:cNvCxnSpPr>
      </xdr:nvCxnSpPr>
      <xdr:spPr>
        <a:xfrm>
          <a:off x="7142168" y="3143250"/>
          <a:ext cx="523514" cy="66976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124557</xdr:colOff>
      <xdr:row>53</xdr:row>
      <xdr:rowOff>21981</xdr:rowOff>
    </xdr:from>
    <xdr:to>
      <xdr:col>14</xdr:col>
      <xdr:colOff>257002</xdr:colOff>
      <xdr:row>54</xdr:row>
      <xdr:rowOff>95534</xdr:rowOff>
    </xdr:to>
    <xdr:grpSp>
      <xdr:nvGrpSpPr>
        <xdr:cNvPr id="1338" name="Group 1337">
          <a:extLst>
            <a:ext uri="{FF2B5EF4-FFF2-40B4-BE49-F238E27FC236}">
              <a16:creationId xmlns:a16="http://schemas.microsoft.com/office/drawing/2014/main" id="{00000000-0008-0000-0200-00003A050000}"/>
            </a:ext>
          </a:extLst>
        </xdr:cNvPr>
        <xdr:cNvGrpSpPr/>
      </xdr:nvGrpSpPr>
      <xdr:grpSpPr>
        <a:xfrm>
          <a:off x="12011757" y="8848481"/>
          <a:ext cx="132445" cy="238653"/>
          <a:chOff x="3541190" y="4583497"/>
          <a:chExt cx="132445" cy="238933"/>
        </a:xfrm>
      </xdr:grpSpPr>
      <xdr:grpSp>
        <xdr:nvGrpSpPr>
          <xdr:cNvPr id="1339" name="Group 1338">
            <a:extLst>
              <a:ext uri="{FF2B5EF4-FFF2-40B4-BE49-F238E27FC236}">
                <a16:creationId xmlns:a16="http://schemas.microsoft.com/office/drawing/2014/main" id="{00000000-0008-0000-0200-00003B050000}"/>
              </a:ext>
            </a:extLst>
          </xdr:cNvPr>
          <xdr:cNvGrpSpPr/>
        </xdr:nvGrpSpPr>
        <xdr:grpSpPr>
          <a:xfrm rot="16200000">
            <a:off x="3555508" y="4704303"/>
            <a:ext cx="109253" cy="127001"/>
            <a:chOff x="11549063" y="1904999"/>
            <a:chExt cx="214312" cy="198439"/>
          </a:xfrm>
        </xdr:grpSpPr>
        <xdr:cxnSp macro="">
          <xdr:nvCxnSpPr>
            <xdr:cNvPr id="1344" name="Straight Connector 1343">
              <a:extLst>
                <a:ext uri="{FF2B5EF4-FFF2-40B4-BE49-F238E27FC236}">
                  <a16:creationId xmlns:a16="http://schemas.microsoft.com/office/drawing/2014/main" id="{00000000-0008-0000-0200-00004005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345" name="Straight Connector 1344">
              <a:extLst>
                <a:ext uri="{FF2B5EF4-FFF2-40B4-BE49-F238E27FC236}">
                  <a16:creationId xmlns:a16="http://schemas.microsoft.com/office/drawing/2014/main" id="{00000000-0008-0000-0200-00004105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346" name="Straight Connector 1345">
              <a:extLst>
                <a:ext uri="{FF2B5EF4-FFF2-40B4-BE49-F238E27FC236}">
                  <a16:creationId xmlns:a16="http://schemas.microsoft.com/office/drawing/2014/main" id="{00000000-0008-0000-0200-00004205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1340" name="Group 1339">
            <a:extLst>
              <a:ext uri="{FF2B5EF4-FFF2-40B4-BE49-F238E27FC236}">
                <a16:creationId xmlns:a16="http://schemas.microsoft.com/office/drawing/2014/main" id="{00000000-0008-0000-0200-00003C050000}"/>
              </a:ext>
            </a:extLst>
          </xdr:cNvPr>
          <xdr:cNvGrpSpPr/>
        </xdr:nvGrpSpPr>
        <xdr:grpSpPr>
          <a:xfrm rot="5400000">
            <a:off x="3550064" y="4574623"/>
            <a:ext cx="109253" cy="127001"/>
            <a:chOff x="11549063" y="1904999"/>
            <a:chExt cx="214312" cy="198439"/>
          </a:xfrm>
        </xdr:grpSpPr>
        <xdr:cxnSp macro="">
          <xdr:nvCxnSpPr>
            <xdr:cNvPr id="1341" name="Straight Connector 1340">
              <a:extLst>
                <a:ext uri="{FF2B5EF4-FFF2-40B4-BE49-F238E27FC236}">
                  <a16:creationId xmlns:a16="http://schemas.microsoft.com/office/drawing/2014/main" id="{00000000-0008-0000-0200-00003D05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342" name="Straight Connector 1341">
              <a:extLst>
                <a:ext uri="{FF2B5EF4-FFF2-40B4-BE49-F238E27FC236}">
                  <a16:creationId xmlns:a16="http://schemas.microsoft.com/office/drawing/2014/main" id="{00000000-0008-0000-0200-00003E05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343" name="Straight Connector 1342">
              <a:extLst>
                <a:ext uri="{FF2B5EF4-FFF2-40B4-BE49-F238E27FC236}">
                  <a16:creationId xmlns:a16="http://schemas.microsoft.com/office/drawing/2014/main" id="{00000000-0008-0000-0200-00003F05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0</xdr:colOff>
      <xdr:row>53</xdr:row>
      <xdr:rowOff>0</xdr:rowOff>
    </xdr:from>
    <xdr:to>
      <xdr:col>19</xdr:col>
      <xdr:colOff>40204</xdr:colOff>
      <xdr:row>56</xdr:row>
      <xdr:rowOff>104776</xdr:rowOff>
    </xdr:to>
    <xdr:sp macro="" textlink="">
      <xdr:nvSpPr>
        <xdr:cNvPr id="1347" name="TextBox 1346">
          <a:extLst>
            <a:ext uri="{FF2B5EF4-FFF2-40B4-BE49-F238E27FC236}">
              <a16:creationId xmlns:a16="http://schemas.microsoft.com/office/drawing/2014/main" id="{00000000-0008-0000-0200-000043050000}"/>
            </a:ext>
          </a:extLst>
        </xdr:cNvPr>
        <xdr:cNvSpPr txBox="1"/>
      </xdr:nvSpPr>
      <xdr:spPr>
        <a:xfrm>
          <a:off x="11122269" y="8631115"/>
          <a:ext cx="2472743" cy="588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1/8" F/F NPT Brass Coupling. 1000psi @ 72F. 50785K91</a:t>
          </a:r>
        </a:p>
      </xdr:txBody>
    </xdr:sp>
    <xdr:clientData/>
  </xdr:twoCellAnchor>
  <xdr:twoCellAnchor>
    <xdr:from>
      <xdr:col>14</xdr:col>
      <xdr:colOff>189076</xdr:colOff>
      <xdr:row>54</xdr:row>
      <xdr:rowOff>34731</xdr:rowOff>
    </xdr:from>
    <xdr:to>
      <xdr:col>15</xdr:col>
      <xdr:colOff>0</xdr:colOff>
      <xdr:row>54</xdr:row>
      <xdr:rowOff>132984</xdr:rowOff>
    </xdr:to>
    <xdr:cxnSp macro="">
      <xdr:nvCxnSpPr>
        <xdr:cNvPr id="1348" name="Straight Arrow Connector 1347">
          <a:extLst>
            <a:ext uri="{FF2B5EF4-FFF2-40B4-BE49-F238E27FC236}">
              <a16:creationId xmlns:a16="http://schemas.microsoft.com/office/drawing/2014/main" id="{00000000-0008-0000-0200-000044050000}"/>
            </a:ext>
          </a:extLst>
        </xdr:cNvPr>
        <xdr:cNvCxnSpPr>
          <a:stCxn id="1347" idx="1"/>
          <a:endCxn id="1180" idx="3"/>
        </xdr:cNvCxnSpPr>
      </xdr:nvCxnSpPr>
      <xdr:spPr>
        <a:xfrm flipH="1" flipV="1">
          <a:off x="10703211" y="8827039"/>
          <a:ext cx="419058" cy="982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300403</xdr:colOff>
      <xdr:row>16</xdr:row>
      <xdr:rowOff>139211</xdr:rowOff>
    </xdr:from>
    <xdr:to>
      <xdr:col>6</xdr:col>
      <xdr:colOff>303833</xdr:colOff>
      <xdr:row>18</xdr:row>
      <xdr:rowOff>45426</xdr:rowOff>
    </xdr:to>
    <xdr:cxnSp macro="">
      <xdr:nvCxnSpPr>
        <xdr:cNvPr id="741" name="Straight Connector 740">
          <a:extLst>
            <a:ext uri="{FF2B5EF4-FFF2-40B4-BE49-F238E27FC236}">
              <a16:creationId xmlns:a16="http://schemas.microsoft.com/office/drawing/2014/main" id="{00000000-0008-0000-0200-0000E5020000}"/>
            </a:ext>
          </a:extLst>
        </xdr:cNvPr>
        <xdr:cNvCxnSpPr/>
      </xdr:nvCxnSpPr>
      <xdr:spPr>
        <a:xfrm flipV="1">
          <a:off x="4249615" y="2806211"/>
          <a:ext cx="3430" cy="22860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323874</xdr:colOff>
      <xdr:row>23</xdr:row>
      <xdr:rowOff>126573</xdr:rowOff>
    </xdr:from>
    <xdr:to>
      <xdr:col>6</xdr:col>
      <xdr:colOff>466351</xdr:colOff>
      <xdr:row>25</xdr:row>
      <xdr:rowOff>55461</xdr:rowOff>
    </xdr:to>
    <xdr:grpSp>
      <xdr:nvGrpSpPr>
        <xdr:cNvPr id="104" name="Group 103">
          <a:extLst>
            <a:ext uri="{FF2B5EF4-FFF2-40B4-BE49-F238E27FC236}">
              <a16:creationId xmlns:a16="http://schemas.microsoft.com/office/drawing/2014/main" id="{00000000-0008-0000-0200-000068000000}"/>
            </a:ext>
          </a:extLst>
        </xdr:cNvPr>
        <xdr:cNvGrpSpPr/>
      </xdr:nvGrpSpPr>
      <xdr:grpSpPr>
        <a:xfrm>
          <a:off x="4781574" y="4000073"/>
          <a:ext cx="142477" cy="259088"/>
          <a:chOff x="4273086" y="3921919"/>
          <a:chExt cx="142477" cy="251273"/>
        </a:xfrm>
      </xdr:grpSpPr>
      <xdr:sp macro="" textlink="">
        <xdr:nvSpPr>
          <xdr:cNvPr id="251" name="Pentagon 250">
            <a:extLst>
              <a:ext uri="{FF2B5EF4-FFF2-40B4-BE49-F238E27FC236}">
                <a16:creationId xmlns:a16="http://schemas.microsoft.com/office/drawing/2014/main" id="{00000000-0008-0000-0200-0000FB000000}"/>
              </a:ext>
            </a:extLst>
          </xdr:cNvPr>
          <xdr:cNvSpPr/>
        </xdr:nvSpPr>
        <xdr:spPr>
          <a:xfrm rot="5400000">
            <a:off x="4288612" y="4081825"/>
            <a:ext cx="120378" cy="62356"/>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250" name="Group 249">
            <a:extLst>
              <a:ext uri="{FF2B5EF4-FFF2-40B4-BE49-F238E27FC236}">
                <a16:creationId xmlns:a16="http://schemas.microsoft.com/office/drawing/2014/main" id="{00000000-0008-0000-0200-0000FA000000}"/>
              </a:ext>
            </a:extLst>
          </xdr:cNvPr>
          <xdr:cNvGrpSpPr/>
        </xdr:nvGrpSpPr>
        <xdr:grpSpPr>
          <a:xfrm rot="16200000">
            <a:off x="4284365" y="3910640"/>
            <a:ext cx="119919" cy="142477"/>
            <a:chOff x="3250407" y="1738312"/>
            <a:chExt cx="214312" cy="214312"/>
          </a:xfrm>
        </xdr:grpSpPr>
        <xdr:sp macro="" textlink="">
          <xdr:nvSpPr>
            <xdr:cNvPr id="256" name="Oval 255">
              <a:extLst>
                <a:ext uri="{FF2B5EF4-FFF2-40B4-BE49-F238E27FC236}">
                  <a16:creationId xmlns:a16="http://schemas.microsoft.com/office/drawing/2014/main" id="{00000000-0008-0000-0200-000000010000}"/>
                </a:ext>
              </a:extLst>
            </xdr:cNvPr>
            <xdr:cNvSpPr/>
          </xdr:nvSpPr>
          <xdr:spPr>
            <a:xfrm>
              <a:off x="3250407" y="1738312"/>
              <a:ext cx="214312" cy="214312"/>
            </a:xfrm>
            <a:prstGeom prst="ellips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57" name="Straight Connector 256">
              <a:extLst>
                <a:ext uri="{FF2B5EF4-FFF2-40B4-BE49-F238E27FC236}">
                  <a16:creationId xmlns:a16="http://schemas.microsoft.com/office/drawing/2014/main" id="{00000000-0008-0000-0200-000001010000}"/>
                </a:ext>
              </a:extLst>
            </xdr:cNvPr>
            <xdr:cNvCxnSpPr>
              <a:stCxn id="256" idx="1"/>
              <a:endCxn id="256" idx="5"/>
            </xdr:cNvCxnSpPr>
          </xdr:nvCxnSpPr>
          <xdr:spPr>
            <a:xfrm rot="16200000" flipH="1">
              <a:off x="3281792" y="1769697"/>
              <a:ext cx="151542" cy="151542"/>
            </a:xfrm>
            <a:prstGeom prst="line">
              <a:avLst/>
            </a:prstGeom>
            <a:ln w="2794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6</xdr:col>
      <xdr:colOff>128406</xdr:colOff>
      <xdr:row>25</xdr:row>
      <xdr:rowOff>17546</xdr:rowOff>
    </xdr:from>
    <xdr:to>
      <xdr:col>6</xdr:col>
      <xdr:colOff>600289</xdr:colOff>
      <xdr:row>26</xdr:row>
      <xdr:rowOff>62190</xdr:rowOff>
    </xdr:to>
    <xdr:grpSp>
      <xdr:nvGrpSpPr>
        <xdr:cNvPr id="105" name="Group 104">
          <a:extLst>
            <a:ext uri="{FF2B5EF4-FFF2-40B4-BE49-F238E27FC236}">
              <a16:creationId xmlns:a16="http://schemas.microsoft.com/office/drawing/2014/main" id="{00000000-0008-0000-0200-000069000000}"/>
            </a:ext>
          </a:extLst>
        </xdr:cNvPr>
        <xdr:cNvGrpSpPr/>
      </xdr:nvGrpSpPr>
      <xdr:grpSpPr>
        <a:xfrm>
          <a:off x="4586106" y="4221246"/>
          <a:ext cx="471883" cy="209744"/>
          <a:chOff x="4077618" y="4135277"/>
          <a:chExt cx="471883" cy="205836"/>
        </a:xfrm>
      </xdr:grpSpPr>
      <xdr:sp macro="" textlink="">
        <xdr:nvSpPr>
          <xdr:cNvPr id="248" name="Pentagon 247">
            <a:extLst>
              <a:ext uri="{FF2B5EF4-FFF2-40B4-BE49-F238E27FC236}">
                <a16:creationId xmlns:a16="http://schemas.microsoft.com/office/drawing/2014/main" id="{00000000-0008-0000-0200-0000F8000000}"/>
              </a:ext>
            </a:extLst>
          </xdr:cNvPr>
          <xdr:cNvSpPr/>
        </xdr:nvSpPr>
        <xdr:spPr>
          <a:xfrm rot="10800000">
            <a:off x="4077618" y="4293564"/>
            <a:ext cx="128738" cy="34112"/>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249" name="Group 248">
            <a:extLst>
              <a:ext uri="{FF2B5EF4-FFF2-40B4-BE49-F238E27FC236}">
                <a16:creationId xmlns:a16="http://schemas.microsoft.com/office/drawing/2014/main" id="{00000000-0008-0000-0200-0000F9000000}"/>
              </a:ext>
            </a:extLst>
          </xdr:cNvPr>
          <xdr:cNvGrpSpPr/>
        </xdr:nvGrpSpPr>
        <xdr:grpSpPr>
          <a:xfrm>
            <a:off x="4176121" y="4220107"/>
            <a:ext cx="307645" cy="89019"/>
            <a:chOff x="4356988" y="4795137"/>
            <a:chExt cx="364191" cy="129848"/>
          </a:xfrm>
        </xdr:grpSpPr>
        <xdr:cxnSp macro="">
          <xdr:nvCxnSpPr>
            <xdr:cNvPr id="258" name="Straight Connector 257">
              <a:extLst>
                <a:ext uri="{FF2B5EF4-FFF2-40B4-BE49-F238E27FC236}">
                  <a16:creationId xmlns:a16="http://schemas.microsoft.com/office/drawing/2014/main" id="{00000000-0008-0000-0200-000002010000}"/>
                </a:ext>
              </a:extLst>
            </xdr:cNvPr>
            <xdr:cNvCxnSpPr/>
          </xdr:nvCxnSpPr>
          <xdr:spPr>
            <a:xfrm rot="5400000">
              <a:off x="4508896" y="4843953"/>
              <a:ext cx="97632"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cxnSp macro="">
          <xdr:nvCxnSpPr>
            <xdr:cNvPr id="259" name="Straight Connector 258">
              <a:extLst>
                <a:ext uri="{FF2B5EF4-FFF2-40B4-BE49-F238E27FC236}">
                  <a16:creationId xmlns:a16="http://schemas.microsoft.com/office/drawing/2014/main" id="{00000000-0008-0000-0200-000003010000}"/>
                </a:ext>
              </a:extLst>
            </xdr:cNvPr>
            <xdr:cNvCxnSpPr/>
          </xdr:nvCxnSpPr>
          <xdr:spPr>
            <a:xfrm rot="10800000">
              <a:off x="4356988" y="4924985"/>
              <a:ext cx="364191"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grpSp>
      <xdr:grpSp>
        <xdr:nvGrpSpPr>
          <xdr:cNvPr id="252" name="Group 251">
            <a:extLst>
              <a:ext uri="{FF2B5EF4-FFF2-40B4-BE49-F238E27FC236}">
                <a16:creationId xmlns:a16="http://schemas.microsoft.com/office/drawing/2014/main" id="{00000000-0008-0000-0200-0000FC000000}"/>
              </a:ext>
            </a:extLst>
          </xdr:cNvPr>
          <xdr:cNvGrpSpPr/>
        </xdr:nvGrpSpPr>
        <xdr:grpSpPr>
          <a:xfrm rot="10800000">
            <a:off x="4457736" y="4272861"/>
            <a:ext cx="91765" cy="68252"/>
            <a:chOff x="11549063" y="1904999"/>
            <a:chExt cx="214312" cy="198439"/>
          </a:xfrm>
        </xdr:grpSpPr>
        <xdr:cxnSp macro="">
          <xdr:nvCxnSpPr>
            <xdr:cNvPr id="253" name="Straight Connector 252">
              <a:extLst>
                <a:ext uri="{FF2B5EF4-FFF2-40B4-BE49-F238E27FC236}">
                  <a16:creationId xmlns:a16="http://schemas.microsoft.com/office/drawing/2014/main" id="{00000000-0008-0000-0200-0000FD00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54" name="Straight Connector 253">
              <a:extLst>
                <a:ext uri="{FF2B5EF4-FFF2-40B4-BE49-F238E27FC236}">
                  <a16:creationId xmlns:a16="http://schemas.microsoft.com/office/drawing/2014/main" id="{00000000-0008-0000-0200-0000FE00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55" name="Straight Connector 254">
              <a:extLst>
                <a:ext uri="{FF2B5EF4-FFF2-40B4-BE49-F238E27FC236}">
                  <a16:creationId xmlns:a16="http://schemas.microsoft.com/office/drawing/2014/main" id="{00000000-0008-0000-0200-0000FF00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743" name="Group 742">
            <a:extLst>
              <a:ext uri="{FF2B5EF4-FFF2-40B4-BE49-F238E27FC236}">
                <a16:creationId xmlns:a16="http://schemas.microsoft.com/office/drawing/2014/main" id="{00000000-0008-0000-0200-0000E7020000}"/>
              </a:ext>
            </a:extLst>
          </xdr:cNvPr>
          <xdr:cNvGrpSpPr/>
        </xdr:nvGrpSpPr>
        <xdr:grpSpPr>
          <a:xfrm rot="5400000">
            <a:off x="4293581" y="4147034"/>
            <a:ext cx="91765" cy="68252"/>
            <a:chOff x="11549063" y="1904999"/>
            <a:chExt cx="214312" cy="198439"/>
          </a:xfrm>
        </xdr:grpSpPr>
        <xdr:cxnSp macro="">
          <xdr:nvCxnSpPr>
            <xdr:cNvPr id="744" name="Straight Connector 743">
              <a:extLst>
                <a:ext uri="{FF2B5EF4-FFF2-40B4-BE49-F238E27FC236}">
                  <a16:creationId xmlns:a16="http://schemas.microsoft.com/office/drawing/2014/main" id="{00000000-0008-0000-0200-0000E802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745" name="Straight Connector 744">
              <a:extLst>
                <a:ext uri="{FF2B5EF4-FFF2-40B4-BE49-F238E27FC236}">
                  <a16:creationId xmlns:a16="http://schemas.microsoft.com/office/drawing/2014/main" id="{00000000-0008-0000-0200-0000E902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746" name="Straight Connector 745">
              <a:extLst>
                <a:ext uri="{FF2B5EF4-FFF2-40B4-BE49-F238E27FC236}">
                  <a16:creationId xmlns:a16="http://schemas.microsoft.com/office/drawing/2014/main" id="{00000000-0008-0000-0200-0000EA02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4</xdr:col>
      <xdr:colOff>342769</xdr:colOff>
      <xdr:row>7</xdr:row>
      <xdr:rowOff>104976</xdr:rowOff>
    </xdr:from>
    <xdr:to>
      <xdr:col>4</xdr:col>
      <xdr:colOff>574230</xdr:colOff>
      <xdr:row>28</xdr:row>
      <xdr:rowOff>55402</xdr:rowOff>
    </xdr:to>
    <xdr:cxnSp macro="">
      <xdr:nvCxnSpPr>
        <xdr:cNvPr id="739" name="Straight Arrow Connector 738">
          <a:extLst>
            <a:ext uri="{FF2B5EF4-FFF2-40B4-BE49-F238E27FC236}">
              <a16:creationId xmlns:a16="http://schemas.microsoft.com/office/drawing/2014/main" id="{00000000-0008-0000-0200-0000E3020000}"/>
            </a:ext>
          </a:extLst>
        </xdr:cNvPr>
        <xdr:cNvCxnSpPr>
          <a:stCxn id="738" idx="2"/>
          <a:endCxn id="797" idx="2"/>
        </xdr:cNvCxnSpPr>
      </xdr:nvCxnSpPr>
      <xdr:spPr>
        <a:xfrm>
          <a:off x="2962144" y="1324176"/>
          <a:ext cx="231461" cy="33508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549520</xdr:colOff>
      <xdr:row>8</xdr:row>
      <xdr:rowOff>153865</xdr:rowOff>
    </xdr:from>
    <xdr:to>
      <xdr:col>6</xdr:col>
      <xdr:colOff>321235</xdr:colOff>
      <xdr:row>11</xdr:row>
      <xdr:rowOff>117230</xdr:rowOff>
    </xdr:to>
    <xdr:sp macro="" textlink="">
      <xdr:nvSpPr>
        <xdr:cNvPr id="841" name="TextBox 840">
          <a:extLst>
            <a:ext uri="{FF2B5EF4-FFF2-40B4-BE49-F238E27FC236}">
              <a16:creationId xmlns:a16="http://schemas.microsoft.com/office/drawing/2014/main" id="{00000000-0008-0000-0200-000049030000}"/>
            </a:ext>
          </a:extLst>
        </xdr:cNvPr>
        <xdr:cNvSpPr txBox="1"/>
      </xdr:nvSpPr>
      <xdr:spPr>
        <a:xfrm>
          <a:off x="1846385" y="1531327"/>
          <a:ext cx="2424062" cy="446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t>M/M 1/8" NPT brass nipple</a:t>
          </a:r>
          <a:r>
            <a:rPr lang="en-US" baseline="0"/>
            <a:t> 5485K21</a:t>
          </a:r>
          <a:endParaRPr lang="en-US"/>
        </a:p>
      </xdr:txBody>
    </xdr:sp>
    <xdr:clientData/>
  </xdr:twoCellAnchor>
  <xdr:twoCellAnchor>
    <xdr:from>
      <xdr:col>4</xdr:col>
      <xdr:colOff>575166</xdr:colOff>
      <xdr:row>24</xdr:row>
      <xdr:rowOff>13920</xdr:rowOff>
    </xdr:from>
    <xdr:to>
      <xdr:col>5</xdr:col>
      <xdr:colOff>323850</xdr:colOff>
      <xdr:row>26</xdr:row>
      <xdr:rowOff>69329</xdr:rowOff>
    </xdr:to>
    <xdr:grpSp>
      <xdr:nvGrpSpPr>
        <xdr:cNvPr id="24" name="Group 23">
          <a:extLst>
            <a:ext uri="{FF2B5EF4-FFF2-40B4-BE49-F238E27FC236}">
              <a16:creationId xmlns:a16="http://schemas.microsoft.com/office/drawing/2014/main" id="{00000000-0008-0000-0200-000018000000}"/>
            </a:ext>
          </a:extLst>
        </xdr:cNvPr>
        <xdr:cNvGrpSpPr/>
      </xdr:nvGrpSpPr>
      <xdr:grpSpPr>
        <a:xfrm>
          <a:off x="3521566" y="4052520"/>
          <a:ext cx="586884" cy="385609"/>
          <a:chOff x="3194541" y="3985845"/>
          <a:chExt cx="482109" cy="379259"/>
        </a:xfrm>
      </xdr:grpSpPr>
      <xdr:grpSp>
        <xdr:nvGrpSpPr>
          <xdr:cNvPr id="14" name="Group 13">
            <a:extLst>
              <a:ext uri="{FF2B5EF4-FFF2-40B4-BE49-F238E27FC236}">
                <a16:creationId xmlns:a16="http://schemas.microsoft.com/office/drawing/2014/main" id="{00000000-0008-0000-0200-00000E000000}"/>
              </a:ext>
            </a:extLst>
          </xdr:cNvPr>
          <xdr:cNvGrpSpPr/>
        </xdr:nvGrpSpPr>
        <xdr:grpSpPr>
          <a:xfrm>
            <a:off x="3194541" y="3985845"/>
            <a:ext cx="482109" cy="379259"/>
            <a:chOff x="3223116" y="5709870"/>
            <a:chExt cx="482109" cy="379259"/>
          </a:xfrm>
        </xdr:grpSpPr>
        <xdr:sp macro="" textlink="">
          <xdr:nvSpPr>
            <xdr:cNvPr id="821" name="Pentagon 820">
              <a:extLst>
                <a:ext uri="{FF2B5EF4-FFF2-40B4-BE49-F238E27FC236}">
                  <a16:creationId xmlns:a16="http://schemas.microsoft.com/office/drawing/2014/main" id="{00000000-0008-0000-0200-000035030000}"/>
                </a:ext>
              </a:extLst>
            </xdr:cNvPr>
            <xdr:cNvSpPr/>
          </xdr:nvSpPr>
          <xdr:spPr>
            <a:xfrm rot="5400000">
              <a:off x="3407779" y="5869992"/>
              <a:ext cx="120611" cy="62664"/>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9" name="Group 8">
              <a:extLst>
                <a:ext uri="{FF2B5EF4-FFF2-40B4-BE49-F238E27FC236}">
                  <a16:creationId xmlns:a16="http://schemas.microsoft.com/office/drawing/2014/main" id="{00000000-0008-0000-0200-000009000000}"/>
                </a:ext>
              </a:extLst>
            </xdr:cNvPr>
            <xdr:cNvGrpSpPr/>
          </xdr:nvGrpSpPr>
          <xdr:grpSpPr>
            <a:xfrm>
              <a:off x="3223116" y="5709870"/>
              <a:ext cx="482109" cy="379259"/>
              <a:chOff x="3223116" y="5709870"/>
              <a:chExt cx="482109" cy="379259"/>
            </a:xfrm>
          </xdr:grpSpPr>
          <xdr:grpSp>
            <xdr:nvGrpSpPr>
              <xdr:cNvPr id="820" name="Group 819">
                <a:extLst>
                  <a:ext uri="{FF2B5EF4-FFF2-40B4-BE49-F238E27FC236}">
                    <a16:creationId xmlns:a16="http://schemas.microsoft.com/office/drawing/2014/main" id="{00000000-0008-0000-0200-000034030000}"/>
                  </a:ext>
                </a:extLst>
              </xdr:cNvPr>
              <xdr:cNvGrpSpPr/>
            </xdr:nvGrpSpPr>
            <xdr:grpSpPr>
              <a:xfrm rot="16200000">
                <a:off x="3403510" y="5698355"/>
                <a:ext cx="120151" cy="143182"/>
                <a:chOff x="3250407" y="1738312"/>
                <a:chExt cx="214312" cy="214312"/>
              </a:xfrm>
            </xdr:grpSpPr>
            <xdr:sp macro="" textlink="">
              <xdr:nvSpPr>
                <xdr:cNvPr id="826" name="Oval 825">
                  <a:extLst>
                    <a:ext uri="{FF2B5EF4-FFF2-40B4-BE49-F238E27FC236}">
                      <a16:creationId xmlns:a16="http://schemas.microsoft.com/office/drawing/2014/main" id="{00000000-0008-0000-0200-00003A030000}"/>
                    </a:ext>
                  </a:extLst>
                </xdr:cNvPr>
                <xdr:cNvSpPr/>
              </xdr:nvSpPr>
              <xdr:spPr>
                <a:xfrm>
                  <a:off x="3250407" y="1738312"/>
                  <a:ext cx="214312" cy="214312"/>
                </a:xfrm>
                <a:prstGeom prst="ellips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827" name="Straight Connector 826">
                  <a:extLst>
                    <a:ext uri="{FF2B5EF4-FFF2-40B4-BE49-F238E27FC236}">
                      <a16:creationId xmlns:a16="http://schemas.microsoft.com/office/drawing/2014/main" id="{00000000-0008-0000-0200-00003B030000}"/>
                    </a:ext>
                  </a:extLst>
                </xdr:cNvPr>
                <xdr:cNvCxnSpPr>
                  <a:stCxn id="826" idx="1"/>
                  <a:endCxn id="826" idx="5"/>
                </xdr:cNvCxnSpPr>
              </xdr:nvCxnSpPr>
              <xdr:spPr>
                <a:xfrm rot="16200000" flipH="1">
                  <a:off x="3281792" y="1769697"/>
                  <a:ext cx="151542" cy="151542"/>
                </a:xfrm>
                <a:prstGeom prst="line">
                  <a:avLst/>
                </a:prstGeom>
                <a:ln w="2794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864" name="Group 863">
                <a:extLst>
                  <a:ext uri="{FF2B5EF4-FFF2-40B4-BE49-F238E27FC236}">
                    <a16:creationId xmlns:a16="http://schemas.microsoft.com/office/drawing/2014/main" id="{00000000-0008-0000-0200-000060030000}"/>
                  </a:ext>
                </a:extLst>
              </xdr:cNvPr>
              <xdr:cNvGrpSpPr/>
            </xdr:nvGrpSpPr>
            <xdr:grpSpPr>
              <a:xfrm>
                <a:off x="3223116" y="6016509"/>
                <a:ext cx="69449" cy="72620"/>
                <a:chOff x="11549063" y="1904999"/>
                <a:chExt cx="214312" cy="198439"/>
              </a:xfrm>
            </xdr:grpSpPr>
            <xdr:cxnSp macro="">
              <xdr:nvCxnSpPr>
                <xdr:cNvPr id="865" name="Straight Connector 864">
                  <a:extLst>
                    <a:ext uri="{FF2B5EF4-FFF2-40B4-BE49-F238E27FC236}">
                      <a16:creationId xmlns:a16="http://schemas.microsoft.com/office/drawing/2014/main" id="{00000000-0008-0000-0200-00006103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66" name="Straight Connector 865">
                  <a:extLst>
                    <a:ext uri="{FF2B5EF4-FFF2-40B4-BE49-F238E27FC236}">
                      <a16:creationId xmlns:a16="http://schemas.microsoft.com/office/drawing/2014/main" id="{00000000-0008-0000-0200-00006203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67" name="Straight Connector 866">
                  <a:extLst>
                    <a:ext uri="{FF2B5EF4-FFF2-40B4-BE49-F238E27FC236}">
                      <a16:creationId xmlns:a16="http://schemas.microsoft.com/office/drawing/2014/main" id="{00000000-0008-0000-0200-00006303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7" name="Group 6">
                <a:extLst>
                  <a:ext uri="{FF2B5EF4-FFF2-40B4-BE49-F238E27FC236}">
                    <a16:creationId xmlns:a16="http://schemas.microsoft.com/office/drawing/2014/main" id="{00000000-0008-0000-0200-000007000000}"/>
                  </a:ext>
                </a:extLst>
              </xdr:cNvPr>
              <xdr:cNvGrpSpPr/>
            </xdr:nvGrpSpPr>
            <xdr:grpSpPr>
              <a:xfrm>
                <a:off x="3294550" y="5957247"/>
                <a:ext cx="410675" cy="122878"/>
                <a:chOff x="3294550" y="5957247"/>
                <a:chExt cx="410675" cy="122878"/>
              </a:xfrm>
            </xdr:grpSpPr>
            <xdr:grpSp>
              <xdr:nvGrpSpPr>
                <xdr:cNvPr id="819" name="Group 818">
                  <a:extLst>
                    <a:ext uri="{FF2B5EF4-FFF2-40B4-BE49-F238E27FC236}">
                      <a16:creationId xmlns:a16="http://schemas.microsoft.com/office/drawing/2014/main" id="{00000000-0008-0000-0200-000033030000}"/>
                    </a:ext>
                  </a:extLst>
                </xdr:cNvPr>
                <xdr:cNvGrpSpPr/>
              </xdr:nvGrpSpPr>
              <xdr:grpSpPr>
                <a:xfrm>
                  <a:off x="3294550" y="5957247"/>
                  <a:ext cx="309166" cy="89191"/>
                  <a:chOff x="4356988" y="4795137"/>
                  <a:chExt cx="364191" cy="129848"/>
                </a:xfrm>
              </xdr:grpSpPr>
              <xdr:cxnSp macro="">
                <xdr:nvCxnSpPr>
                  <xdr:cNvPr id="828" name="Straight Connector 827">
                    <a:extLst>
                      <a:ext uri="{FF2B5EF4-FFF2-40B4-BE49-F238E27FC236}">
                        <a16:creationId xmlns:a16="http://schemas.microsoft.com/office/drawing/2014/main" id="{00000000-0008-0000-0200-00003C030000}"/>
                      </a:ext>
                    </a:extLst>
                  </xdr:cNvPr>
                  <xdr:cNvCxnSpPr/>
                </xdr:nvCxnSpPr>
                <xdr:spPr>
                  <a:xfrm rot="5400000">
                    <a:off x="4508896" y="4843953"/>
                    <a:ext cx="97632"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cxnSp macro="">
                <xdr:nvCxnSpPr>
                  <xdr:cNvPr id="829" name="Straight Connector 828">
                    <a:extLst>
                      <a:ext uri="{FF2B5EF4-FFF2-40B4-BE49-F238E27FC236}">
                        <a16:creationId xmlns:a16="http://schemas.microsoft.com/office/drawing/2014/main" id="{00000000-0008-0000-0200-00003D030000}"/>
                      </a:ext>
                    </a:extLst>
                  </xdr:cNvPr>
                  <xdr:cNvCxnSpPr/>
                </xdr:nvCxnSpPr>
                <xdr:spPr>
                  <a:xfrm rot="10800000">
                    <a:off x="4356988" y="4924985"/>
                    <a:ext cx="364191"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800" name="Pentagon 799">
                  <a:extLst>
                    <a:ext uri="{FF2B5EF4-FFF2-40B4-BE49-F238E27FC236}">
                      <a16:creationId xmlns:a16="http://schemas.microsoft.com/office/drawing/2014/main" id="{00000000-0008-0000-0200-000020030000}"/>
                    </a:ext>
                  </a:extLst>
                </xdr:cNvPr>
                <xdr:cNvSpPr/>
              </xdr:nvSpPr>
              <xdr:spPr>
                <a:xfrm>
                  <a:off x="3571875" y="6029325"/>
                  <a:ext cx="13335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grpSp>
      </xdr:grpSp>
      <xdr:grpSp>
        <xdr:nvGrpSpPr>
          <xdr:cNvPr id="767" name="Group 766">
            <a:extLst>
              <a:ext uri="{FF2B5EF4-FFF2-40B4-BE49-F238E27FC236}">
                <a16:creationId xmlns:a16="http://schemas.microsoft.com/office/drawing/2014/main" id="{00000000-0008-0000-0200-0000FF020000}"/>
              </a:ext>
            </a:extLst>
          </xdr:cNvPr>
          <xdr:cNvGrpSpPr/>
        </xdr:nvGrpSpPr>
        <xdr:grpSpPr>
          <a:xfrm rot="5400000">
            <a:off x="3381514" y="4124188"/>
            <a:ext cx="107674" cy="127001"/>
            <a:chOff x="11549063" y="1904999"/>
            <a:chExt cx="214312" cy="198439"/>
          </a:xfrm>
        </xdr:grpSpPr>
        <xdr:cxnSp macro="">
          <xdr:nvCxnSpPr>
            <xdr:cNvPr id="768" name="Straight Connector 767">
              <a:extLst>
                <a:ext uri="{FF2B5EF4-FFF2-40B4-BE49-F238E27FC236}">
                  <a16:creationId xmlns:a16="http://schemas.microsoft.com/office/drawing/2014/main" id="{00000000-0008-0000-0200-00000003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769" name="Straight Connector 768">
              <a:extLst>
                <a:ext uri="{FF2B5EF4-FFF2-40B4-BE49-F238E27FC236}">
                  <a16:creationId xmlns:a16="http://schemas.microsoft.com/office/drawing/2014/main" id="{00000000-0008-0000-0200-00000103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771" name="Straight Connector 770">
              <a:extLst>
                <a:ext uri="{FF2B5EF4-FFF2-40B4-BE49-F238E27FC236}">
                  <a16:creationId xmlns:a16="http://schemas.microsoft.com/office/drawing/2014/main" id="{00000000-0008-0000-0200-00000303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4</xdr:col>
      <xdr:colOff>510504</xdr:colOff>
      <xdr:row>23</xdr:row>
      <xdr:rowOff>87100</xdr:rowOff>
    </xdr:from>
    <xdr:to>
      <xdr:col>5</xdr:col>
      <xdr:colOff>55378</xdr:colOff>
      <xdr:row>25</xdr:row>
      <xdr:rowOff>27784</xdr:rowOff>
    </xdr:to>
    <xdr:cxnSp macro="">
      <xdr:nvCxnSpPr>
        <xdr:cNvPr id="806" name="Straight Arrow Connector 805">
          <a:extLst>
            <a:ext uri="{FF2B5EF4-FFF2-40B4-BE49-F238E27FC236}">
              <a16:creationId xmlns:a16="http://schemas.microsoft.com/office/drawing/2014/main" id="{00000000-0008-0000-0200-000026030000}"/>
            </a:ext>
          </a:extLst>
        </xdr:cNvPr>
        <xdr:cNvCxnSpPr>
          <a:stCxn id="333" idx="3"/>
          <a:endCxn id="821" idx="2"/>
        </xdr:cNvCxnSpPr>
      </xdr:nvCxnSpPr>
      <xdr:spPr>
        <a:xfrm>
          <a:off x="3129879" y="3897100"/>
          <a:ext cx="278299" cy="2645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447675</xdr:colOff>
      <xdr:row>33</xdr:row>
      <xdr:rowOff>9525</xdr:rowOff>
    </xdr:from>
    <xdr:to>
      <xdr:col>4</xdr:col>
      <xdr:colOff>580120</xdr:colOff>
      <xdr:row>34</xdr:row>
      <xdr:rowOff>83079</xdr:rowOff>
    </xdr:to>
    <xdr:grpSp>
      <xdr:nvGrpSpPr>
        <xdr:cNvPr id="807" name="Group 806">
          <a:extLst>
            <a:ext uri="{FF2B5EF4-FFF2-40B4-BE49-F238E27FC236}">
              <a16:creationId xmlns:a16="http://schemas.microsoft.com/office/drawing/2014/main" id="{00000000-0008-0000-0200-000027030000}"/>
            </a:ext>
          </a:extLst>
        </xdr:cNvPr>
        <xdr:cNvGrpSpPr/>
      </xdr:nvGrpSpPr>
      <xdr:grpSpPr>
        <a:xfrm>
          <a:off x="3394075" y="5534025"/>
          <a:ext cx="132445" cy="238654"/>
          <a:chOff x="3541190" y="4583497"/>
          <a:chExt cx="132445" cy="238933"/>
        </a:xfrm>
      </xdr:grpSpPr>
      <xdr:grpSp>
        <xdr:nvGrpSpPr>
          <xdr:cNvPr id="808" name="Group 807">
            <a:extLst>
              <a:ext uri="{FF2B5EF4-FFF2-40B4-BE49-F238E27FC236}">
                <a16:creationId xmlns:a16="http://schemas.microsoft.com/office/drawing/2014/main" id="{00000000-0008-0000-0200-000028030000}"/>
              </a:ext>
            </a:extLst>
          </xdr:cNvPr>
          <xdr:cNvGrpSpPr/>
        </xdr:nvGrpSpPr>
        <xdr:grpSpPr>
          <a:xfrm rot="16200000">
            <a:off x="3555508" y="4704303"/>
            <a:ext cx="109253" cy="127001"/>
            <a:chOff x="11549063" y="1904999"/>
            <a:chExt cx="214312" cy="198439"/>
          </a:xfrm>
        </xdr:grpSpPr>
        <xdr:cxnSp macro="">
          <xdr:nvCxnSpPr>
            <xdr:cNvPr id="830" name="Straight Connector 829">
              <a:extLst>
                <a:ext uri="{FF2B5EF4-FFF2-40B4-BE49-F238E27FC236}">
                  <a16:creationId xmlns:a16="http://schemas.microsoft.com/office/drawing/2014/main" id="{00000000-0008-0000-0200-00003E03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31" name="Straight Connector 830">
              <a:extLst>
                <a:ext uri="{FF2B5EF4-FFF2-40B4-BE49-F238E27FC236}">
                  <a16:creationId xmlns:a16="http://schemas.microsoft.com/office/drawing/2014/main" id="{00000000-0008-0000-0200-00003F03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33" name="Straight Connector 832">
              <a:extLst>
                <a:ext uri="{FF2B5EF4-FFF2-40B4-BE49-F238E27FC236}">
                  <a16:creationId xmlns:a16="http://schemas.microsoft.com/office/drawing/2014/main" id="{00000000-0008-0000-0200-00004103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815" name="Group 814">
            <a:extLst>
              <a:ext uri="{FF2B5EF4-FFF2-40B4-BE49-F238E27FC236}">
                <a16:creationId xmlns:a16="http://schemas.microsoft.com/office/drawing/2014/main" id="{00000000-0008-0000-0200-00002F030000}"/>
              </a:ext>
            </a:extLst>
          </xdr:cNvPr>
          <xdr:cNvGrpSpPr/>
        </xdr:nvGrpSpPr>
        <xdr:grpSpPr>
          <a:xfrm rot="5400000">
            <a:off x="3550064" y="4574623"/>
            <a:ext cx="109253" cy="127001"/>
            <a:chOff x="11549063" y="1904999"/>
            <a:chExt cx="214312" cy="198439"/>
          </a:xfrm>
        </xdr:grpSpPr>
        <xdr:cxnSp macro="">
          <xdr:nvCxnSpPr>
            <xdr:cNvPr id="816" name="Straight Connector 815">
              <a:extLst>
                <a:ext uri="{FF2B5EF4-FFF2-40B4-BE49-F238E27FC236}">
                  <a16:creationId xmlns:a16="http://schemas.microsoft.com/office/drawing/2014/main" id="{00000000-0008-0000-0200-00003003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17" name="Straight Connector 816">
              <a:extLst>
                <a:ext uri="{FF2B5EF4-FFF2-40B4-BE49-F238E27FC236}">
                  <a16:creationId xmlns:a16="http://schemas.microsoft.com/office/drawing/2014/main" id="{00000000-0008-0000-0200-00003103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18" name="Straight Connector 817">
              <a:extLst>
                <a:ext uri="{FF2B5EF4-FFF2-40B4-BE49-F238E27FC236}">
                  <a16:creationId xmlns:a16="http://schemas.microsoft.com/office/drawing/2014/main" id="{00000000-0008-0000-0200-00003203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4</xdr:col>
      <xdr:colOff>581025</xdr:colOff>
      <xdr:row>34</xdr:row>
      <xdr:rowOff>0</xdr:rowOff>
    </xdr:from>
    <xdr:to>
      <xdr:col>8</xdr:col>
      <xdr:colOff>447467</xdr:colOff>
      <xdr:row>39</xdr:row>
      <xdr:rowOff>160733</xdr:rowOff>
    </xdr:to>
    <xdr:cxnSp macro="">
      <xdr:nvCxnSpPr>
        <xdr:cNvPr id="837" name="Straight Arrow Connector 836">
          <a:extLst>
            <a:ext uri="{FF2B5EF4-FFF2-40B4-BE49-F238E27FC236}">
              <a16:creationId xmlns:a16="http://schemas.microsoft.com/office/drawing/2014/main" id="{00000000-0008-0000-0200-000045030000}"/>
            </a:ext>
          </a:extLst>
        </xdr:cNvPr>
        <xdr:cNvCxnSpPr>
          <a:stCxn id="783" idx="0"/>
        </xdr:cNvCxnSpPr>
      </xdr:nvCxnSpPr>
      <xdr:spPr>
        <a:xfrm flipH="1" flipV="1">
          <a:off x="3200400" y="5591175"/>
          <a:ext cx="2733467" cy="97035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424961</xdr:colOff>
      <xdr:row>42</xdr:row>
      <xdr:rowOff>127588</xdr:rowOff>
    </xdr:from>
    <xdr:to>
      <xdr:col>8</xdr:col>
      <xdr:colOff>447467</xdr:colOff>
      <xdr:row>60</xdr:row>
      <xdr:rowOff>47380</xdr:rowOff>
    </xdr:to>
    <xdr:cxnSp macro="">
      <xdr:nvCxnSpPr>
        <xdr:cNvPr id="838" name="Straight Arrow Connector 837">
          <a:extLst>
            <a:ext uri="{FF2B5EF4-FFF2-40B4-BE49-F238E27FC236}">
              <a16:creationId xmlns:a16="http://schemas.microsoft.com/office/drawing/2014/main" id="{00000000-0008-0000-0200-000046030000}"/>
            </a:ext>
          </a:extLst>
        </xdr:cNvPr>
        <xdr:cNvCxnSpPr>
          <a:stCxn id="783" idx="2"/>
          <a:endCxn id="1288" idx="3"/>
        </xdr:cNvCxnSpPr>
      </xdr:nvCxnSpPr>
      <xdr:spPr>
        <a:xfrm flipH="1">
          <a:off x="5911361" y="7014163"/>
          <a:ext cx="22506" cy="28344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179795</xdr:colOff>
      <xdr:row>59</xdr:row>
      <xdr:rowOff>123120</xdr:rowOff>
    </xdr:from>
    <xdr:to>
      <xdr:col>8</xdr:col>
      <xdr:colOff>498781</xdr:colOff>
      <xdr:row>60</xdr:row>
      <xdr:rowOff>123824</xdr:rowOff>
    </xdr:to>
    <xdr:grpSp>
      <xdr:nvGrpSpPr>
        <xdr:cNvPr id="118" name="Group 117">
          <a:extLst>
            <a:ext uri="{FF2B5EF4-FFF2-40B4-BE49-F238E27FC236}">
              <a16:creationId xmlns:a16="http://schemas.microsoft.com/office/drawing/2014/main" id="{00000000-0008-0000-0200-000076000000}"/>
            </a:ext>
          </a:extLst>
        </xdr:cNvPr>
        <xdr:cNvGrpSpPr/>
      </xdr:nvGrpSpPr>
      <xdr:grpSpPr>
        <a:xfrm>
          <a:off x="6402795" y="9940220"/>
          <a:ext cx="318986" cy="165804"/>
          <a:chOff x="5351870" y="9762420"/>
          <a:chExt cx="318986" cy="162629"/>
        </a:xfrm>
      </xdr:grpSpPr>
      <xdr:grpSp>
        <xdr:nvGrpSpPr>
          <xdr:cNvPr id="1312" name="Group 1311">
            <a:extLst>
              <a:ext uri="{FF2B5EF4-FFF2-40B4-BE49-F238E27FC236}">
                <a16:creationId xmlns:a16="http://schemas.microsoft.com/office/drawing/2014/main" id="{00000000-0008-0000-0200-000020050000}"/>
              </a:ext>
            </a:extLst>
          </xdr:cNvPr>
          <xdr:cNvGrpSpPr/>
        </xdr:nvGrpSpPr>
        <xdr:grpSpPr>
          <a:xfrm rot="10800000">
            <a:off x="5532845" y="9790996"/>
            <a:ext cx="138011" cy="97236"/>
            <a:chOff x="11549063" y="1904999"/>
            <a:chExt cx="214312" cy="198439"/>
          </a:xfrm>
        </xdr:grpSpPr>
        <xdr:cxnSp macro="">
          <xdr:nvCxnSpPr>
            <xdr:cNvPr id="1313" name="Straight Connector 1312">
              <a:extLst>
                <a:ext uri="{FF2B5EF4-FFF2-40B4-BE49-F238E27FC236}">
                  <a16:creationId xmlns:a16="http://schemas.microsoft.com/office/drawing/2014/main" id="{00000000-0008-0000-0200-00002105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314" name="Straight Connector 1313">
              <a:extLst>
                <a:ext uri="{FF2B5EF4-FFF2-40B4-BE49-F238E27FC236}">
                  <a16:creationId xmlns:a16="http://schemas.microsoft.com/office/drawing/2014/main" id="{00000000-0008-0000-0200-00002205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315" name="Straight Connector 1314">
              <a:extLst>
                <a:ext uri="{FF2B5EF4-FFF2-40B4-BE49-F238E27FC236}">
                  <a16:creationId xmlns:a16="http://schemas.microsoft.com/office/drawing/2014/main" id="{00000000-0008-0000-0200-00002305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839" name="Group 838">
            <a:extLst>
              <a:ext uri="{FF2B5EF4-FFF2-40B4-BE49-F238E27FC236}">
                <a16:creationId xmlns:a16="http://schemas.microsoft.com/office/drawing/2014/main" id="{00000000-0008-0000-0200-000047030000}"/>
              </a:ext>
            </a:extLst>
          </xdr:cNvPr>
          <xdr:cNvGrpSpPr/>
        </xdr:nvGrpSpPr>
        <xdr:grpSpPr>
          <a:xfrm>
            <a:off x="5351870" y="9762420"/>
            <a:ext cx="191680" cy="162629"/>
            <a:chOff x="11549063" y="1904999"/>
            <a:chExt cx="214312" cy="198439"/>
          </a:xfrm>
        </xdr:grpSpPr>
        <xdr:cxnSp macro="">
          <xdr:nvCxnSpPr>
            <xdr:cNvPr id="840" name="Straight Connector 839">
              <a:extLst>
                <a:ext uri="{FF2B5EF4-FFF2-40B4-BE49-F238E27FC236}">
                  <a16:creationId xmlns:a16="http://schemas.microsoft.com/office/drawing/2014/main" id="{00000000-0008-0000-0200-00004803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43" name="Straight Connector 842">
              <a:extLst>
                <a:ext uri="{FF2B5EF4-FFF2-40B4-BE49-F238E27FC236}">
                  <a16:creationId xmlns:a16="http://schemas.microsoft.com/office/drawing/2014/main" id="{00000000-0008-0000-0200-00004B03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44" name="Straight Connector 843">
              <a:extLst>
                <a:ext uri="{FF2B5EF4-FFF2-40B4-BE49-F238E27FC236}">
                  <a16:creationId xmlns:a16="http://schemas.microsoft.com/office/drawing/2014/main" id="{00000000-0008-0000-0200-00004C03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10</xdr:col>
      <xdr:colOff>428625</xdr:colOff>
      <xdr:row>50</xdr:row>
      <xdr:rowOff>85725</xdr:rowOff>
    </xdr:from>
    <xdr:to>
      <xdr:col>10</xdr:col>
      <xdr:colOff>561070</xdr:colOff>
      <xdr:row>51</xdr:row>
      <xdr:rowOff>159278</xdr:rowOff>
    </xdr:to>
    <xdr:grpSp>
      <xdr:nvGrpSpPr>
        <xdr:cNvPr id="845" name="Group 844">
          <a:extLst>
            <a:ext uri="{FF2B5EF4-FFF2-40B4-BE49-F238E27FC236}">
              <a16:creationId xmlns:a16="http://schemas.microsoft.com/office/drawing/2014/main" id="{00000000-0008-0000-0200-00004D030000}"/>
            </a:ext>
          </a:extLst>
        </xdr:cNvPr>
        <xdr:cNvGrpSpPr/>
      </xdr:nvGrpSpPr>
      <xdr:grpSpPr>
        <a:xfrm>
          <a:off x="9064625" y="8416925"/>
          <a:ext cx="132445" cy="238653"/>
          <a:chOff x="3541190" y="4583497"/>
          <a:chExt cx="132445" cy="238933"/>
        </a:xfrm>
      </xdr:grpSpPr>
      <xdr:grpSp>
        <xdr:nvGrpSpPr>
          <xdr:cNvPr id="846" name="Group 845">
            <a:extLst>
              <a:ext uri="{FF2B5EF4-FFF2-40B4-BE49-F238E27FC236}">
                <a16:creationId xmlns:a16="http://schemas.microsoft.com/office/drawing/2014/main" id="{00000000-0008-0000-0200-00004E030000}"/>
              </a:ext>
            </a:extLst>
          </xdr:cNvPr>
          <xdr:cNvGrpSpPr/>
        </xdr:nvGrpSpPr>
        <xdr:grpSpPr>
          <a:xfrm rot="16200000">
            <a:off x="3555508" y="4704303"/>
            <a:ext cx="109253" cy="127001"/>
            <a:chOff x="11549063" y="1904999"/>
            <a:chExt cx="214312" cy="198439"/>
          </a:xfrm>
        </xdr:grpSpPr>
        <xdr:cxnSp macro="">
          <xdr:nvCxnSpPr>
            <xdr:cNvPr id="862" name="Straight Connector 861">
              <a:extLst>
                <a:ext uri="{FF2B5EF4-FFF2-40B4-BE49-F238E27FC236}">
                  <a16:creationId xmlns:a16="http://schemas.microsoft.com/office/drawing/2014/main" id="{00000000-0008-0000-0200-00005E03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63" name="Straight Connector 862">
              <a:extLst>
                <a:ext uri="{FF2B5EF4-FFF2-40B4-BE49-F238E27FC236}">
                  <a16:creationId xmlns:a16="http://schemas.microsoft.com/office/drawing/2014/main" id="{00000000-0008-0000-0200-00005F03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69" name="Straight Connector 868">
              <a:extLst>
                <a:ext uri="{FF2B5EF4-FFF2-40B4-BE49-F238E27FC236}">
                  <a16:creationId xmlns:a16="http://schemas.microsoft.com/office/drawing/2014/main" id="{00000000-0008-0000-0200-00006503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847" name="Group 846">
            <a:extLst>
              <a:ext uri="{FF2B5EF4-FFF2-40B4-BE49-F238E27FC236}">
                <a16:creationId xmlns:a16="http://schemas.microsoft.com/office/drawing/2014/main" id="{00000000-0008-0000-0200-00004F030000}"/>
              </a:ext>
            </a:extLst>
          </xdr:cNvPr>
          <xdr:cNvGrpSpPr/>
        </xdr:nvGrpSpPr>
        <xdr:grpSpPr>
          <a:xfrm rot="5400000">
            <a:off x="3550064" y="4574623"/>
            <a:ext cx="109253" cy="127001"/>
            <a:chOff x="11549063" y="1904999"/>
            <a:chExt cx="214312" cy="198439"/>
          </a:xfrm>
        </xdr:grpSpPr>
        <xdr:cxnSp macro="">
          <xdr:nvCxnSpPr>
            <xdr:cNvPr id="848" name="Straight Connector 847">
              <a:extLst>
                <a:ext uri="{FF2B5EF4-FFF2-40B4-BE49-F238E27FC236}">
                  <a16:creationId xmlns:a16="http://schemas.microsoft.com/office/drawing/2014/main" id="{00000000-0008-0000-0200-000050030000}"/>
                </a:ext>
              </a:extLst>
            </xdr:cNvPr>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49" name="Straight Connector 848">
              <a:extLst>
                <a:ext uri="{FF2B5EF4-FFF2-40B4-BE49-F238E27FC236}">
                  <a16:creationId xmlns:a16="http://schemas.microsoft.com/office/drawing/2014/main" id="{00000000-0008-0000-0200-000051030000}"/>
                </a:ext>
              </a:extLst>
            </xdr:cNvPr>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61" name="Straight Connector 860">
              <a:extLst>
                <a:ext uri="{FF2B5EF4-FFF2-40B4-BE49-F238E27FC236}">
                  <a16:creationId xmlns:a16="http://schemas.microsoft.com/office/drawing/2014/main" id="{00000000-0008-0000-0200-00005D030000}"/>
                </a:ext>
              </a:extLst>
            </xdr:cNvPr>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10</xdr:col>
      <xdr:colOff>480149</xdr:colOff>
      <xdr:row>50</xdr:row>
      <xdr:rowOff>161183</xdr:rowOff>
    </xdr:from>
    <xdr:to>
      <xdr:col>15</xdr:col>
      <xdr:colOff>0</xdr:colOff>
      <xdr:row>54</xdr:row>
      <xdr:rowOff>133351</xdr:rowOff>
    </xdr:to>
    <xdr:cxnSp macro="">
      <xdr:nvCxnSpPr>
        <xdr:cNvPr id="870" name="Straight Arrow Connector 869">
          <a:extLst>
            <a:ext uri="{FF2B5EF4-FFF2-40B4-BE49-F238E27FC236}">
              <a16:creationId xmlns:a16="http://schemas.microsoft.com/office/drawing/2014/main" id="{00000000-0008-0000-0200-000066030000}"/>
            </a:ext>
          </a:extLst>
        </xdr:cNvPr>
        <xdr:cNvCxnSpPr>
          <a:stCxn id="1347" idx="1"/>
          <a:endCxn id="1262" idx="3"/>
        </xdr:cNvCxnSpPr>
      </xdr:nvCxnSpPr>
      <xdr:spPr>
        <a:xfrm flipH="1" flipV="1">
          <a:off x="8100149" y="8343158"/>
          <a:ext cx="3025051" cy="61986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V100"/>
  <sheetViews>
    <sheetView tabSelected="1" zoomScale="116" zoomScaleNormal="80" workbookViewId="0">
      <selection activeCell="C11" sqref="C11"/>
    </sheetView>
  </sheetViews>
  <sheetFormatPr baseColWidth="10" defaultColWidth="8.83203125" defaultRowHeight="13" x14ac:dyDescent="0.15"/>
  <cols>
    <col min="1" max="1" width="4.5" customWidth="1"/>
    <col min="2" max="2" width="38.83203125" bestFit="1" customWidth="1"/>
    <col min="3" max="3" width="31.5" customWidth="1"/>
    <col min="4" max="4" width="25.6640625" customWidth="1"/>
    <col min="5" max="5" width="49.5" bestFit="1" customWidth="1"/>
    <col min="6" max="6" width="32.5" customWidth="1"/>
    <col min="7" max="7" width="35.83203125" customWidth="1"/>
    <col min="8" max="8" width="53.5" customWidth="1"/>
    <col min="9" max="9" width="18.33203125" customWidth="1"/>
    <col min="10" max="10" width="20.33203125" bestFit="1" customWidth="1"/>
    <col min="11" max="11" width="24.83203125" bestFit="1" customWidth="1"/>
    <col min="12" max="12" width="19.1640625" bestFit="1" customWidth="1"/>
    <col min="13" max="13" width="22.33203125" bestFit="1" customWidth="1"/>
    <col min="14" max="14" width="23.5" bestFit="1" customWidth="1"/>
    <col min="15" max="15" width="25" bestFit="1" customWidth="1"/>
    <col min="16" max="16" width="24.1640625" bestFit="1" customWidth="1"/>
    <col min="17" max="17" width="26.6640625" bestFit="1" customWidth="1"/>
    <col min="18" max="18" width="22.1640625" bestFit="1" customWidth="1"/>
    <col min="19" max="19" width="33" bestFit="1" customWidth="1"/>
    <col min="21" max="21" width="9.1640625" customWidth="1"/>
    <col min="22" max="22" width="8.1640625" customWidth="1"/>
    <col min="23" max="24" width="13" bestFit="1" customWidth="1"/>
    <col min="25" max="25" width="10.83203125" bestFit="1" customWidth="1"/>
    <col min="26" max="26" width="13.83203125" bestFit="1" customWidth="1"/>
    <col min="27" max="27" width="2.1640625" customWidth="1"/>
    <col min="29" max="29" width="26.6640625" bestFit="1" customWidth="1"/>
    <col min="30" max="30" width="22.1640625" bestFit="1" customWidth="1"/>
    <col min="31" max="31" width="33" bestFit="1" customWidth="1"/>
    <col min="33" max="33" width="19.33203125" bestFit="1" customWidth="1"/>
    <col min="36" max="36" width="12.33203125" bestFit="1" customWidth="1"/>
    <col min="37" max="37" width="16.5" bestFit="1" customWidth="1"/>
    <col min="38" max="38" width="18.1640625" bestFit="1" customWidth="1"/>
    <col min="39" max="39" width="18" bestFit="1" customWidth="1"/>
    <col min="40" max="41" width="19.33203125" bestFit="1" customWidth="1"/>
  </cols>
  <sheetData>
    <row r="1" spans="2:256" ht="14" thickBot="1" x14ac:dyDescent="0.2">
      <c r="C1" s="15"/>
    </row>
    <row r="2" spans="2:256" ht="19" thickBot="1" x14ac:dyDescent="0.25">
      <c r="C2" s="283" t="s">
        <v>10</v>
      </c>
      <c r="D2" s="284"/>
      <c r="E2" s="284"/>
      <c r="F2" s="284"/>
      <c r="G2" s="285"/>
      <c r="H2" s="26"/>
      <c r="AG2" s="289" t="s">
        <v>105</v>
      </c>
      <c r="AH2" s="290"/>
      <c r="AI2" s="290"/>
      <c r="AJ2" s="290"/>
    </row>
    <row r="3" spans="2:256" ht="16" thickBot="1" x14ac:dyDescent="0.25">
      <c r="J3" s="243">
        <f>0.7911*10^-4</f>
        <v>7.9110000000000007E-5</v>
      </c>
      <c r="K3">
        <f>0.5*0.5*20</f>
        <v>5</v>
      </c>
      <c r="L3">
        <f>K3/1000</f>
        <v>5.0000000000000001E-3</v>
      </c>
      <c r="AC3" s="286" t="s">
        <v>53</v>
      </c>
      <c r="AD3" s="287"/>
      <c r="AE3" s="288"/>
      <c r="AG3" s="6" t="s">
        <v>2</v>
      </c>
      <c r="AH3" s="6" t="s">
        <v>88</v>
      </c>
      <c r="AI3" s="6" t="s">
        <v>89</v>
      </c>
      <c r="AJ3" s="6" t="s">
        <v>104</v>
      </c>
      <c r="AK3" s="6" t="s">
        <v>106</v>
      </c>
      <c r="AL3" s="6" t="s">
        <v>202</v>
      </c>
      <c r="AM3" s="192" t="s">
        <v>203</v>
      </c>
      <c r="AN3" s="192" t="s">
        <v>204</v>
      </c>
      <c r="AO3" s="192" t="s">
        <v>205</v>
      </c>
      <c r="AP3" s="191"/>
      <c r="AQ3" s="191"/>
    </row>
    <row r="4" spans="2:256" ht="12.75" customHeight="1" x14ac:dyDescent="0.15">
      <c r="B4" s="291" t="s">
        <v>200</v>
      </c>
      <c r="C4" s="292"/>
      <c r="D4" s="292"/>
      <c r="E4" s="292"/>
      <c r="F4" s="292"/>
      <c r="G4" s="293"/>
      <c r="AC4" s="76" t="s">
        <v>54</v>
      </c>
      <c r="AD4" s="77" t="s">
        <v>55</v>
      </c>
      <c r="AE4" s="78" t="s">
        <v>56</v>
      </c>
      <c r="AG4">
        <v>0</v>
      </c>
      <c r="AH4" s="92">
        <f>C34+AI4</f>
        <v>4.1713000715401618</v>
      </c>
      <c r="AI4" s="94">
        <f>AG4+C62+I23+I49</f>
        <v>0.30302215538342281</v>
      </c>
      <c r="AJ4" s="93">
        <f>AM4+C62</f>
        <v>4.4743222269235847</v>
      </c>
      <c r="AK4" s="94">
        <f>AI4-C62</f>
        <v>0.20459695863342281</v>
      </c>
      <c r="AL4" s="92">
        <f>$I$23+AH4</f>
        <v>4.220512669965359</v>
      </c>
      <c r="AM4" s="92">
        <f>$I$23+$I$49+AH4</f>
        <v>4.3758970301735847</v>
      </c>
      <c r="AN4" s="92">
        <f>AI4-$I$23</f>
        <v>0.25380955695822593</v>
      </c>
      <c r="AO4" s="252">
        <f>AI4-$I$23-$I$49</f>
        <v>9.8425196749999944E-2</v>
      </c>
      <c r="AP4" s="15"/>
      <c r="AQ4" s="15"/>
    </row>
    <row r="5" spans="2:256" ht="16" x14ac:dyDescent="0.2">
      <c r="B5" s="294"/>
      <c r="C5" s="295"/>
      <c r="D5" s="295"/>
      <c r="E5" s="295"/>
      <c r="F5" s="295"/>
      <c r="G5" s="296"/>
      <c r="H5" s="42"/>
      <c r="I5" s="42"/>
      <c r="J5" s="42"/>
      <c r="K5" s="42">
        <f>0.00003</f>
        <v>3.0000000000000001E-5</v>
      </c>
      <c r="L5" s="42">
        <f>K5/24</f>
        <v>1.2500000000000001E-6</v>
      </c>
      <c r="M5">
        <v>4.9667999999999997E-2</v>
      </c>
      <c r="AC5" s="9">
        <v>250</v>
      </c>
      <c r="AD5" s="8">
        <f t="shared" ref="AD5:AD26" si="0">$F$18*(EXP(AC5/$C$23)-1)</f>
        <v>0.16638596250745508</v>
      </c>
      <c r="AE5" s="79"/>
      <c r="AG5" s="92">
        <f>C36+AG4</f>
        <v>3.9999999959200001</v>
      </c>
      <c r="AH5" s="92">
        <f>AH4</f>
        <v>4.1713000715401618</v>
      </c>
      <c r="AI5">
        <f>AI4</f>
        <v>0.30302215538342281</v>
      </c>
      <c r="AJ5" s="93"/>
      <c r="AL5" s="92">
        <f>$I$23+AH5</f>
        <v>4.220512669965359</v>
      </c>
      <c r="AM5" s="92">
        <f>$I$23+$I$49+AH5</f>
        <v>4.3758970301735847</v>
      </c>
      <c r="AN5" s="92">
        <f>AI5-$I$23</f>
        <v>0.25380955695822593</v>
      </c>
      <c r="AO5" s="92">
        <f>AI5-$I$23-$I$49</f>
        <v>9.8425196749999944E-2</v>
      </c>
    </row>
    <row r="6" spans="2:256" ht="14" thickBot="1" x14ac:dyDescent="0.2">
      <c r="B6" s="297"/>
      <c r="C6" s="298"/>
      <c r="D6" s="298"/>
      <c r="E6" s="298"/>
      <c r="F6" s="298"/>
      <c r="G6" s="299"/>
      <c r="K6">
        <f>(C8*C10)/(C8-1)</f>
        <v>53254.540540540525</v>
      </c>
      <c r="M6">
        <f>3/64</f>
        <v>4.6875E-2</v>
      </c>
      <c r="AC6" s="9">
        <v>500</v>
      </c>
      <c r="AD6" s="8">
        <f t="shared" si="0"/>
        <v>0.33623246107985416</v>
      </c>
      <c r="AE6" s="25">
        <f t="shared" ref="AE6:AE26" si="1">AD6-AD5</f>
        <v>0.16984649857239908</v>
      </c>
      <c r="AG6" s="92">
        <f>AG5+C39</f>
        <v>4.6607947196785897</v>
      </c>
      <c r="AH6">
        <f>AH5-(C39*TAN(RADIANS(C37)))</f>
        <v>3.0267700366168437</v>
      </c>
      <c r="AI6">
        <f>AI5+(C39*TAN(RADIANS(C37)))</f>
        <v>1.447552190306741</v>
      </c>
      <c r="AJ6" s="15"/>
      <c r="AL6" s="92">
        <f>$I$23+AH6</f>
        <v>3.0759826350420405</v>
      </c>
      <c r="AM6" s="92">
        <f>$I$23+$I$49+AH6</f>
        <v>3.2313669952502666</v>
      </c>
      <c r="AN6" s="92">
        <f>AI6-$I$23</f>
        <v>1.3983395918815442</v>
      </c>
      <c r="AO6" s="92">
        <f>AI6-$I$23-$I$49</f>
        <v>1.2429552316733181</v>
      </c>
    </row>
    <row r="7" spans="2:256" ht="14" thickBot="1" x14ac:dyDescent="0.2">
      <c r="G7">
        <f>F26*1000</f>
        <v>465.39807089370288</v>
      </c>
      <c r="AC7" s="9">
        <v>750</v>
      </c>
      <c r="AD7" s="8">
        <f t="shared" si="0"/>
        <v>0.50961146879518715</v>
      </c>
      <c r="AE7" s="25">
        <f t="shared" si="1"/>
        <v>0.17337900771533299</v>
      </c>
      <c r="AG7" s="92">
        <f>AG6+C51</f>
        <v>4.6920447196467148</v>
      </c>
      <c r="AH7">
        <f>AH6</f>
        <v>3.0267700366168437</v>
      </c>
      <c r="AI7">
        <f>AI6</f>
        <v>1.447552190306741</v>
      </c>
      <c r="AJ7" s="15"/>
      <c r="AL7" s="92">
        <f>$I$23+AH7</f>
        <v>3.0759826350420405</v>
      </c>
      <c r="AM7" s="92">
        <f>$I$23+$I$49+AH7</f>
        <v>3.2313669952502666</v>
      </c>
      <c r="AN7" s="92">
        <f>AI7-$I$23</f>
        <v>1.3983395918815442</v>
      </c>
      <c r="AO7" s="92">
        <f>AI7-$I$23-$I$49</f>
        <v>1.2429552316733181</v>
      </c>
      <c r="AP7" s="92"/>
      <c r="AQ7" s="94"/>
    </row>
    <row r="8" spans="2:256" ht="15" x14ac:dyDescent="0.2">
      <c r="B8" s="132" t="s">
        <v>193</v>
      </c>
      <c r="C8" s="2">
        <v>1.1850000000000001</v>
      </c>
      <c r="D8" s="3"/>
      <c r="E8" s="14" t="s">
        <v>4</v>
      </c>
      <c r="F8" s="166">
        <v>0</v>
      </c>
      <c r="G8" s="12" t="s">
        <v>13</v>
      </c>
      <c r="H8" s="213" t="s">
        <v>164</v>
      </c>
      <c r="I8" s="214">
        <v>1</v>
      </c>
      <c r="K8">
        <f>(I16*I18)/(I21/1000)</f>
        <v>4.212966702162161E-2</v>
      </c>
      <c r="Q8" s="14" t="s">
        <v>67</v>
      </c>
      <c r="R8" s="40">
        <v>0</v>
      </c>
      <c r="S8" s="17" t="s">
        <v>68</v>
      </c>
      <c r="AC8" s="9">
        <v>1000</v>
      </c>
      <c r="AD8" s="8">
        <f t="shared" si="0"/>
        <v>0.68659645564518357</v>
      </c>
      <c r="AE8" s="25">
        <f t="shared" si="1"/>
        <v>0.17698498684999642</v>
      </c>
      <c r="AG8" s="92">
        <f>AG7+C58</f>
        <v>9.6756702395768066</v>
      </c>
      <c r="AH8">
        <f>AH7+(C58*TAN(RADIANS(C56)))</f>
        <v>4.3621284700612453</v>
      </c>
      <c r="AI8">
        <f>AI7-(C58*TAN(RADIANS(C56)))</f>
        <v>0.11219375686233923</v>
      </c>
      <c r="AJ8" s="93">
        <f>AJ4</f>
        <v>4.4743222269235847</v>
      </c>
      <c r="AK8" s="95">
        <f>AK4</f>
        <v>0.20459695863342281</v>
      </c>
      <c r="AL8" s="92">
        <f>$I$23+AH8</f>
        <v>4.4113410684864425</v>
      </c>
      <c r="AM8" s="92">
        <f>$I$23+$I$49+AH8</f>
        <v>4.5667254286946681</v>
      </c>
      <c r="AN8" s="92">
        <f>AI8-$I$23</f>
        <v>6.2981158437142387E-2</v>
      </c>
      <c r="AO8" s="92">
        <f>AI8-$I$23-$I$49</f>
        <v>-9.2403201771083604E-2</v>
      </c>
      <c r="AP8" s="15"/>
    </row>
    <row r="9" spans="2:256" ht="16" x14ac:dyDescent="0.2">
      <c r="B9" s="125" t="s">
        <v>184</v>
      </c>
      <c r="C9" s="167">
        <v>24</v>
      </c>
      <c r="E9" s="48" t="s">
        <v>46</v>
      </c>
      <c r="F9" s="63">
        <v>1</v>
      </c>
      <c r="G9" s="12" t="s">
        <v>13</v>
      </c>
      <c r="H9" s="215" t="s">
        <v>163</v>
      </c>
      <c r="I9" s="227">
        <f>IF(ISBLANK(I8),C11*(9/5),(C11*(9/5))*I8^2)</f>
        <v>5454</v>
      </c>
      <c r="J9" s="106" t="s">
        <v>147</v>
      </c>
      <c r="K9">
        <f>I27*144*60*60*3.1525/1000</f>
        <v>0.16498868906259773</v>
      </c>
      <c r="L9">
        <f>J27*144*60*60*3.1525/1000</f>
        <v>0.81008930610909768</v>
      </c>
      <c r="M9">
        <f>K27*144*60*60*3.1525/1000</f>
        <v>0.12647421474108264</v>
      </c>
      <c r="Q9" s="14" t="s">
        <v>69</v>
      </c>
      <c r="R9" s="40">
        <v>90</v>
      </c>
      <c r="S9" s="17" t="s">
        <v>68</v>
      </c>
      <c r="AC9" s="9">
        <v>1250</v>
      </c>
      <c r="AD9" s="8">
        <f t="shared" si="0"/>
        <v>0.8672624196684815</v>
      </c>
      <c r="AE9" s="25">
        <f t="shared" si="1"/>
        <v>0.18066596402329793</v>
      </c>
      <c r="AG9" s="92"/>
      <c r="IU9" t="str">
        <f>"J"&amp;(ROUNDUP($F$23,0)+52)</f>
        <v>J54</v>
      </c>
      <c r="IV9" t="str">
        <f>"K"&amp;(ROUNDUP($F$23,0)+52)</f>
        <v>K54</v>
      </c>
    </row>
    <row r="10" spans="2:256" ht="16" x14ac:dyDescent="0.2">
      <c r="B10" s="107" t="s">
        <v>182</v>
      </c>
      <c r="C10" s="18">
        <v>8314</v>
      </c>
      <c r="D10" s="45" t="s">
        <v>19</v>
      </c>
      <c r="E10" s="14" t="s">
        <v>5</v>
      </c>
      <c r="F10" s="40">
        <v>0</v>
      </c>
      <c r="G10" s="17" t="s">
        <v>14</v>
      </c>
      <c r="H10" s="239" t="s">
        <v>163</v>
      </c>
      <c r="I10" s="240">
        <f>I9/1.8</f>
        <v>3030</v>
      </c>
      <c r="J10" s="7" t="s">
        <v>190</v>
      </c>
      <c r="K10" s="247">
        <f>((0.026/$C$48^0.2)*(($I$18^0.2*$I$16)/($I$12^0.6))*((($C$13*10^6)/($C$24))^0.8)*(($C48/($C$48/2))^0.1))*(1^0.9)*J26</f>
        <v>21.317265301188325</v>
      </c>
      <c r="Q10" s="19" t="s">
        <v>70</v>
      </c>
      <c r="R10" s="61">
        <f>(R9/((ROUNDUP(F23,0)/2)^2))*-1</f>
        <v>-90</v>
      </c>
      <c r="S10" s="17"/>
      <c r="AC10" s="9">
        <v>1500</v>
      </c>
      <c r="AD10" s="8">
        <f t="shared" si="0"/>
        <v>1.051685918731323</v>
      </c>
      <c r="AE10" s="25">
        <f t="shared" si="1"/>
        <v>0.1844234990628415</v>
      </c>
      <c r="IU10" t="str">
        <f>"H"&amp;(ROUNDUP($F$23,0)+52)</f>
        <v>H54</v>
      </c>
    </row>
    <row r="11" spans="2:256" ht="15" x14ac:dyDescent="0.2">
      <c r="B11" s="110" t="s">
        <v>194</v>
      </c>
      <c r="C11" s="110">
        <v>3030</v>
      </c>
      <c r="D11" s="12" t="s">
        <v>18</v>
      </c>
      <c r="E11" s="48" t="s">
        <v>38</v>
      </c>
      <c r="F11" s="125">
        <v>2.85</v>
      </c>
      <c r="G11" s="17" t="s">
        <v>36</v>
      </c>
      <c r="H11" s="249" t="s">
        <v>260</v>
      </c>
      <c r="I11" s="219">
        <v>0.29509999999999997</v>
      </c>
      <c r="J11" s="7" t="s">
        <v>261</v>
      </c>
      <c r="L11">
        <f>L12/1000</f>
        <v>3.1524999999999999E-3</v>
      </c>
      <c r="M11" s="106" t="s">
        <v>257</v>
      </c>
      <c r="N11">
        <f>N12/1000</f>
        <v>4029.3590943229983</v>
      </c>
      <c r="O11">
        <f>N15*144*60*60*3.1525/1000</f>
        <v>4029.3590943229983</v>
      </c>
      <c r="Q11" s="19" t="s">
        <v>71</v>
      </c>
      <c r="R11" s="61">
        <f>ABS(R10)*ROUNDUP(F23,0)</f>
        <v>180</v>
      </c>
      <c r="S11" s="17"/>
      <c r="AC11" s="9">
        <v>1750</v>
      </c>
      <c r="AD11" s="8">
        <f t="shared" si="0"/>
        <v>1.2399451029692354</v>
      </c>
      <c r="AE11" s="25">
        <f t="shared" si="1"/>
        <v>0.18825918423791244</v>
      </c>
      <c r="AI11">
        <f>AH4/2</f>
        <v>2.0856500357700809</v>
      </c>
      <c r="AJ11">
        <f>AJ4/2</f>
        <v>2.2371611134617924</v>
      </c>
      <c r="AK11">
        <f>1+3/8</f>
        <v>1.375</v>
      </c>
      <c r="AL11">
        <f>(AL4+AM4)/2/2</f>
        <v>2.1491024250347359</v>
      </c>
    </row>
    <row r="12" spans="2:256" ht="15" x14ac:dyDescent="0.2">
      <c r="B12" s="125" t="s">
        <v>195</v>
      </c>
      <c r="C12" s="2">
        <v>734.7</v>
      </c>
      <c r="D12" s="106" t="s">
        <v>292</v>
      </c>
      <c r="E12" s="53" t="s">
        <v>37</v>
      </c>
      <c r="F12" s="69">
        <v>10000</v>
      </c>
      <c r="G12" s="60" t="s">
        <v>40</v>
      </c>
      <c r="H12" s="220" t="s">
        <v>165</v>
      </c>
      <c r="I12" s="208">
        <f>((I16*1000)*I18)/I11</f>
        <v>14.276403599329589</v>
      </c>
      <c r="J12" s="7" t="s">
        <v>166</v>
      </c>
      <c r="K12" s="106">
        <f>$I$10*(1+$I$12^0.33*(($C$8-1)/2)*J25)/(1+(($C$8-1)/2)*J25)</f>
        <v>3390.3161100857351</v>
      </c>
      <c r="L12">
        <f>L13*3.1525</f>
        <v>3.1524999999999999</v>
      </c>
      <c r="M12" s="106" t="s">
        <v>256</v>
      </c>
      <c r="N12">
        <f>N13*3.1525</f>
        <v>4029359.0943229985</v>
      </c>
      <c r="AC12" s="9">
        <v>2000</v>
      </c>
      <c r="AD12" s="8">
        <f t="shared" si="0"/>
        <v>1.4321197479034335</v>
      </c>
      <c r="AE12" s="25">
        <f t="shared" si="1"/>
        <v>0.19217464493419811</v>
      </c>
      <c r="AI12">
        <f>CONVERT(AI11,"in","mm")</f>
        <v>52.975510908560054</v>
      </c>
      <c r="AK12">
        <f>AK11-AJ11</f>
        <v>-0.86216111346179236</v>
      </c>
    </row>
    <row r="13" spans="2:256" ht="16" x14ac:dyDescent="0.2">
      <c r="B13" s="19" t="s">
        <v>21</v>
      </c>
      <c r="C13" s="18">
        <f>C12*0.00689475729</f>
        <v>5.0655781809630005</v>
      </c>
      <c r="D13" s="13" t="s">
        <v>22</v>
      </c>
      <c r="E13" s="90" t="s">
        <v>37</v>
      </c>
      <c r="F13" s="104">
        <f>0.22481*F12</f>
        <v>2248.1</v>
      </c>
      <c r="G13" s="60" t="s">
        <v>117</v>
      </c>
      <c r="H13" s="217" t="s">
        <v>173</v>
      </c>
      <c r="I13" s="218">
        <v>627</v>
      </c>
      <c r="J13" s="7" t="s">
        <v>190</v>
      </c>
      <c r="L13" s="106">
        <v>1</v>
      </c>
      <c r="M13" s="106" t="s">
        <v>253</v>
      </c>
      <c r="N13">
        <f>N14*60*60</f>
        <v>1278147.214694052</v>
      </c>
      <c r="AC13" s="9">
        <v>2250</v>
      </c>
      <c r="AD13" s="8">
        <f t="shared" si="0"/>
        <v>1.628291288245995</v>
      </c>
      <c r="AE13" s="25">
        <f t="shared" si="1"/>
        <v>0.19617154034256146</v>
      </c>
      <c r="AG13" s="92">
        <f>AG8-AG8</f>
        <v>0</v>
      </c>
      <c r="IU13">
        <v>0.12</v>
      </c>
      <c r="IV13">
        <f>IU13/2</f>
        <v>0.06</v>
      </c>
    </row>
    <row r="14" spans="2:256" ht="16" x14ac:dyDescent="0.2">
      <c r="B14" s="48" t="s">
        <v>20</v>
      </c>
      <c r="C14" s="2">
        <v>14.696</v>
      </c>
      <c r="D14" s="106" t="s">
        <v>292</v>
      </c>
      <c r="E14" s="49" t="s">
        <v>29</v>
      </c>
      <c r="F14" s="50">
        <v>3</v>
      </c>
      <c r="G14" s="17" t="s">
        <v>1</v>
      </c>
      <c r="H14" s="220" t="s">
        <v>173</v>
      </c>
      <c r="I14" s="229">
        <f>I13*1.8</f>
        <v>1128.6000000000001</v>
      </c>
      <c r="J14" s="7" t="s">
        <v>148</v>
      </c>
      <c r="K14" s="106">
        <f>144*60*60*3.1525</f>
        <v>1634256</v>
      </c>
      <c r="L14">
        <f>L13/(60*60)</f>
        <v>2.7777777777777778E-4</v>
      </c>
      <c r="M14" s="106" t="s">
        <v>254</v>
      </c>
      <c r="N14">
        <f>N15*144</f>
        <v>355.04089297056998</v>
      </c>
      <c r="AC14" s="9">
        <v>2500</v>
      </c>
      <c r="AD14" s="8">
        <f t="shared" si="0"/>
        <v>1.8285428524081162</v>
      </c>
      <c r="AE14" s="25">
        <f t="shared" si="1"/>
        <v>0.2002515641621212</v>
      </c>
      <c r="AG14" s="194">
        <f>AG8-AG6</f>
        <v>5.0148755198982169</v>
      </c>
      <c r="AJ14">
        <f>AH4*0.5</f>
        <v>2.0856500357700809</v>
      </c>
      <c r="AK14">
        <f>CONVERT(AJ14,"in","mm")</f>
        <v>52.975510908560054</v>
      </c>
    </row>
    <row r="15" spans="2:256" ht="15" x14ac:dyDescent="0.2">
      <c r="B15" s="107" t="s">
        <v>20</v>
      </c>
      <c r="C15" s="18">
        <f>C14*0.00689475729</f>
        <v>0.10132535313384</v>
      </c>
      <c r="D15" s="13" t="s">
        <v>22</v>
      </c>
      <c r="E15" s="51" t="s">
        <v>30</v>
      </c>
      <c r="F15" s="52">
        <f>F18*(EXP(F9/C23)-1)</f>
        <v>6.5874438959490078E-4</v>
      </c>
      <c r="G15" s="17" t="s">
        <v>1</v>
      </c>
      <c r="H15" s="217" t="s">
        <v>172</v>
      </c>
      <c r="I15" s="219">
        <v>1</v>
      </c>
      <c r="J15" s="7"/>
      <c r="K15" s="106"/>
      <c r="M15" s="106" t="s">
        <v>255</v>
      </c>
      <c r="N15" s="193">
        <f>J31</f>
        <v>2.4655617567400694</v>
      </c>
      <c r="AC15" s="9">
        <v>2750</v>
      </c>
      <c r="AD15" s="8">
        <f t="shared" si="0"/>
        <v>2.0329592977260784</v>
      </c>
      <c r="AE15" s="25">
        <f t="shared" si="1"/>
        <v>0.20441644531796221</v>
      </c>
      <c r="AG15" s="92">
        <f>AG8-AG5</f>
        <v>5.6756702436568069</v>
      </c>
    </row>
    <row r="16" spans="2:256" ht="15" x14ac:dyDescent="0.2">
      <c r="B16" s="125" t="s">
        <v>122</v>
      </c>
      <c r="C16" s="2">
        <f>C14</f>
        <v>14.696</v>
      </c>
      <c r="D16" s="106" t="s">
        <v>292</v>
      </c>
      <c r="E16" s="48" t="s">
        <v>31</v>
      </c>
      <c r="F16" s="73">
        <v>5</v>
      </c>
      <c r="G16" s="17" t="s">
        <v>1</v>
      </c>
      <c r="H16" s="215" t="s">
        <v>206</v>
      </c>
      <c r="I16" s="198">
        <f>((C8*C10)/(C8-1))/1000</f>
        <v>53.254540540540525</v>
      </c>
      <c r="J16" s="7" t="s">
        <v>258</v>
      </c>
      <c r="L16">
        <f>L14/144</f>
        <v>1.9290123456790124E-6</v>
      </c>
      <c r="O16" s="222"/>
      <c r="AC16" s="9">
        <v>3000</v>
      </c>
      <c r="AD16" s="8">
        <f t="shared" si="0"/>
        <v>2.2416272464198634</v>
      </c>
      <c r="AE16" s="25">
        <f t="shared" si="1"/>
        <v>0.20866794869378502</v>
      </c>
      <c r="AG16" s="92">
        <f>AG8-AG4</f>
        <v>9.6756702395768066</v>
      </c>
    </row>
    <row r="17" spans="2:40" ht="16" x14ac:dyDescent="0.2">
      <c r="B17" s="107" t="s">
        <v>123</v>
      </c>
      <c r="C17" s="18">
        <f>C16*0.00689475729</f>
        <v>0.10132535313384</v>
      </c>
      <c r="D17" s="13" t="s">
        <v>22</v>
      </c>
      <c r="E17" s="19" t="s">
        <v>41</v>
      </c>
      <c r="F17" s="62">
        <f>F16+F15+F14</f>
        <v>8.0006587443895949</v>
      </c>
      <c r="G17" s="17" t="s">
        <v>1</v>
      </c>
      <c r="H17" s="239" t="s">
        <v>206</v>
      </c>
      <c r="I17" s="244">
        <f>(C8*(1544/C9))/((C8-1)*778)</f>
        <v>0.52966719933300899</v>
      </c>
      <c r="J17" s="7" t="s">
        <v>149</v>
      </c>
      <c r="K17">
        <f>((2085-1302)*6750)/1000</f>
        <v>5285.25</v>
      </c>
      <c r="M17" s="6"/>
      <c r="AC17" s="9">
        <v>3250</v>
      </c>
      <c r="AD17" s="8">
        <f t="shared" si="0"/>
        <v>2.4546351222996332</v>
      </c>
      <c r="AE17" s="25">
        <f t="shared" si="1"/>
        <v>0.21300787587976977</v>
      </c>
    </row>
    <row r="18" spans="2:40" ht="15" x14ac:dyDescent="0.2">
      <c r="B18" s="19" t="s">
        <v>28</v>
      </c>
      <c r="C18" s="47">
        <f>C15/C13</f>
        <v>2.0002722199537224E-2</v>
      </c>
      <c r="D18" s="17"/>
      <c r="E18" s="19" t="s">
        <v>42</v>
      </c>
      <c r="F18" s="62">
        <f>F16+F14</f>
        <v>8</v>
      </c>
      <c r="G18" s="17" t="s">
        <v>1</v>
      </c>
      <c r="H18" s="217" t="s">
        <v>185</v>
      </c>
      <c r="I18" s="245">
        <f>0.7911*10^-4</f>
        <v>7.9110000000000007E-5</v>
      </c>
      <c r="J18" s="7" t="s">
        <v>259</v>
      </c>
      <c r="AC18" s="9">
        <v>3500</v>
      </c>
      <c r="AD18" s="8">
        <f t="shared" si="0"/>
        <v>2.6720731882356432</v>
      </c>
      <c r="AE18" s="25">
        <f t="shared" si="1"/>
        <v>0.21743806593601001</v>
      </c>
    </row>
    <row r="19" spans="2:40" ht="29.25" customHeight="1" x14ac:dyDescent="0.2">
      <c r="B19" s="19" t="s">
        <v>27</v>
      </c>
      <c r="C19" s="61">
        <f>C11/C13</f>
        <v>598.15481900705288</v>
      </c>
      <c r="D19" s="12"/>
      <c r="E19" s="53" t="s">
        <v>47</v>
      </c>
      <c r="F19" s="65">
        <f>F18/F17</f>
        <v>0.99991766373112001</v>
      </c>
      <c r="G19" s="17"/>
      <c r="H19" s="220" t="s">
        <v>185</v>
      </c>
      <c r="I19" s="246">
        <f>0.671949457*I18</f>
        <v>5.3157921543270004E-5</v>
      </c>
      <c r="J19" s="7" t="s">
        <v>167</v>
      </c>
      <c r="M19">
        <f>C61*1000</f>
        <v>2.5</v>
      </c>
      <c r="N19">
        <f>CONVERT(0.125,"in","mm")</f>
        <v>3.1749999999999998</v>
      </c>
      <c r="O19">
        <f>CONVERT((O22+0.8)*0.5,"mm","in")</f>
        <v>1.9744932907598527</v>
      </c>
      <c r="AC19" s="9">
        <v>3750</v>
      </c>
      <c r="AD19" s="8">
        <f t="shared" si="0"/>
        <v>2.8940335844074667</v>
      </c>
      <c r="AE19" s="25">
        <f t="shared" si="1"/>
        <v>0.2219603961718235</v>
      </c>
    </row>
    <row r="20" spans="2:40" ht="15" x14ac:dyDescent="0.2">
      <c r="B20" s="19" t="s">
        <v>43</v>
      </c>
      <c r="C20" s="64">
        <f>(2/(C8+1))^(C8/(C8-1))</f>
        <v>0.56740749005776381</v>
      </c>
      <c r="D20" s="12"/>
      <c r="E20" s="53" t="s">
        <v>57</v>
      </c>
      <c r="F20" s="74">
        <f>F17/F18</f>
        <v>1.0000823430486994</v>
      </c>
      <c r="H20" s="220" t="s">
        <v>186</v>
      </c>
      <c r="I20" s="221">
        <f>I14/I9</f>
        <v>0.20693069306930695</v>
      </c>
      <c r="K20" s="106"/>
      <c r="L20">
        <f>(2575-1628)*5.898</f>
        <v>5585.4059999999999</v>
      </c>
      <c r="AC20" s="9">
        <v>4000</v>
      </c>
      <c r="AD20" s="8">
        <f t="shared" si="0"/>
        <v>3.1206103673487409</v>
      </c>
      <c r="AE20" s="25">
        <f t="shared" si="1"/>
        <v>0.22657678294127415</v>
      </c>
    </row>
    <row r="21" spans="2:40" ht="15" x14ac:dyDescent="0.2">
      <c r="B21" s="19" t="s">
        <v>23</v>
      </c>
      <c r="C21" s="47">
        <f>C20*C13</f>
        <v>2.8742470013515891</v>
      </c>
      <c r="D21" s="13" t="s">
        <v>22</v>
      </c>
      <c r="E21" s="111" t="s">
        <v>120</v>
      </c>
      <c r="F21" s="81">
        <f>F12/C23</f>
        <v>0.82339658696578188</v>
      </c>
      <c r="G21" s="15" t="s">
        <v>15</v>
      </c>
      <c r="H21" s="217" t="s">
        <v>174</v>
      </c>
      <c r="I21" s="219">
        <v>100</v>
      </c>
      <c r="J21" s="106" t="s">
        <v>246</v>
      </c>
      <c r="K21">
        <f>J29/1.8</f>
        <v>3390.3161100857346</v>
      </c>
      <c r="M21" s="6" t="s">
        <v>152</v>
      </c>
      <c r="N21" s="6" t="s">
        <v>151</v>
      </c>
      <c r="O21" s="6" t="s">
        <v>150</v>
      </c>
      <c r="P21" s="6" t="s">
        <v>233</v>
      </c>
      <c r="AC21" s="9">
        <v>4250</v>
      </c>
      <c r="AD21" s="8">
        <f t="shared" si="0"/>
        <v>3.3518995498039548</v>
      </c>
      <c r="AE21" s="25">
        <f t="shared" si="1"/>
        <v>0.2312891824552139</v>
      </c>
    </row>
    <row r="22" spans="2:40" ht="15" x14ac:dyDescent="0.15">
      <c r="B22" s="14" t="s">
        <v>58</v>
      </c>
      <c r="C22" s="80">
        <v>0</v>
      </c>
      <c r="D22" s="12"/>
      <c r="E22" s="20" t="s">
        <v>3</v>
      </c>
      <c r="F22" s="21">
        <f>F15/F17</f>
        <v>8.2336268879964496E-5</v>
      </c>
      <c r="H22" s="216" t="s">
        <v>174</v>
      </c>
      <c r="I22" s="44">
        <f>I21*0.001925964/144</f>
        <v>1.3374750000000001E-3</v>
      </c>
      <c r="J22" s="106" t="s">
        <v>154</v>
      </c>
      <c r="K22">
        <f>(K21-I13)*J28</f>
        <v>58906.342629745326</v>
      </c>
      <c r="M22" s="225">
        <f>(C54)*1000+CONVERT(I23,"in","mm")</f>
        <v>109.19834182535953</v>
      </c>
      <c r="N22" s="225">
        <f>(C48)*1000+CONVERT(I23,"in","mm")</f>
        <v>41.362133337190997</v>
      </c>
      <c r="O22" s="225">
        <f>(C33)*1000+CONVERT(I23,"in","mm")</f>
        <v>99.50425917060052</v>
      </c>
      <c r="P22" s="225">
        <f>O22</f>
        <v>99.50425917060052</v>
      </c>
      <c r="Q22" s="6" t="s">
        <v>220</v>
      </c>
      <c r="AC22" s="9">
        <v>4500</v>
      </c>
      <c r="AD22" s="8">
        <f t="shared" si="0"/>
        <v>3.5879991414142154</v>
      </c>
      <c r="AE22" s="25">
        <f t="shared" si="1"/>
        <v>0.23609959161026062</v>
      </c>
    </row>
    <row r="23" spans="2:40" ht="16" thickBot="1" x14ac:dyDescent="0.2">
      <c r="B23" s="190" t="s">
        <v>26</v>
      </c>
      <c r="C23" s="173">
        <f>SQRT(((2*C8)/(C8-1))*C10*C11*(1-(C18)^((C8-1)/C8)))</f>
        <v>12144.815946893854</v>
      </c>
      <c r="D23" s="17" t="s">
        <v>13</v>
      </c>
      <c r="E23" s="51" t="s">
        <v>39</v>
      </c>
      <c r="F23" s="69">
        <v>2</v>
      </c>
      <c r="G23" s="17" t="s">
        <v>11</v>
      </c>
      <c r="H23" s="250" t="s">
        <v>183</v>
      </c>
      <c r="I23" s="251">
        <f>CONVERT(1.25,"mm","in")</f>
        <v>4.9212598425196853E-2</v>
      </c>
      <c r="J23" s="7" t="s">
        <v>115</v>
      </c>
      <c r="L23" s="1"/>
      <c r="M23" s="133">
        <f>M22*PI()</f>
        <v>343.05670846273654</v>
      </c>
      <c r="N23" s="133">
        <f>N22*PI()</f>
        <v>129.94297422892072</v>
      </c>
      <c r="O23" s="133">
        <f>O22*PI()</f>
        <v>312.60184961125339</v>
      </c>
      <c r="P23" s="133">
        <f>P22*PI()</f>
        <v>312.60184961125339</v>
      </c>
      <c r="Q23" s="6" t="s">
        <v>219</v>
      </c>
      <c r="AC23" s="9">
        <v>4750</v>
      </c>
      <c r="AD23" s="8">
        <f t="shared" si="0"/>
        <v>3.8290091902491881</v>
      </c>
      <c r="AE23" s="25">
        <f t="shared" si="1"/>
        <v>0.24101004883497268</v>
      </c>
    </row>
    <row r="24" spans="2:40" ht="14" thickBot="1" x14ac:dyDescent="0.2">
      <c r="B24" s="107" t="s">
        <v>179</v>
      </c>
      <c r="C24" s="18">
        <f>((C13*101970*9.80665)*C46)/F21</f>
        <v>7774.1775824282076</v>
      </c>
      <c r="D24" s="106" t="s">
        <v>13</v>
      </c>
      <c r="E24" s="49" t="s">
        <v>35</v>
      </c>
      <c r="F24" s="50">
        <v>1.3</v>
      </c>
      <c r="H24" s="179"/>
      <c r="I24" s="180" t="s">
        <v>150</v>
      </c>
      <c r="J24" s="180" t="s">
        <v>151</v>
      </c>
      <c r="K24" s="181" t="s">
        <v>152</v>
      </c>
      <c r="L24" s="100"/>
      <c r="M24">
        <v>10</v>
      </c>
      <c r="N24">
        <f>M24</f>
        <v>10</v>
      </c>
      <c r="O24">
        <f>M24</f>
        <v>10</v>
      </c>
      <c r="P24">
        <f>N24</f>
        <v>10</v>
      </c>
      <c r="Q24" s="6" t="s">
        <v>216</v>
      </c>
      <c r="AC24" s="9">
        <v>5000</v>
      </c>
      <c r="AD24" s="8">
        <f t="shared" si="0"/>
        <v>4.0750318252028315</v>
      </c>
      <c r="AE24" s="25">
        <f t="shared" si="1"/>
        <v>0.2460226349536434</v>
      </c>
    </row>
    <row r="25" spans="2:40" ht="16" x14ac:dyDescent="0.2">
      <c r="B25" s="107" t="s">
        <v>201</v>
      </c>
      <c r="C25" s="18">
        <f>(SQRT(C8*C10*C11))/(C8*SQRT((2/(C8+1))^((C8+1)/(C8-1))))</f>
        <v>7774.3011899299763</v>
      </c>
      <c r="D25" s="102" t="s">
        <v>13</v>
      </c>
      <c r="E25" s="145" t="s">
        <v>199</v>
      </c>
      <c r="F25" s="147">
        <f>F21/(F24+1)</f>
        <v>0.35799851607207911</v>
      </c>
      <c r="G25" s="15" t="s">
        <v>15</v>
      </c>
      <c r="H25" s="175" t="s">
        <v>168</v>
      </c>
      <c r="I25" s="176">
        <v>0</v>
      </c>
      <c r="J25" s="176">
        <v>1</v>
      </c>
      <c r="K25" s="177">
        <f>C23/SQRT((C8)*C10*C11)</f>
        <v>2.2228258464374218</v>
      </c>
      <c r="L25" s="1"/>
      <c r="M25">
        <f>360/M24</f>
        <v>36</v>
      </c>
      <c r="N25">
        <f>360/N24</f>
        <v>36</v>
      </c>
      <c r="O25">
        <f>360/O24</f>
        <v>36</v>
      </c>
      <c r="P25">
        <f>360/P24</f>
        <v>36</v>
      </c>
      <c r="Q25" s="6" t="s">
        <v>217</v>
      </c>
      <c r="AC25" s="9">
        <v>5250</v>
      </c>
      <c r="AD25" s="8">
        <f t="shared" si="0"/>
        <v>4.3261712992709001</v>
      </c>
      <c r="AE25" s="25">
        <f t="shared" si="1"/>
        <v>0.25113947406806858</v>
      </c>
      <c r="AJ25" s="15"/>
      <c r="AM25" s="15"/>
      <c r="AN25">
        <f>(90/25)*-1</f>
        <v>-3.6</v>
      </c>
    </row>
    <row r="26" spans="2:40" ht="29" x14ac:dyDescent="0.2">
      <c r="B26" s="164" t="s">
        <v>180</v>
      </c>
      <c r="C26" s="165">
        <f>C24/C25</f>
        <v>0.99998410050000008</v>
      </c>
      <c r="E26" s="59" t="s">
        <v>112</v>
      </c>
      <c r="F26" s="147">
        <f>(F21*F24)/(F24+1)</f>
        <v>0.46539807089370289</v>
      </c>
      <c r="G26" s="15" t="s">
        <v>15</v>
      </c>
      <c r="H26" s="168" t="s">
        <v>170</v>
      </c>
      <c r="I26" s="197">
        <f>1/(((0.5*$I$20*(1+(($C$8-1)/2)*I25^2)+0.5)^0.68)*((1+(($C$8-1)/2)*I25^2)^0.12))</f>
        <v>1.4097964459887202</v>
      </c>
      <c r="J26" s="197">
        <f>1/(((0.5*$I$20*(1+(($C$8-1)/2)*J25^2)+0.5)^0.68)*((1+(($C$8-1)/2)*J25^2)^0.12))</f>
        <v>1.3800633207884647</v>
      </c>
      <c r="K26" s="198">
        <f>1/(((0.5*$I$20*(1+(($C$8-1)/2)*K25^2)+0.5)^0.68)*((1+(($C$8-1)/2)*K25^2)^0.12))</f>
        <v>1.2801489180186394</v>
      </c>
      <c r="M26" s="133">
        <f>M22*PI()*(M25/360)</f>
        <v>34.305670846273657</v>
      </c>
      <c r="N26" s="133">
        <f>N22*PI()*(N25/360)</f>
        <v>12.994297422892073</v>
      </c>
      <c r="O26" s="133">
        <f>O22*PI()*(O25/360)</f>
        <v>31.26018496112534</v>
      </c>
      <c r="P26" s="133">
        <f>P22*PI()*(P25/360)</f>
        <v>31.26018496112534</v>
      </c>
      <c r="Q26" s="6" t="s">
        <v>218</v>
      </c>
      <c r="AC26" s="9">
        <v>5500</v>
      </c>
      <c r="AD26" s="8">
        <f t="shared" si="0"/>
        <v>4.5825340337285194</v>
      </c>
      <c r="AE26" s="25">
        <f t="shared" si="1"/>
        <v>0.25636273445761937</v>
      </c>
      <c r="AH26" t="s">
        <v>289</v>
      </c>
      <c r="AJ26" s="15"/>
      <c r="AM26" s="15"/>
    </row>
    <row r="27" spans="2:40" ht="16" x14ac:dyDescent="0.2">
      <c r="B27" s="178" t="s">
        <v>196</v>
      </c>
      <c r="C27" s="52">
        <f>(((C8+1)/2)^(1/(C8-1)))*(C18^(1/C8))*(SQRT(((C8+1)/(C8-1))*(1-(C18^((C8-1)/C8)))))</f>
        <v>0.13807643622703519</v>
      </c>
      <c r="D27" s="17"/>
      <c r="E27" s="154" t="s">
        <v>144</v>
      </c>
      <c r="F27" s="155">
        <v>800</v>
      </c>
      <c r="G27" s="15" t="s">
        <v>109</v>
      </c>
      <c r="H27" s="169" t="s">
        <v>169</v>
      </c>
      <c r="I27" s="170">
        <f>((0.026/$C$49^0.2)*(($I$19^0.2*$I$17)/($I$12^0.6))*((($C$12*32.174)/($C$24*3.28084))^0.8)*(($C49/($C$49/2))^0.1))*((1/$C$30)^0.9)*I26</f>
        <v>1.0095645300528053E-4</v>
      </c>
      <c r="J27" s="170">
        <f>((0.026/$C$49^0.2)*(($I$19^0.2*$I$17)/($I$12^0.6))*((($C$12*32.174)/($C$24*3.28084))^0.8)*(($C49/($C$49/2))^0.1))*(1^0.9)*J26</f>
        <v>4.9569302857636606E-4</v>
      </c>
      <c r="K27" s="171">
        <f>((0.026/$C$49^0.2)*(($I$19^0.2*$I$17)/($I$12^0.6))*((($C$12*32.174)/($C$24*3.28084))^0.8)*(($C49/($C$49/2))^0.1))*(C27^0.9)*K26</f>
        <v>7.738947554182616E-5</v>
      </c>
      <c r="L27" s="100" t="s">
        <v>153</v>
      </c>
      <c r="M27" s="133">
        <v>1</v>
      </c>
      <c r="N27" s="133">
        <f>M27</f>
        <v>1</v>
      </c>
      <c r="O27" s="133">
        <f>N27</f>
        <v>1</v>
      </c>
      <c r="P27" s="133">
        <f>O27</f>
        <v>1</v>
      </c>
      <c r="Q27" s="6" t="s">
        <v>229</v>
      </c>
      <c r="AC27" s="9"/>
      <c r="AD27" s="8"/>
      <c r="AE27" s="25"/>
      <c r="AG27">
        <v>0</v>
      </c>
      <c r="AH27">
        <v>110</v>
      </c>
      <c r="AI27" t="s">
        <v>2</v>
      </c>
      <c r="AJ27" s="15"/>
      <c r="AM27" s="15"/>
    </row>
    <row r="28" spans="2:40" ht="16" x14ac:dyDescent="0.2">
      <c r="B28" s="53" t="s">
        <v>24</v>
      </c>
      <c r="C28" s="52">
        <f>1/C27</f>
        <v>7.2423653689593221</v>
      </c>
      <c r="D28" s="17"/>
      <c r="E28" s="154" t="s">
        <v>145</v>
      </c>
      <c r="F28" s="156">
        <f>(F38*6894.75729)/(F36*((8314.4621)/F50)*F52)</f>
        <v>23.625320467084887</v>
      </c>
      <c r="G28" s="106" t="s">
        <v>109</v>
      </c>
      <c r="H28" s="196" t="s">
        <v>169</v>
      </c>
      <c r="I28" s="104">
        <f>((0.026/$C$48^0.2)*(($I$18^0.2*$I$16)/($I$12^0.6))*((($C$13*10^6)/($C$24))^0.8)*(($C48/($C$48/2))^0.1))*((1/$C$30)^0.9)*I26</f>
        <v>4.3416295338294502</v>
      </c>
      <c r="J28" s="104">
        <f>((0.026/$C$48^0.2)*(($I$18^0.2*$I$16)/($I$12^0.6))*((($C$13*10^6)/($C$24))^0.8)*(($C48/($C$48/2))^0.1))*(1^0.9)*J26</f>
        <v>21.317265301188325</v>
      </c>
      <c r="K28" s="104">
        <f>((0.026/$C$48^0.2)*(($I$18^0.2*$I$16)/($I$12^0.6))*((($C$13*10^6)/($C$24))^0.8)*(($C48/($C$48/2))^0.1))*(C27^0.9)*K26</f>
        <v>3.3281323047511386</v>
      </c>
      <c r="L28" s="100" t="s">
        <v>244</v>
      </c>
      <c r="M28" s="7">
        <f>M24*9</f>
        <v>90</v>
      </c>
      <c r="N28" s="7">
        <f>N24*3</f>
        <v>30</v>
      </c>
      <c r="O28" s="7">
        <f>O24*14</f>
        <v>140</v>
      </c>
      <c r="P28" s="7">
        <f>P24*14</f>
        <v>140</v>
      </c>
      <c r="Q28" s="158" t="s">
        <v>230</v>
      </c>
      <c r="AC28" s="9"/>
      <c r="AD28" s="8"/>
      <c r="AE28" s="25"/>
      <c r="AG28">
        <v>2</v>
      </c>
      <c r="AH28">
        <v>109</v>
      </c>
      <c r="AJ28" s="15"/>
      <c r="AM28" s="15"/>
    </row>
    <row r="29" spans="2:40" ht="16" x14ac:dyDescent="0.2">
      <c r="B29" s="107" t="s">
        <v>121</v>
      </c>
      <c r="C29" s="163">
        <f>SQRT(((2*C8^2)/(C8-1))*(2/(C8+1))^((C8+1)/(C8-1)) * (1-(C18)^((C8-1)/C8)))+((C15-C17)/C13)*C28</f>
        <v>1.562174612250036</v>
      </c>
      <c r="D29" s="135"/>
      <c r="E29" s="111" t="s">
        <v>143</v>
      </c>
      <c r="F29" s="112">
        <f>F25/F27</f>
        <v>4.474981450900989E-4</v>
      </c>
      <c r="G29" s="102" t="s">
        <v>108</v>
      </c>
      <c r="H29" s="216" t="s">
        <v>171</v>
      </c>
      <c r="I29" s="108">
        <f>$I$9*(1+$I$12^0.33*(($C$8-1)/2)*I25)/(1+(($C$8-1)/2)*I25)</f>
        <v>5454</v>
      </c>
      <c r="J29" s="108">
        <f>$I$9*(1+$I$12^0.33*(($C$8-1)/2)*J25)/(1+(($C$8-1)/2)*J25)</f>
        <v>6102.5689981543228</v>
      </c>
      <c r="K29" s="108">
        <f>$I$9*(1+$I$12^0.33*(($C$8-1)/2)*K25)/(1+(($C$8-1)/2)*K25)</f>
        <v>6760.3986605116534</v>
      </c>
      <c r="L29" s="7" t="s">
        <v>148</v>
      </c>
      <c r="M29" s="226">
        <f>M22*PI()*(360/M28/360)</f>
        <v>3.8117412051415172</v>
      </c>
      <c r="N29" s="226">
        <f>N22*PI()*(360/N28/360)</f>
        <v>4.3314324742973573</v>
      </c>
      <c r="O29" s="226">
        <f>O22*PI()*(360/O28/360)</f>
        <v>2.2328703543660957</v>
      </c>
      <c r="P29" s="226">
        <f>P22*PI()*(360/P28/360)</f>
        <v>2.2328703543660957</v>
      </c>
      <c r="Q29" s="158" t="s">
        <v>231</v>
      </c>
      <c r="AC29" s="9"/>
      <c r="AD29" s="8"/>
      <c r="AE29" s="25"/>
      <c r="AG29">
        <v>4</v>
      </c>
      <c r="AH29">
        <v>108</v>
      </c>
      <c r="AJ29" s="15"/>
      <c r="AM29" s="15"/>
    </row>
    <row r="30" spans="2:40" ht="16" x14ac:dyDescent="0.2">
      <c r="B30" s="125" t="s">
        <v>92</v>
      </c>
      <c r="C30" s="88">
        <v>6</v>
      </c>
      <c r="E30" s="113" t="s">
        <v>143</v>
      </c>
      <c r="F30" s="114">
        <f>F29*264.172052*60</f>
        <v>7.0929901952787091</v>
      </c>
      <c r="G30" s="102" t="s">
        <v>111</v>
      </c>
      <c r="H30" s="220" t="s">
        <v>171</v>
      </c>
      <c r="I30" s="248">
        <f>$I$10*(1+$I$12^0.33*(($C$8-1)/2)*I25)/(1+(($C$8-1)/2)*I25)</f>
        <v>3030</v>
      </c>
      <c r="J30" s="248">
        <f>$I$10*(1+$I$12^0.33*(($C$8-1)/2)*J25)/(1+(($C$8-1)/2)*J25)</f>
        <v>3390.3161100857351</v>
      </c>
      <c r="K30" s="248">
        <f>$I$10*(1+$I$12^0.33*(($C$8-1)/2)*K25)/(1+(($C$8-1)/2)*K25)</f>
        <v>3755.7770336175854</v>
      </c>
      <c r="L30" s="7" t="s">
        <v>190</v>
      </c>
      <c r="M30">
        <f>M26/M29</f>
        <v>9</v>
      </c>
      <c r="N30">
        <f>N26/N29</f>
        <v>3</v>
      </c>
      <c r="O30">
        <f>O26/O29</f>
        <v>14</v>
      </c>
      <c r="P30">
        <f>P26/P29</f>
        <v>14</v>
      </c>
      <c r="Q30" s="6" t="s">
        <v>232</v>
      </c>
      <c r="AC30" s="9"/>
      <c r="AD30" s="8"/>
      <c r="AE30" s="25"/>
      <c r="AG30">
        <v>6</v>
      </c>
      <c r="AH30">
        <v>107</v>
      </c>
      <c r="AJ30" s="15"/>
      <c r="AM30" s="15"/>
    </row>
    <row r="31" spans="2:40" ht="16" x14ac:dyDescent="0.2">
      <c r="B31" s="58" t="s">
        <v>90</v>
      </c>
      <c r="C31" s="82">
        <f>C46*C30</f>
        <v>7.5821548938550861E-3</v>
      </c>
      <c r="D31" s="17" t="s">
        <v>85</v>
      </c>
      <c r="E31" s="111" t="s">
        <v>207</v>
      </c>
      <c r="F31" s="112">
        <f>F26/F28</f>
        <v>1.9699122030623954E-2</v>
      </c>
      <c r="G31" s="102" t="s">
        <v>108</v>
      </c>
      <c r="H31" s="195" t="s">
        <v>209</v>
      </c>
      <c r="I31" s="199">
        <f>I27*($I$29-$I$14)</f>
        <v>0.43667704182904038</v>
      </c>
      <c r="J31" s="199">
        <f>($J$29-$I$14)*J27</f>
        <v>2.4655617567400694</v>
      </c>
      <c r="K31" s="200">
        <f>K27*($K$29-$I$14)</f>
        <v>0.43584194469415588</v>
      </c>
      <c r="L31" s="100" t="s">
        <v>251</v>
      </c>
      <c r="N31" s="159">
        <f>N33/N32-1</f>
        <v>0.27323954473516276</v>
      </c>
      <c r="AC31" s="9"/>
      <c r="AD31" s="8"/>
      <c r="AE31" s="25"/>
      <c r="AG31">
        <v>8</v>
      </c>
      <c r="AH31">
        <v>106</v>
      </c>
      <c r="AJ31" s="15"/>
      <c r="AM31" s="15"/>
    </row>
    <row r="32" spans="2:40" ht="16" x14ac:dyDescent="0.2">
      <c r="B32" s="83" t="s">
        <v>90</v>
      </c>
      <c r="C32" s="86">
        <f>C31*39.3700787^2</f>
        <v>11.752363566227743</v>
      </c>
      <c r="D32" s="15" t="s">
        <v>86</v>
      </c>
      <c r="E32" s="113" t="s">
        <v>207</v>
      </c>
      <c r="F32" s="114">
        <f>F31*264.172052*60</f>
        <v>312.23744936570023</v>
      </c>
      <c r="G32" s="102" t="s">
        <v>111</v>
      </c>
      <c r="H32" s="196" t="s">
        <v>208</v>
      </c>
      <c r="I32" s="104">
        <f>(I30-$I$13)*I28</f>
        <v>10432.93576979217</v>
      </c>
      <c r="J32" s="104">
        <f>(J30-$I$13)*J28</f>
        <v>58906.342629745341</v>
      </c>
      <c r="K32" s="104">
        <f>(K30-$I$13)*K28</f>
        <v>10412.983919946126</v>
      </c>
      <c r="L32" s="100" t="s">
        <v>252</v>
      </c>
      <c r="N32">
        <f>PI()*2^2</f>
        <v>12.566370614359172</v>
      </c>
      <c r="O32" t="s">
        <v>247</v>
      </c>
      <c r="AC32" s="9"/>
      <c r="AD32" s="8"/>
      <c r="AE32" s="25"/>
      <c r="AG32">
        <v>10</v>
      </c>
      <c r="AH32">
        <v>105</v>
      </c>
      <c r="AI32" t="s">
        <v>2</v>
      </c>
      <c r="AJ32" s="15"/>
      <c r="AM32" s="15"/>
    </row>
    <row r="33" spans="2:40" ht="16" x14ac:dyDescent="0.2">
      <c r="B33" s="58" t="s">
        <v>91</v>
      </c>
      <c r="C33" s="82">
        <f>(SQRT(C31/PI()))*2</f>
        <v>9.8254259170600516E-2</v>
      </c>
      <c r="D33" s="15" t="s">
        <v>25</v>
      </c>
      <c r="E33" s="136" t="s">
        <v>129</v>
      </c>
      <c r="F33" s="141"/>
      <c r="G33" s="15"/>
      <c r="H33" s="172" t="s">
        <v>181</v>
      </c>
      <c r="I33" s="173">
        <f>$I$14-((I31*$I$23)/$I$22)</f>
        <v>1112.5324010534512</v>
      </c>
      <c r="J33" s="173">
        <f>$I$14-((J31*$I$23)/$I$22)</f>
        <v>1037.8792757793815</v>
      </c>
      <c r="K33" s="205">
        <f>$I$14-((K31*$I$23)/$I$22)</f>
        <v>1112.5631285810275</v>
      </c>
      <c r="L33" s="4" t="s">
        <v>148</v>
      </c>
      <c r="M33">
        <f>SQRT(N33)</f>
        <v>4</v>
      </c>
      <c r="N33">
        <f>4*4</f>
        <v>16</v>
      </c>
      <c r="O33" t="s">
        <v>248</v>
      </c>
      <c r="P33">
        <f>0.00003</f>
        <v>3.0000000000000001E-5</v>
      </c>
      <c r="Q33">
        <f>CONVERT(P33,"m","in")</f>
        <v>1.1811023622047244E-3</v>
      </c>
      <c r="AC33" s="9"/>
      <c r="AD33" s="8"/>
      <c r="AE33" s="25"/>
      <c r="AG33">
        <v>12</v>
      </c>
      <c r="AH33">
        <v>104</v>
      </c>
      <c r="AJ33" s="15"/>
      <c r="AM33" s="15"/>
    </row>
    <row r="34" spans="2:40" ht="16" x14ac:dyDescent="0.2">
      <c r="B34" s="83" t="s">
        <v>91</v>
      </c>
      <c r="C34" s="86">
        <f>C33*39.3700787</f>
        <v>3.8682779161567393</v>
      </c>
      <c r="D34" s="15" t="s">
        <v>84</v>
      </c>
      <c r="E34" s="136" t="s">
        <v>130</v>
      </c>
      <c r="F34" s="141">
        <v>1.41</v>
      </c>
      <c r="G34" s="15"/>
      <c r="H34" s="201" t="s">
        <v>181</v>
      </c>
      <c r="I34" s="204">
        <f>$I$13-((I32*CONVERT($I$23,"in","mm"))/$I$21)</f>
        <v>496.58830287759793</v>
      </c>
      <c r="J34" s="204">
        <f>$I$13-((J32*CONVERT($I$23,"in","mm"))/$I$21)</f>
        <v>-109.32928287181687</v>
      </c>
      <c r="K34" s="204">
        <f>$I$13-((K32*CONVERT($I$23,"in","mm"))/$I$21)</f>
        <v>496.83770100067341</v>
      </c>
      <c r="L34" s="4" t="s">
        <v>190</v>
      </c>
      <c r="M34" s="224">
        <f>C54</f>
        <v>0.10794834182535953</v>
      </c>
      <c r="N34" s="102" t="s">
        <v>221</v>
      </c>
      <c r="AC34" s="9"/>
      <c r="AD34" s="8"/>
      <c r="AE34" s="25"/>
      <c r="AG34">
        <v>14</v>
      </c>
      <c r="AH34">
        <v>103</v>
      </c>
      <c r="AJ34" s="15"/>
      <c r="AM34" s="15"/>
    </row>
    <row r="35" spans="2:40" ht="16" x14ac:dyDescent="0.2">
      <c r="B35" s="49" t="s">
        <v>96</v>
      </c>
      <c r="C35" s="89">
        <f>CONVERT(4,"in","m")</f>
        <v>0.1016</v>
      </c>
      <c r="D35" s="15" t="s">
        <v>25</v>
      </c>
      <c r="E35" s="138" t="s">
        <v>139</v>
      </c>
      <c r="F35" s="140"/>
      <c r="G35" s="259"/>
      <c r="H35" s="189" t="s">
        <v>189</v>
      </c>
      <c r="I35" s="202">
        <f>I31/(I33-$I$40)</f>
        <v>7.1759045380836561E-4</v>
      </c>
      <c r="J35" s="202">
        <f>J31/(J33-$I$40)</f>
        <v>4.6182009090739266E-3</v>
      </c>
      <c r="K35" s="203">
        <f>K31/(K33-$I$40)</f>
        <v>7.1618197722625487E-4</v>
      </c>
      <c r="L35" s="106" t="s">
        <v>153</v>
      </c>
      <c r="M35" s="223">
        <f>M34*PI()</f>
        <v>0.33912971764574928</v>
      </c>
      <c r="N35" s="7" t="s">
        <v>222</v>
      </c>
      <c r="AC35" s="9"/>
      <c r="AD35" s="8"/>
      <c r="AE35" s="25"/>
      <c r="AG35">
        <v>16</v>
      </c>
      <c r="AH35">
        <v>102</v>
      </c>
      <c r="AJ35" s="15"/>
      <c r="AM35" s="15"/>
    </row>
    <row r="36" spans="2:40" ht="16" x14ac:dyDescent="0.2">
      <c r="B36" s="83" t="s">
        <v>93</v>
      </c>
      <c r="C36" s="86">
        <f>C35*39.3700787</f>
        <v>3.9999999959200001</v>
      </c>
      <c r="D36" s="15" t="s">
        <v>84</v>
      </c>
      <c r="E36" s="138" t="s">
        <v>140</v>
      </c>
      <c r="F36" s="140">
        <v>0.97499999999999998</v>
      </c>
      <c r="G36" s="15"/>
      <c r="H36" s="201" t="s">
        <v>189</v>
      </c>
      <c r="I36" s="104">
        <f>I32/(I34-$I$40/1.8)</f>
        <v>48.169433118870728</v>
      </c>
      <c r="J36" s="104">
        <f>J32/(J34-$I$40/1.8)</f>
        <v>-151.30211166042633</v>
      </c>
      <c r="K36" s="104">
        <f>K32/(K34-$I$40/1.8)</f>
        <v>48.022017720589041</v>
      </c>
      <c r="L36" s="100" t="s">
        <v>244</v>
      </c>
      <c r="M36" s="122">
        <f>ROUND(I39,0)</f>
        <v>10</v>
      </c>
      <c r="N36" s="106" t="s">
        <v>223</v>
      </c>
      <c r="AC36" s="9"/>
      <c r="AD36" s="8"/>
      <c r="AE36" s="25"/>
      <c r="AG36">
        <v>18</v>
      </c>
      <c r="AH36">
        <v>101</v>
      </c>
      <c r="AJ36" s="15"/>
      <c r="AM36" s="15"/>
    </row>
    <row r="37" spans="2:40" ht="16" x14ac:dyDescent="0.2">
      <c r="B37" s="14" t="s">
        <v>110</v>
      </c>
      <c r="C37" s="87">
        <v>60</v>
      </c>
      <c r="D37" s="17" t="s">
        <v>68</v>
      </c>
      <c r="E37" s="105" t="s">
        <v>131</v>
      </c>
      <c r="F37" s="88">
        <v>410</v>
      </c>
      <c r="G37" s="106" t="s">
        <v>292</v>
      </c>
      <c r="H37" s="168" t="s">
        <v>188</v>
      </c>
      <c r="I37" s="187">
        <f>PI()*C33*C35</f>
        <v>3.1361365653497439E-2</v>
      </c>
      <c r="J37" s="186">
        <f>PI()*(C33/2+C48/2)*SQRT(((C33/2-C48/2)*COS(RADIANS(C37)))^2+((C33-C48)/2)^2)</f>
        <v>7.0642557327469475E-3</v>
      </c>
      <c r="K37" s="188">
        <f>PI()*(C54/2+C48/2)*SQRT(((C54/2-C48/2)*COS(RADIANS(C56)))^2+((C54-C48)/2)^2)</f>
        <v>1.0967507507122847E-2</v>
      </c>
      <c r="L37" s="161" t="s">
        <v>114</v>
      </c>
      <c r="M37" s="223">
        <f>M35/M36</f>
        <v>3.3912971764574931E-2</v>
      </c>
      <c r="N37" s="7" t="s">
        <v>224</v>
      </c>
      <c r="AC37" s="9"/>
      <c r="AD37" s="8"/>
      <c r="AE37" s="25"/>
      <c r="AG37">
        <v>20</v>
      </c>
      <c r="AH37">
        <v>100</v>
      </c>
      <c r="AI37" t="s">
        <v>2</v>
      </c>
      <c r="AJ37" s="15"/>
      <c r="AM37" s="15"/>
    </row>
    <row r="38" spans="2:40" ht="17" thickBot="1" x14ac:dyDescent="0.25">
      <c r="B38" s="19" t="s">
        <v>99</v>
      </c>
      <c r="C38" s="98">
        <f>(C33/2-C48/2)/TAN(RADIANS(C37))</f>
        <v>1.6784186000588047E-2</v>
      </c>
      <c r="D38" s="15" t="s">
        <v>25</v>
      </c>
      <c r="E38" s="105" t="s">
        <v>132</v>
      </c>
      <c r="F38" s="88">
        <v>250</v>
      </c>
      <c r="G38" s="106" t="s">
        <v>292</v>
      </c>
      <c r="H38" s="183" t="s">
        <v>188</v>
      </c>
      <c r="I38" s="184">
        <f>PI()*C34*C36</f>
        <v>48.610213884184162</v>
      </c>
      <c r="J38" s="184">
        <f>PI()*(C34/2+C49/2)*SQRT(((C34/2-C49/2)*COS(RADIANS(C37)))^2+((C34-C49)/2)^2)</f>
        <v>10.94961826265712</v>
      </c>
      <c r="K38" s="185">
        <f>PI()*(C55/2+C49/2)*SQRT(((C55/2-C49/2)*COS(RADIANS(C56)))^2+((C55-C49)/2)^2)</f>
        <v>16.999670600702355</v>
      </c>
      <c r="L38" s="161" t="s">
        <v>187</v>
      </c>
      <c r="M38">
        <v>7.9</v>
      </c>
      <c r="N38" s="106" t="s">
        <v>225</v>
      </c>
      <c r="AC38" s="9"/>
      <c r="AD38" s="8"/>
      <c r="AE38" s="25"/>
      <c r="AG38" t="s">
        <v>290</v>
      </c>
      <c r="AH38" t="s">
        <v>289</v>
      </c>
      <c r="AJ38" s="15"/>
      <c r="AM38" s="15"/>
    </row>
    <row r="39" spans="2:40" ht="15" x14ac:dyDescent="0.2">
      <c r="B39" s="84" t="s">
        <v>107</v>
      </c>
      <c r="C39" s="118">
        <f>C38*39.3700787</f>
        <v>0.66079472375858961</v>
      </c>
      <c r="D39" s="15" t="s">
        <v>84</v>
      </c>
      <c r="E39" s="107" t="s">
        <v>118</v>
      </c>
      <c r="F39" s="108">
        <f>F37-C12</f>
        <v>-324.70000000000005</v>
      </c>
      <c r="G39" s="106" t="s">
        <v>292</v>
      </c>
      <c r="H39" s="237" t="s">
        <v>175</v>
      </c>
      <c r="I39" s="238">
        <v>10</v>
      </c>
      <c r="J39" s="7"/>
      <c r="M39" s="7">
        <f>M38*PI()</f>
        <v>24.818581963359367</v>
      </c>
      <c r="N39" s="7" t="s">
        <v>226</v>
      </c>
      <c r="AC39" s="9"/>
      <c r="AD39" s="8"/>
      <c r="AE39" s="25"/>
      <c r="AG39">
        <v>2</v>
      </c>
      <c r="AH39">
        <v>1</v>
      </c>
      <c r="AJ39" s="15"/>
      <c r="AM39" s="15"/>
    </row>
    <row r="40" spans="2:40" ht="16" x14ac:dyDescent="0.2">
      <c r="B40" s="19" t="s">
        <v>94</v>
      </c>
      <c r="C40" s="98">
        <f>C38/COS(RADIANS(C37))</f>
        <v>3.3568372001176086E-2</v>
      </c>
      <c r="D40" s="15" t="s">
        <v>25</v>
      </c>
      <c r="E40" s="107" t="s">
        <v>119</v>
      </c>
      <c r="F40" s="108">
        <f>F38-C12</f>
        <v>-484.70000000000005</v>
      </c>
      <c r="G40" s="106" t="s">
        <v>292</v>
      </c>
      <c r="H40" s="217" t="s">
        <v>192</v>
      </c>
      <c r="I40" s="219">
        <f>280*1.8</f>
        <v>504</v>
      </c>
      <c r="J40" s="7" t="s">
        <v>148</v>
      </c>
      <c r="K40">
        <f>SQRT(K41)</f>
        <v>2.3313645929772683E-2</v>
      </c>
      <c r="M40" s="122">
        <f>M39/2 - M37</f>
        <v>12.375378009915108</v>
      </c>
      <c r="N40" s="106" t="s">
        <v>227</v>
      </c>
      <c r="AC40" s="9"/>
      <c r="AD40" s="8"/>
      <c r="AE40" s="25"/>
      <c r="AG40">
        <v>4</v>
      </c>
      <c r="AH40">
        <v>2</v>
      </c>
      <c r="AJ40" s="15"/>
      <c r="AM40" s="15"/>
    </row>
    <row r="41" spans="2:40" ht="16" x14ac:dyDescent="0.2">
      <c r="B41" s="84" t="s">
        <v>94</v>
      </c>
      <c r="C41" s="118">
        <f>C40*39.3700787</f>
        <v>1.321589447517179</v>
      </c>
      <c r="D41" s="15" t="s">
        <v>84</v>
      </c>
      <c r="E41" s="174" t="s">
        <v>392</v>
      </c>
      <c r="F41" s="279" t="str">
        <f>IF(ISBLANK(F33)=FALSE,(2/(F33+1))^(F33/(F33-1)),"")</f>
        <v/>
      </c>
      <c r="G41" s="7" t="s">
        <v>393</v>
      </c>
      <c r="H41" s="217" t="s">
        <v>215</v>
      </c>
      <c r="I41" s="219">
        <f>514*1.8</f>
        <v>925.2</v>
      </c>
      <c r="J41" s="7" t="s">
        <v>148</v>
      </c>
      <c r="K41">
        <f>(C52/2-C48/2)+C57^2</f>
        <v>5.4352608653880641E-4</v>
      </c>
      <c r="M41" s="122">
        <f>M38-M40</f>
        <v>-4.4753780099151079</v>
      </c>
      <c r="N41" s="7" t="s">
        <v>228</v>
      </c>
      <c r="AC41" s="9"/>
      <c r="AD41" s="8"/>
      <c r="AE41" s="25"/>
      <c r="AG41">
        <v>6</v>
      </c>
      <c r="AH41">
        <v>3</v>
      </c>
      <c r="AJ41" s="15"/>
      <c r="AM41" s="15"/>
    </row>
    <row r="42" spans="2:40" ht="16" x14ac:dyDescent="0.2">
      <c r="B42" s="53" t="s">
        <v>95</v>
      </c>
      <c r="C42" s="182">
        <f>C31*C35+C31*C40*(1+SQRT(C46/C31)+ C46/C31)</f>
        <v>1.1711952308286074E-3</v>
      </c>
      <c r="D42" s="15" t="s">
        <v>97</v>
      </c>
      <c r="E42" s="174" t="s">
        <v>394</v>
      </c>
      <c r="F42" s="279">
        <f>IF(ISBLANK(F34)=FALSE,(2/(F34+1))^(F34/(F34-1)),"")</f>
        <v>0.52660329279909524</v>
      </c>
      <c r="G42" s="7" t="s">
        <v>393</v>
      </c>
      <c r="H42" s="216" t="s">
        <v>214</v>
      </c>
      <c r="I42" s="44">
        <f>0.0624279606*F27</f>
        <v>49.942368479999999</v>
      </c>
      <c r="J42" s="7" t="s">
        <v>157</v>
      </c>
      <c r="M42">
        <f>6435/J32</f>
        <v>0.10924120752916314</v>
      </c>
      <c r="P42">
        <f>2*0.0254</f>
        <v>5.0799999999999998E-2</v>
      </c>
      <c r="AC42" s="9"/>
      <c r="AD42" s="8"/>
      <c r="AE42" s="25"/>
      <c r="AG42">
        <v>8</v>
      </c>
      <c r="AH42">
        <v>4</v>
      </c>
      <c r="AJ42" s="15"/>
      <c r="AM42" s="15"/>
    </row>
    <row r="43" spans="2:40" ht="16" x14ac:dyDescent="0.2">
      <c r="B43" s="90" t="s">
        <v>95</v>
      </c>
      <c r="C43" s="91">
        <f>C42*39.3700787^3</f>
        <v>71.470717832355461</v>
      </c>
      <c r="D43" s="15" t="s">
        <v>98</v>
      </c>
      <c r="E43" s="280" t="s">
        <v>395</v>
      </c>
      <c r="F43" s="281" t="str">
        <f>IF(ISBLANK(F33)=FALSE,F41*F37,"")</f>
        <v/>
      </c>
      <c r="G43" s="106" t="s">
        <v>292</v>
      </c>
      <c r="H43" s="217" t="s">
        <v>159</v>
      </c>
      <c r="I43" s="219">
        <v>2.1399999999999999E-2</v>
      </c>
      <c r="P43">
        <f>P42*48</f>
        <v>2.4383999999999997</v>
      </c>
      <c r="AC43" s="9"/>
      <c r="AD43" s="8"/>
      <c r="AE43" s="25"/>
      <c r="AG43">
        <v>10</v>
      </c>
      <c r="AH43">
        <v>5</v>
      </c>
      <c r="AI43" t="s">
        <v>2</v>
      </c>
      <c r="AJ43" s="15"/>
      <c r="AM43" s="15"/>
    </row>
    <row r="44" spans="2:40" x14ac:dyDescent="0.15">
      <c r="B44" s="53" t="s">
        <v>102</v>
      </c>
      <c r="C44" s="52">
        <f>C42/C46</f>
        <v>0.92680398690704346</v>
      </c>
      <c r="D44" s="15" t="s">
        <v>25</v>
      </c>
      <c r="E44" s="280" t="s">
        <v>396</v>
      </c>
      <c r="F44" s="281">
        <f>IF(ISBLANK(F34)=FALSE,F42*F38,"")</f>
        <v>131.65082319977381</v>
      </c>
      <c r="G44" s="106" t="s">
        <v>292</v>
      </c>
      <c r="H44" s="217" t="s">
        <v>210</v>
      </c>
      <c r="I44" s="219">
        <v>4.1499999999999999E-5</v>
      </c>
      <c r="J44" s="7" t="s">
        <v>160</v>
      </c>
      <c r="P44">
        <f>1*0.0254</f>
        <v>2.5399999999999999E-2</v>
      </c>
      <c r="AC44" s="9"/>
      <c r="AD44" s="8"/>
      <c r="AE44" s="25"/>
      <c r="AG44">
        <v>12</v>
      </c>
      <c r="AH44">
        <v>6</v>
      </c>
      <c r="AJ44" s="15"/>
      <c r="AM44" s="15"/>
    </row>
    <row r="45" spans="2:40" ht="15" x14ac:dyDescent="0.2">
      <c r="B45" s="53" t="s">
        <v>102</v>
      </c>
      <c r="C45" s="52">
        <f>C44*39.3700787</f>
        <v>36.488345904004071</v>
      </c>
      <c r="D45" s="15" t="s">
        <v>84</v>
      </c>
      <c r="E45" s="174" t="s">
        <v>397</v>
      </c>
      <c r="F45" s="279" t="str">
        <f>IF(ISBLANK(F33)=FALSE,IF(F41*F37&gt;$C$12,TRUE,FALSE),"")</f>
        <v/>
      </c>
      <c r="G45" s="7" t="s">
        <v>393</v>
      </c>
      <c r="H45" s="217" t="s">
        <v>211</v>
      </c>
      <c r="I45" s="219">
        <f>0.00000415</f>
        <v>4.1500000000000001E-6</v>
      </c>
      <c r="J45" s="7" t="s">
        <v>160</v>
      </c>
      <c r="N45" s="6">
        <f>0.8+0.8</f>
        <v>1.6</v>
      </c>
      <c r="AC45" s="9"/>
      <c r="AD45" s="8"/>
      <c r="AE45" s="25"/>
      <c r="AG45">
        <v>14</v>
      </c>
      <c r="AH45">
        <v>7</v>
      </c>
      <c r="AJ45" s="15"/>
      <c r="AM45" s="15"/>
    </row>
    <row r="46" spans="2:40" ht="16" x14ac:dyDescent="0.2">
      <c r="B46" s="58" t="s">
        <v>32</v>
      </c>
      <c r="C46" s="47">
        <f>(F21/(C13*10^6))*SQRT((C10*C11)/(C8*(2/(C8+1))^((C8+1)/(C8-1))))</f>
        <v>1.2636924823091809E-3</v>
      </c>
      <c r="D46" s="17" t="s">
        <v>85</v>
      </c>
      <c r="E46" s="174" t="s">
        <v>398</v>
      </c>
      <c r="F46" s="279" t="b">
        <f>IF(ISBLANK(F34)=FALSE,IF(F42*F38&gt;$C$12,TRUE,FALSE),"")</f>
        <v>0</v>
      </c>
      <c r="G46" s="7" t="s">
        <v>393</v>
      </c>
      <c r="H46" s="217" t="s">
        <v>212</v>
      </c>
      <c r="I46" s="258">
        <f>2.409984</f>
        <v>2.4099840000000001</v>
      </c>
      <c r="J46" s="7" t="s">
        <v>288</v>
      </c>
      <c r="AC46" s="9"/>
      <c r="AD46" s="8"/>
      <c r="AE46" s="25"/>
      <c r="AG46">
        <v>16</v>
      </c>
      <c r="AH46">
        <v>8</v>
      </c>
      <c r="AJ46" s="15"/>
      <c r="AM46" s="15"/>
    </row>
    <row r="47" spans="2:40" ht="16" x14ac:dyDescent="0.2">
      <c r="B47" s="174" t="s">
        <v>197</v>
      </c>
      <c r="C47" s="124">
        <f>C46*39.3700787^2</f>
        <v>1.9587272610379571</v>
      </c>
      <c r="D47" s="15" t="s">
        <v>86</v>
      </c>
      <c r="E47" s="109" t="s">
        <v>293</v>
      </c>
      <c r="F47" s="157">
        <v>0.65</v>
      </c>
      <c r="G47" s="103" t="s">
        <v>116</v>
      </c>
      <c r="H47" s="216" t="s">
        <v>212</v>
      </c>
      <c r="I47" s="44">
        <v>0.57599999999999996</v>
      </c>
      <c r="J47" s="7" t="s">
        <v>161</v>
      </c>
      <c r="AC47" s="9"/>
      <c r="AD47" s="8"/>
      <c r="AE47" s="25"/>
      <c r="AG47">
        <v>18</v>
      </c>
      <c r="AH47">
        <v>9</v>
      </c>
      <c r="AJ47" s="15" t="s">
        <v>61</v>
      </c>
      <c r="AK47">
        <v>90</v>
      </c>
      <c r="AL47">
        <v>0</v>
      </c>
      <c r="AM47" s="15" t="s">
        <v>59</v>
      </c>
      <c r="AN47">
        <f>ABS(AN25)*AK25</f>
        <v>0</v>
      </c>
    </row>
    <row r="48" spans="2:40" ht="15" x14ac:dyDescent="0.15">
      <c r="B48" s="58" t="s">
        <v>44</v>
      </c>
      <c r="C48" s="82">
        <f>(SQRT(C46/PI()))*2</f>
        <v>4.0112133337190999E-2</v>
      </c>
      <c r="D48" s="15" t="s">
        <v>25</v>
      </c>
      <c r="E48" s="109" t="s">
        <v>294</v>
      </c>
      <c r="F48" s="157">
        <v>0.8</v>
      </c>
      <c r="G48" s="103" t="s">
        <v>116</v>
      </c>
      <c r="H48" s="217" t="s">
        <v>213</v>
      </c>
      <c r="I48" s="218">
        <f>0.000001371</f>
        <v>1.3710000000000001E-6</v>
      </c>
      <c r="J48" s="7" t="s">
        <v>162</v>
      </c>
      <c r="N48">
        <f>4220*0.85</f>
        <v>3587</v>
      </c>
      <c r="O48">
        <f>(4220*0.85)/0.85^-0.8</f>
        <v>3149.6806128531734</v>
      </c>
      <c r="P48">
        <f>4220*0.85*0.85^0.8</f>
        <v>3149.6806128531734</v>
      </c>
      <c r="Q48">
        <f>4220*0.85^1.8</f>
        <v>3149.6806128531734</v>
      </c>
      <c r="R48">
        <f>0.85^1.8</f>
        <v>0.74636981347231601</v>
      </c>
      <c r="S48">
        <f>0.85</f>
        <v>0.85</v>
      </c>
      <c r="AC48" s="9">
        <v>5750</v>
      </c>
      <c r="AD48" s="8">
        <f>$F$18*(EXP(AC48/$C$23)-1)</f>
        <v>4.8442286632266125</v>
      </c>
      <c r="AE48" s="25">
        <f>AD48-AD26</f>
        <v>0.26169462949809308</v>
      </c>
      <c r="AG48">
        <v>20</v>
      </c>
      <c r="AH48">
        <v>10</v>
      </c>
      <c r="AJ48" s="15"/>
      <c r="AM48" s="15"/>
    </row>
    <row r="49" spans="2:40" ht="15" x14ac:dyDescent="0.15">
      <c r="B49" s="174" t="s">
        <v>198</v>
      </c>
      <c r="C49" s="124">
        <f>C48*39.3700787</f>
        <v>1.5792178463101032</v>
      </c>
      <c r="D49" s="15" t="s">
        <v>84</v>
      </c>
      <c r="E49" s="138" t="s">
        <v>133</v>
      </c>
      <c r="F49" s="139"/>
      <c r="G49" s="106" t="s">
        <v>128</v>
      </c>
      <c r="H49" s="230" t="s">
        <v>249</v>
      </c>
      <c r="I49" s="231">
        <f>((0.0214*((F25*2.20462*4)^0.8)*((1/(I44))^0.8)*(((I47*I44)/(I48))^0.4)*(((I44)/(I45))^0.14))*(I39^-0.8)*(1/(J35/I48)))^(1/1.8)</f>
        <v>0.15538436020822599</v>
      </c>
      <c r="J49" s="7" t="s">
        <v>115</v>
      </c>
      <c r="K49" s="160"/>
      <c r="L49">
        <f>0.89*0.89</f>
        <v>0.79210000000000003</v>
      </c>
      <c r="N49">
        <f>115000*94.5^-0.8*0.85^-0.8</f>
        <v>3442.0506203943032</v>
      </c>
      <c r="O49">
        <f>115000*94.5^-0.8</f>
        <v>3022.4031523599597</v>
      </c>
      <c r="P49">
        <f>115000*94.5^-0.8</f>
        <v>3022.4031523599597</v>
      </c>
      <c r="Q49">
        <f>115000*94.5^-0.8</f>
        <v>3022.4031523599597</v>
      </c>
      <c r="R49">
        <f>115000*94.5^-0.8*(1/4220)</f>
        <v>0.71620927781041699</v>
      </c>
      <c r="S49" s="232">
        <f>(115000*94.5^-0.8*(1/4220))^(1/1.8)</f>
        <v>0.83074289336150009</v>
      </c>
      <c r="AC49" s="9"/>
      <c r="AD49" s="8"/>
      <c r="AE49" s="25"/>
      <c r="AJ49" s="15"/>
      <c r="AM49" s="15"/>
    </row>
    <row r="50" spans="2:40" ht="15" x14ac:dyDescent="0.15">
      <c r="B50" s="49" t="s">
        <v>103</v>
      </c>
      <c r="C50" s="89">
        <f>CONVERT(1/32,"in","m")</f>
        <v>7.9374999999999997E-4</v>
      </c>
      <c r="D50" s="15" t="s">
        <v>25</v>
      </c>
      <c r="E50" s="142" t="s">
        <v>138</v>
      </c>
      <c r="F50" s="152">
        <v>32</v>
      </c>
      <c r="G50" s="106" t="s">
        <v>128</v>
      </c>
      <c r="H50" s="233" t="s">
        <v>249</v>
      </c>
      <c r="I50" s="234">
        <f>CONVERT(I49,"in","mm")</f>
        <v>3.9467627492889403</v>
      </c>
      <c r="J50" s="7" t="s">
        <v>146</v>
      </c>
      <c r="K50">
        <f>I50*10</f>
        <v>39.467627492889406</v>
      </c>
      <c r="L50" s="102"/>
      <c r="O50" s="6"/>
      <c r="AC50" s="9"/>
      <c r="AD50" s="8"/>
      <c r="AE50" s="25"/>
      <c r="AJ50" s="15"/>
      <c r="AM50" s="15"/>
    </row>
    <row r="51" spans="2:40" ht="15" x14ac:dyDescent="0.15">
      <c r="B51" s="83" t="s">
        <v>103</v>
      </c>
      <c r="C51" s="120">
        <f>C50*39.3700787</f>
        <v>3.1249999968125001E-2</v>
      </c>
      <c r="D51" s="15" t="s">
        <v>84</v>
      </c>
      <c r="E51" s="138" t="s">
        <v>141</v>
      </c>
      <c r="F51" s="137"/>
      <c r="G51" s="106" t="s">
        <v>18</v>
      </c>
      <c r="H51" s="216" t="s">
        <v>245</v>
      </c>
      <c r="I51" s="228">
        <f>PI()*(I49/2)^2</f>
        <v>1.8962888403173027E-2</v>
      </c>
      <c r="J51" s="7" t="s">
        <v>187</v>
      </c>
      <c r="L51">
        <f>SQRT(0.8)</f>
        <v>0.89442719099991586</v>
      </c>
      <c r="O51">
        <f>3^2*2^2</f>
        <v>36</v>
      </c>
      <c r="R51" s="106"/>
      <c r="AC51" s="9"/>
      <c r="AD51" s="8"/>
      <c r="AE51" s="25"/>
      <c r="AJ51" s="15"/>
      <c r="AM51" s="15"/>
    </row>
    <row r="52" spans="2:40" ht="15" x14ac:dyDescent="0.15">
      <c r="B52" s="19" t="s">
        <v>33</v>
      </c>
      <c r="C52" s="82">
        <f>C28*C46</f>
        <v>9.1521226708902535E-3</v>
      </c>
      <c r="D52" s="17" t="s">
        <v>85</v>
      </c>
      <c r="E52" s="142" t="s">
        <v>142</v>
      </c>
      <c r="F52" s="153">
        <v>288</v>
      </c>
      <c r="G52" s="106" t="s">
        <v>18</v>
      </c>
      <c r="H52" s="220" t="s">
        <v>245</v>
      </c>
      <c r="I52" s="236">
        <f>I51*645.16</f>
        <v>12.234097082191109</v>
      </c>
      <c r="J52" s="7" t="s">
        <v>250</v>
      </c>
      <c r="K52" s="242">
        <f>I52*I39</f>
        <v>122.3409708219111</v>
      </c>
      <c r="L52">
        <f>SQRT(I52)</f>
        <v>3.4977274167938113</v>
      </c>
      <c r="O52">
        <f>(3*2)^2</f>
        <v>36</v>
      </c>
      <c r="AC52" s="9"/>
      <c r="AD52" s="8"/>
      <c r="AE52" s="25"/>
      <c r="AJ52" s="15"/>
      <c r="AM52" s="15"/>
    </row>
    <row r="53" spans="2:40" ht="16" x14ac:dyDescent="0.2">
      <c r="B53" s="84" t="s">
        <v>33</v>
      </c>
      <c r="C53" s="86">
        <f>C52*39.3700787^2</f>
        <v>14.185818482577847</v>
      </c>
      <c r="D53" s="15" t="s">
        <v>86</v>
      </c>
      <c r="E53" s="145" t="s">
        <v>134</v>
      </c>
      <c r="F53" s="148" t="e">
        <f>IF(ISBLANK(F35),F25/(F47*SQRT(2*(F39*6894.75729)*F27)),IF(F45=FALSE,F25/(F47*(F37*6894.75729)*SQRT(((2*F49*9.80665)/(F35*8314.4621*F51))*(F33/(F33-1)) * (((C12*6894.75729)/(F37*6894.75729))^(2/F33)- ((C12*6894.75729)/(F37*6894.75729))^((F33+1)/F33)))),F25/(F47*SQRT(F33*F27*F37*6894.75729*(2/(F33+1))^((F33+1)/(F33-1))))))</f>
        <v>#NUM!</v>
      </c>
      <c r="G53" s="101" t="s">
        <v>113</v>
      </c>
      <c r="H53" s="216" t="s">
        <v>156</v>
      </c>
      <c r="I53" s="44">
        <f>3.28084*I54</f>
        <v>12.000638906769675</v>
      </c>
      <c r="J53" s="7" t="s">
        <v>158</v>
      </c>
      <c r="K53" s="46"/>
      <c r="L53" s="106">
        <f>SQRT(1)</f>
        <v>1</v>
      </c>
      <c r="N53" s="232">
        <f>0.0214*(2106^0.8)*((1/(4.16*10^-5))^0.8)*(((0.5*4.16*10^-5)/(1.78*10^-6))^0.4)*(((4.16*10^-5)/(0.416*10^-5))^0.14)</f>
        <v>115070.27086605733</v>
      </c>
      <c r="AC53" s="9"/>
      <c r="AD53" s="8"/>
      <c r="AE53" s="25"/>
      <c r="AJ53" s="15"/>
      <c r="AM53" s="15"/>
    </row>
    <row r="54" spans="2:40" ht="16" x14ac:dyDescent="0.2">
      <c r="B54" s="58" t="s">
        <v>45</v>
      </c>
      <c r="C54" s="82">
        <f>(SQRT(C52/PI()))*2</f>
        <v>0.10794834182535953</v>
      </c>
      <c r="D54" s="15" t="s">
        <v>25</v>
      </c>
      <c r="E54" s="146" t="s">
        <v>134</v>
      </c>
      <c r="F54" s="150" t="e">
        <f>F53*39.3700787^2</f>
        <v>#NUM!</v>
      </c>
      <c r="G54" s="101" t="s">
        <v>125</v>
      </c>
      <c r="H54" s="241" t="s">
        <v>156</v>
      </c>
      <c r="I54" s="235">
        <f>F29/(I51*I39*0.00064516)</f>
        <v>3.6577946217339692</v>
      </c>
      <c r="J54" s="7" t="s">
        <v>13</v>
      </c>
      <c r="AC54" s="9"/>
      <c r="AD54" s="8"/>
      <c r="AE54" s="25"/>
      <c r="AJ54" s="15"/>
      <c r="AM54" s="15"/>
    </row>
    <row r="55" spans="2:40" ht="14" x14ac:dyDescent="0.15">
      <c r="B55" s="83" t="s">
        <v>45</v>
      </c>
      <c r="C55" s="86">
        <f>C54*39.3700787</f>
        <v>4.2499347131989067</v>
      </c>
      <c r="D55" s="15" t="s">
        <v>84</v>
      </c>
      <c r="E55" s="143" t="s">
        <v>135</v>
      </c>
      <c r="F55" s="149" t="e">
        <f>(SQRT(F53/PI()))*2</f>
        <v>#NUM!</v>
      </c>
      <c r="G55" s="101" t="s">
        <v>126</v>
      </c>
      <c r="H55" s="172" t="s">
        <v>176</v>
      </c>
      <c r="I55" s="211">
        <f>(F25*2.205)*I47*(I41-I40)</f>
        <v>191.51406132933843</v>
      </c>
      <c r="J55" s="7" t="s">
        <v>155</v>
      </c>
      <c r="K55" s="15"/>
      <c r="M55" s="121"/>
      <c r="N55">
        <f>2^2</f>
        <v>4</v>
      </c>
      <c r="AC55" s="9"/>
      <c r="AD55" s="8"/>
      <c r="AE55" s="25"/>
      <c r="AJ55" s="15"/>
      <c r="AM55" s="15"/>
    </row>
    <row r="56" spans="2:40" ht="14" x14ac:dyDescent="0.15">
      <c r="B56" s="14" t="s">
        <v>87</v>
      </c>
      <c r="C56" s="87">
        <v>15</v>
      </c>
      <c r="D56" s="17" t="s">
        <v>68</v>
      </c>
      <c r="E56" s="144" t="s">
        <v>135</v>
      </c>
      <c r="F56" s="151" t="e">
        <f>F55*39.3700787</f>
        <v>#NUM!</v>
      </c>
      <c r="G56" s="101" t="s">
        <v>127</v>
      </c>
      <c r="H56" s="201" t="s">
        <v>176</v>
      </c>
      <c r="I56" s="212">
        <f>1.05505585*I55</f>
        <v>202.05803076277729</v>
      </c>
      <c r="J56" s="106" t="s">
        <v>243</v>
      </c>
      <c r="K56" s="106">
        <f>(F25)*I46*(514-280)</f>
        <v>201.88834280724413</v>
      </c>
      <c r="M56">
        <f>L56+I38*I31</f>
        <v>21.226964401622485</v>
      </c>
      <c r="N56">
        <f>4^2/2^2</f>
        <v>4</v>
      </c>
      <c r="AC56" s="9"/>
      <c r="AD56" s="8"/>
      <c r="AE56" s="25"/>
      <c r="AJ56" s="15"/>
      <c r="AM56" s="15"/>
    </row>
    <row r="57" spans="2:40" ht="16" x14ac:dyDescent="0.2">
      <c r="B57" s="19" t="s">
        <v>34</v>
      </c>
      <c r="C57" s="18">
        <f>(C54/2-C48/2)/TAN(RADIANS(C56))</f>
        <v>0.12658408833534007</v>
      </c>
      <c r="D57" s="15" t="s">
        <v>25</v>
      </c>
      <c r="E57" s="145" t="s">
        <v>136</v>
      </c>
      <c r="F57" s="148" t="e">
        <f>IF(ISBLANK(F36),F26/(F48*SQRT(2*(F40*6894.75729)*F28)),IF(F46=FALSE,F26/(F48*(F38*6894.75729)*SQRT(((2*F50*9.80665)/(F36*8314.4621*F52))*(F34/(F34-1)) * (((C12*6894.75729)/(F38*6894.75729))^(2/F34)- ((C12*6894.75729)/(F38*6894.75729))^((F34+1)/F34)))),F26/(F48*SQRT(F34*F28*F38*6894.75729*(2/(F34+1))^((F34+1)/(F34-1))))))</f>
        <v>#NUM!</v>
      </c>
      <c r="G57" s="101" t="s">
        <v>113</v>
      </c>
      <c r="H57" s="169" t="s">
        <v>177</v>
      </c>
      <c r="I57" s="211">
        <f>I38*I31+(J38+K38)*((J31+K31)/2*0.75)</f>
        <v>51.636528211849566</v>
      </c>
      <c r="J57" s="7" t="s">
        <v>155</v>
      </c>
      <c r="K57" s="15"/>
      <c r="AC57" s="9"/>
      <c r="AD57" s="8"/>
      <c r="AE57" s="25"/>
      <c r="AJ57" s="15" t="s">
        <v>62</v>
      </c>
      <c r="AK57">
        <v>0</v>
      </c>
      <c r="AL57">
        <v>0</v>
      </c>
      <c r="AM57" s="15" t="s">
        <v>65</v>
      </c>
      <c r="AN57">
        <v>0</v>
      </c>
    </row>
    <row r="58" spans="2:40" ht="16" x14ac:dyDescent="0.2">
      <c r="B58" s="84" t="s">
        <v>34</v>
      </c>
      <c r="C58" s="85">
        <f>C57*39.3700787</f>
        <v>4.983625519930091</v>
      </c>
      <c r="D58" s="17" t="s">
        <v>84</v>
      </c>
      <c r="E58" s="146" t="s">
        <v>136</v>
      </c>
      <c r="F58" s="150" t="e">
        <f>F57*39.3700787^2</f>
        <v>#NUM!</v>
      </c>
      <c r="G58" s="101" t="s">
        <v>125</v>
      </c>
      <c r="H58" s="196" t="s">
        <v>177</v>
      </c>
      <c r="I58" s="212">
        <f>I37*I32+(J37+K37)*((J32+K32)/2*0.75)</f>
        <v>795.92224512512621</v>
      </c>
      <c r="J58" s="106" t="s">
        <v>243</v>
      </c>
      <c r="L58" s="6"/>
      <c r="O58">
        <f>4220^-0.8</f>
        <v>1.2582010382724757E-3</v>
      </c>
      <c r="P58">
        <f>115000^0.8</f>
        <v>11182.99864515863</v>
      </c>
      <c r="Q58">
        <f>P58/O58</f>
        <v>8888085.6913876124</v>
      </c>
      <c r="AC58" s="9">
        <v>6000</v>
      </c>
      <c r="AD58" s="8">
        <f>$F$18*(EXP(AC58/$C$23)-1)</f>
        <v>5.1113660818262154</v>
      </c>
      <c r="AE58" s="25">
        <f>AD58-AD48</f>
        <v>0.26713741859960294</v>
      </c>
      <c r="AJ58" s="15"/>
      <c r="AM58" s="15"/>
    </row>
    <row r="59" spans="2:40" ht="30" x14ac:dyDescent="0.2">
      <c r="B59" s="84" t="s">
        <v>100</v>
      </c>
      <c r="C59" s="85">
        <f>C57/COS(RADIANS(C56))</f>
        <v>0.13104949147250342</v>
      </c>
      <c r="D59" s="15" t="s">
        <v>25</v>
      </c>
      <c r="E59" s="143" t="s">
        <v>137</v>
      </c>
      <c r="F59" s="149" t="e">
        <f>(SQRT(F57/PI()))*2</f>
        <v>#NUM!</v>
      </c>
      <c r="G59" s="101" t="s">
        <v>126</v>
      </c>
      <c r="H59" s="206" t="s">
        <v>178</v>
      </c>
      <c r="I59" s="44">
        <f>I57/(F25*2.205*I47)</f>
        <v>113.5650590450886</v>
      </c>
      <c r="J59" s="7" t="s">
        <v>148</v>
      </c>
      <c r="L59" s="6"/>
      <c r="Q59">
        <f>O58/P58</f>
        <v>1.1251016638700739E-7</v>
      </c>
      <c r="AC59" s="9"/>
      <c r="AD59" s="8"/>
      <c r="AE59" s="25"/>
      <c r="AJ59" s="15"/>
      <c r="AM59" s="15"/>
    </row>
    <row r="60" spans="2:40" ht="30" x14ac:dyDescent="0.2">
      <c r="B60" s="19" t="s">
        <v>100</v>
      </c>
      <c r="C60" s="18">
        <f>C59*39.3700787</f>
        <v>5.1594287928674385</v>
      </c>
      <c r="D60" s="17" t="s">
        <v>84</v>
      </c>
      <c r="E60" s="144" t="s">
        <v>137</v>
      </c>
      <c r="F60" s="151" t="e">
        <f>F59*39.3700787</f>
        <v>#NUM!</v>
      </c>
      <c r="G60" s="101" t="s">
        <v>127</v>
      </c>
      <c r="H60" s="207" t="s">
        <v>178</v>
      </c>
      <c r="I60" s="208">
        <f>I59*(5/9)</f>
        <v>63.091699469493669</v>
      </c>
      <c r="J60" s="7" t="s">
        <v>190</v>
      </c>
      <c r="L60" s="6"/>
      <c r="AC60" s="9"/>
      <c r="AD60" s="8"/>
      <c r="AE60" s="25"/>
      <c r="AJ60" s="15"/>
      <c r="AM60" s="15"/>
    </row>
    <row r="61" spans="2:40" ht="16" x14ac:dyDescent="0.2">
      <c r="B61" s="49" t="s">
        <v>101</v>
      </c>
      <c r="C61" s="96">
        <f>0.0025</f>
        <v>2.5000000000000001E-3</v>
      </c>
      <c r="D61" s="102" t="s">
        <v>25</v>
      </c>
      <c r="E61" s="257"/>
      <c r="F61" s="115"/>
      <c r="G61" s="3"/>
      <c r="H61" s="195" t="s">
        <v>191</v>
      </c>
      <c r="I61" s="171">
        <f>I59+I40</f>
        <v>617.56505904508856</v>
      </c>
      <c r="J61" s="7" t="s">
        <v>148</v>
      </c>
      <c r="AC61" s="9"/>
      <c r="AD61" s="8"/>
      <c r="AE61" s="25"/>
      <c r="AJ61" s="15"/>
      <c r="AM61" s="15"/>
    </row>
    <row r="62" spans="2:40" ht="17" thickBot="1" x14ac:dyDescent="0.25">
      <c r="B62" s="83" t="s">
        <v>101</v>
      </c>
      <c r="C62" s="124">
        <f>C61*39.3700787</f>
        <v>9.8425196749999999E-2</v>
      </c>
      <c r="D62" s="106" t="s">
        <v>86</v>
      </c>
      <c r="E62" s="256"/>
      <c r="F62" s="117"/>
      <c r="G62" s="102"/>
      <c r="H62" s="209" t="s">
        <v>191</v>
      </c>
      <c r="I62" s="210">
        <f>I61*(5/9)</f>
        <v>343.09169946949368</v>
      </c>
      <c r="J62" s="7" t="s">
        <v>190</v>
      </c>
      <c r="AC62" s="9"/>
      <c r="AD62" s="8"/>
      <c r="AE62" s="25"/>
      <c r="AJ62" s="15"/>
      <c r="AM62" s="15"/>
    </row>
    <row r="63" spans="2:40" x14ac:dyDescent="0.15">
      <c r="B63" s="119"/>
      <c r="C63" s="260"/>
      <c r="E63" s="116"/>
      <c r="F63" s="117"/>
      <c r="G63" s="102"/>
      <c r="L63" s="6"/>
      <c r="AC63" s="9"/>
      <c r="AD63" s="8"/>
      <c r="AE63" s="25"/>
      <c r="AJ63" s="15"/>
      <c r="AM63" s="15"/>
    </row>
    <row r="64" spans="2:40" ht="14" thickBot="1" x14ac:dyDescent="0.2">
      <c r="B64" s="17"/>
      <c r="C64" s="22"/>
      <c r="D64" s="22"/>
      <c r="E64" s="102"/>
      <c r="F64" s="115"/>
      <c r="G64" s="102"/>
      <c r="X64" s="6"/>
      <c r="AC64" s="9"/>
      <c r="AD64" s="8"/>
      <c r="AE64" s="25"/>
      <c r="AJ64" s="15" t="s">
        <v>63</v>
      </c>
      <c r="AK64">
        <v>80</v>
      </c>
      <c r="AL64">
        <v>90</v>
      </c>
      <c r="AM64" s="15" t="s">
        <v>66</v>
      </c>
      <c r="AN64">
        <v>90</v>
      </c>
    </row>
    <row r="65" spans="2:39" ht="15" x14ac:dyDescent="0.2">
      <c r="B65" s="54" t="s">
        <v>16</v>
      </c>
      <c r="C65" s="70" t="s">
        <v>17</v>
      </c>
      <c r="D65" s="70" t="s">
        <v>52</v>
      </c>
      <c r="E65" s="55" t="s">
        <v>51</v>
      </c>
      <c r="AC65" s="9">
        <v>6250</v>
      </c>
      <c r="AD65" s="8">
        <f t="shared" ref="AD65:AD80" si="2">$F$18*(EXP(AC65/$C$23)-1)</f>
        <v>5.3840594899902481</v>
      </c>
      <c r="AE65" s="25">
        <f>AD65-AD58</f>
        <v>0.27269340816403265</v>
      </c>
      <c r="AJ65" s="6" t="s">
        <v>2</v>
      </c>
      <c r="AK65" s="6" t="s">
        <v>60</v>
      </c>
      <c r="AL65" s="6" t="s">
        <v>60</v>
      </c>
      <c r="AM65" s="6" t="s">
        <v>64</v>
      </c>
    </row>
    <row r="66" spans="2:39" ht="14" thickBot="1" x14ac:dyDescent="0.2">
      <c r="B66" s="56" t="str">
        <f ca="1">INDIRECT(IU9)</f>
        <v>m/sec</v>
      </c>
      <c r="C66" s="71">
        <f ca="1">INDIRECT(IV9)/1000</f>
        <v>0</v>
      </c>
      <c r="D66" s="71">
        <f>SUM(I95:I100)</f>
        <v>10000.000891506328</v>
      </c>
      <c r="E66" s="57">
        <f ca="1">AVERAGE(H95:INDIRECT(IU10))</f>
        <v>1238.432997125597</v>
      </c>
      <c r="J66" s="15"/>
      <c r="AC66" s="9">
        <v>6500</v>
      </c>
      <c r="AD66" s="8">
        <f t="shared" si="2"/>
        <v>5.6624244425526324</v>
      </c>
      <c r="AE66" s="25">
        <f t="shared" ref="AE66:AE80" si="3">AD66-AD65</f>
        <v>0.27836495256238436</v>
      </c>
      <c r="AJ66">
        <v>0</v>
      </c>
      <c r="AK66" t="e">
        <f t="shared" ref="AK66:AK76" si="4">$AK$47-(($AK$47-$AK$57)/$AK$25*AJ66)</f>
        <v>#DIV/0!</v>
      </c>
      <c r="AL66">
        <v>0</v>
      </c>
      <c r="AM66">
        <f t="shared" ref="AM66:AM76" si="5">($AN$25*AJ66^2)+($AN$47*AJ66)+($AN$57)</f>
        <v>0</v>
      </c>
    </row>
    <row r="67" spans="2:39" x14ac:dyDescent="0.15">
      <c r="B67" s="17"/>
      <c r="C67" s="23"/>
      <c r="D67" s="22" t="s">
        <v>83</v>
      </c>
      <c r="E67" s="15"/>
      <c r="J67" s="15"/>
      <c r="AC67" s="9">
        <v>6750</v>
      </c>
      <c r="AD67" s="8">
        <f t="shared" si="2"/>
        <v>5.94657889768507</v>
      </c>
      <c r="AE67" s="25">
        <f t="shared" si="3"/>
        <v>0.28415445513243753</v>
      </c>
      <c r="AJ67">
        <v>1</v>
      </c>
      <c r="AK67" t="e">
        <f t="shared" si="4"/>
        <v>#DIV/0!</v>
      </c>
      <c r="AL67">
        <v>18</v>
      </c>
      <c r="AM67">
        <f t="shared" si="5"/>
        <v>-3.6</v>
      </c>
    </row>
    <row r="68" spans="2:39" x14ac:dyDescent="0.15">
      <c r="B68" s="17"/>
      <c r="C68" s="23"/>
      <c r="D68" s="22"/>
      <c r="E68" s="22"/>
      <c r="J68" s="15"/>
      <c r="AC68" s="9">
        <v>7000</v>
      </c>
      <c r="AD68" s="8">
        <f t="shared" si="2"/>
        <v>6.2366432668822593</v>
      </c>
      <c r="AE68" s="25">
        <f t="shared" si="3"/>
        <v>0.29006436919718936</v>
      </c>
      <c r="AJ68">
        <v>2</v>
      </c>
      <c r="AK68" t="e">
        <f t="shared" si="4"/>
        <v>#DIV/0!</v>
      </c>
      <c r="AL68">
        <v>36</v>
      </c>
      <c r="AM68">
        <f t="shared" si="5"/>
        <v>-14.4</v>
      </c>
    </row>
    <row r="69" spans="2:39" x14ac:dyDescent="0.15">
      <c r="B69" s="17"/>
      <c r="C69" s="23"/>
      <c r="D69" s="22"/>
      <c r="E69" s="22"/>
      <c r="AC69" s="9">
        <v>7250</v>
      </c>
      <c r="AD69" s="8">
        <f t="shared" si="2"/>
        <v>6.5327404659866968</v>
      </c>
      <c r="AE69" s="25">
        <f t="shared" si="3"/>
        <v>0.29609719910443744</v>
      </c>
      <c r="AJ69">
        <v>3</v>
      </c>
      <c r="AK69" t="e">
        <f t="shared" si="4"/>
        <v>#DIV/0!</v>
      </c>
      <c r="AL69">
        <v>54</v>
      </c>
      <c r="AM69">
        <f t="shared" si="5"/>
        <v>-32.4</v>
      </c>
    </row>
    <row r="70" spans="2:39" x14ac:dyDescent="0.15">
      <c r="B70" s="17"/>
      <c r="C70" s="23"/>
      <c r="D70" s="22"/>
      <c r="E70" s="22"/>
      <c r="I70" s="123"/>
      <c r="AC70" s="9">
        <v>7500</v>
      </c>
      <c r="AD70" s="8">
        <f t="shared" si="2"/>
        <v>6.8349959672747271</v>
      </c>
      <c r="AE70" s="25">
        <f t="shared" si="3"/>
        <v>0.30225550128803036</v>
      </c>
      <c r="AJ70">
        <v>4</v>
      </c>
      <c r="AK70" t="e">
        <f t="shared" si="4"/>
        <v>#DIV/0!</v>
      </c>
      <c r="AL70">
        <v>72</v>
      </c>
      <c r="AM70">
        <f t="shared" si="5"/>
        <v>-57.6</v>
      </c>
    </row>
    <row r="71" spans="2:39" x14ac:dyDescent="0.15">
      <c r="B71" s="17"/>
      <c r="C71" s="23"/>
      <c r="D71" s="22"/>
      <c r="E71" s="22"/>
      <c r="I71" s="123"/>
      <c r="AC71" s="9">
        <v>7750</v>
      </c>
      <c r="AD71" s="8">
        <f t="shared" si="2"/>
        <v>7.1435378526258813</v>
      </c>
      <c r="AE71" s="25">
        <f t="shared" si="3"/>
        <v>0.30854188535115412</v>
      </c>
      <c r="AJ71">
        <v>5</v>
      </c>
      <c r="AK71" t="e">
        <f t="shared" si="4"/>
        <v>#DIV/0!</v>
      </c>
      <c r="AL71">
        <v>90</v>
      </c>
      <c r="AM71">
        <f t="shared" si="5"/>
        <v>-90</v>
      </c>
    </row>
    <row r="72" spans="2:39" x14ac:dyDescent="0.15">
      <c r="B72" s="17"/>
      <c r="C72" s="23"/>
      <c r="D72" s="22"/>
      <c r="E72" s="97"/>
      <c r="I72" s="123"/>
      <c r="K72" s="126"/>
      <c r="AC72" s="9">
        <v>8000</v>
      </c>
      <c r="AD72" s="8">
        <f t="shared" si="2"/>
        <v>7.4584968677980381</v>
      </c>
      <c r="AE72" s="25">
        <f t="shared" si="3"/>
        <v>0.31495901517215685</v>
      </c>
      <c r="AJ72">
        <v>6</v>
      </c>
      <c r="AK72" t="e">
        <f t="shared" si="4"/>
        <v>#DIV/0!</v>
      </c>
      <c r="AL72">
        <v>72</v>
      </c>
      <c r="AM72">
        <f t="shared" si="5"/>
        <v>-129.6</v>
      </c>
    </row>
    <row r="73" spans="2:39" x14ac:dyDescent="0.15">
      <c r="B73" s="17"/>
      <c r="C73" s="23"/>
      <c r="D73" s="22"/>
      <c r="E73" s="97"/>
      <c r="I73" s="123"/>
      <c r="AC73" s="9">
        <v>8250</v>
      </c>
      <c r="AD73" s="8">
        <f t="shared" si="2"/>
        <v>7.7800064778314209</v>
      </c>
      <c r="AE73" s="25">
        <f t="shared" si="3"/>
        <v>0.32150961003338274</v>
      </c>
      <c r="AJ73">
        <v>7</v>
      </c>
      <c r="AK73" t="e">
        <f t="shared" si="4"/>
        <v>#DIV/0!</v>
      </c>
      <c r="AL73">
        <v>54</v>
      </c>
      <c r="AM73">
        <f t="shared" si="5"/>
        <v>-176.4</v>
      </c>
    </row>
    <row r="74" spans="2:39" x14ac:dyDescent="0.15">
      <c r="B74" s="17"/>
      <c r="C74" s="23"/>
      <c r="D74" s="22"/>
      <c r="E74" s="22"/>
      <c r="AC74" s="9">
        <v>8500</v>
      </c>
      <c r="AD74" s="8">
        <f t="shared" si="2"/>
        <v>8.1082029236049067</v>
      </c>
      <c r="AE74" s="25">
        <f t="shared" si="3"/>
        <v>0.32819644577348583</v>
      </c>
      <c r="AJ74">
        <v>8</v>
      </c>
      <c r="AK74" t="e">
        <f t="shared" si="4"/>
        <v>#DIV/0!</v>
      </c>
      <c r="AL74">
        <v>36</v>
      </c>
      <c r="AM74">
        <f t="shared" si="5"/>
        <v>-230.4</v>
      </c>
    </row>
    <row r="75" spans="2:39" x14ac:dyDescent="0.15">
      <c r="B75" s="17"/>
      <c r="C75" s="23"/>
      <c r="D75" s="22"/>
      <c r="E75" s="22"/>
      <c r="AC75" s="9">
        <v>8750</v>
      </c>
      <c r="AD75" s="8">
        <f t="shared" si="2"/>
        <v>8.4432252795685834</v>
      </c>
      <c r="AE75" s="25">
        <f t="shared" si="3"/>
        <v>0.33502235596367669</v>
      </c>
      <c r="AJ75">
        <v>9</v>
      </c>
      <c r="AK75" t="e">
        <f t="shared" si="4"/>
        <v>#DIV/0!</v>
      </c>
      <c r="AL75">
        <v>18</v>
      </c>
      <c r="AM75">
        <f t="shared" si="5"/>
        <v>-291.60000000000002</v>
      </c>
    </row>
    <row r="76" spans="2:39" x14ac:dyDescent="0.15">
      <c r="B76" s="17"/>
      <c r="C76" s="23"/>
      <c r="D76" s="22"/>
      <c r="E76" s="22"/>
      <c r="AC76" s="9">
        <v>9000</v>
      </c>
      <c r="AD76" s="8">
        <f t="shared" si="2"/>
        <v>8.7852155126770768</v>
      </c>
      <c r="AE76" s="25">
        <f t="shared" si="3"/>
        <v>0.34199023310849341</v>
      </c>
      <c r="AJ76">
        <v>10</v>
      </c>
      <c r="AK76" t="e">
        <f t="shared" si="4"/>
        <v>#DIV/0!</v>
      </c>
      <c r="AL76">
        <v>0</v>
      </c>
      <c r="AM76">
        <f t="shared" si="5"/>
        <v>-360</v>
      </c>
    </row>
    <row r="77" spans="2:39" x14ac:dyDescent="0.15">
      <c r="B77" s="17"/>
      <c r="C77" s="23"/>
      <c r="D77" s="22"/>
      <c r="E77" s="22"/>
      <c r="J77" s="15"/>
      <c r="AC77" s="9">
        <v>9250</v>
      </c>
      <c r="AD77" s="8">
        <f t="shared" si="2"/>
        <v>9.1343185425485593</v>
      </c>
      <c r="AE77" s="25">
        <f t="shared" si="3"/>
        <v>0.34910302987148256</v>
      </c>
    </row>
    <row r="78" spans="2:39" x14ac:dyDescent="0.15">
      <c r="B78" s="17"/>
      <c r="C78" s="23"/>
      <c r="D78" s="22"/>
      <c r="E78" s="22"/>
      <c r="AC78" s="9">
        <v>9500</v>
      </c>
      <c r="AD78" s="8">
        <f t="shared" si="2"/>
        <v>9.4906823028749692</v>
      </c>
      <c r="AE78" s="25">
        <f t="shared" si="3"/>
        <v>0.35636376032640982</v>
      </c>
    </row>
    <row r="79" spans="2:39" x14ac:dyDescent="0.15">
      <c r="B79" s="17"/>
      <c r="C79" s="23"/>
      <c r="D79" s="22"/>
      <c r="E79" s="22"/>
      <c r="AC79" s="9">
        <v>9750</v>
      </c>
      <c r="AD79" s="8">
        <f t="shared" si="2"/>
        <v>9.8544578041094653</v>
      </c>
      <c r="AE79" s="25">
        <f t="shared" si="3"/>
        <v>0.36377550123449609</v>
      </c>
    </row>
    <row r="80" spans="2:39" ht="14" thickBot="1" x14ac:dyDescent="0.2">
      <c r="B80" s="17"/>
      <c r="C80" s="23"/>
      <c r="D80" s="22"/>
      <c r="E80" s="22"/>
      <c r="AC80" s="10">
        <v>10000</v>
      </c>
      <c r="AD80" s="11">
        <f t="shared" si="2"/>
        <v>10.225799197457654</v>
      </c>
      <c r="AE80" s="75">
        <f t="shared" si="3"/>
        <v>0.37134139334818883</v>
      </c>
    </row>
    <row r="81" spans="2:21" x14ac:dyDescent="0.15">
      <c r="B81" s="17"/>
      <c r="C81" s="23"/>
      <c r="D81" s="22"/>
      <c r="E81" s="22"/>
      <c r="J81" s="15"/>
    </row>
    <row r="82" spans="2:21" x14ac:dyDescent="0.15">
      <c r="B82" s="17"/>
      <c r="C82" s="23"/>
      <c r="D82" s="22"/>
      <c r="E82" s="22"/>
      <c r="G82">
        <v>1.6579999999999999</v>
      </c>
    </row>
    <row r="83" spans="2:21" x14ac:dyDescent="0.15">
      <c r="B83" s="17"/>
      <c r="C83" s="23"/>
      <c r="D83" s="22"/>
      <c r="E83" s="22"/>
      <c r="G83" s="261">
        <f>0.2</f>
        <v>0.2</v>
      </c>
    </row>
    <row r="84" spans="2:21" x14ac:dyDescent="0.15">
      <c r="B84" s="17"/>
      <c r="C84" s="23"/>
      <c r="D84" s="22"/>
      <c r="E84" s="22"/>
      <c r="G84" s="6">
        <f>G82-G83</f>
        <v>1.458</v>
      </c>
    </row>
    <row r="85" spans="2:21" x14ac:dyDescent="0.15">
      <c r="B85" s="17"/>
      <c r="C85" s="23"/>
      <c r="D85" s="22"/>
      <c r="E85" s="22"/>
    </row>
    <row r="86" spans="2:21" x14ac:dyDescent="0.15">
      <c r="B86" s="17"/>
      <c r="C86" s="23"/>
      <c r="D86" s="22"/>
      <c r="E86" s="22"/>
    </row>
    <row r="87" spans="2:21" x14ac:dyDescent="0.15">
      <c r="B87" s="17"/>
      <c r="C87" s="23"/>
      <c r="D87" s="22"/>
      <c r="E87" s="22"/>
    </row>
    <row r="88" spans="2:21" x14ac:dyDescent="0.15">
      <c r="B88" s="17"/>
      <c r="C88" s="23"/>
      <c r="D88" s="22"/>
      <c r="E88" s="22"/>
    </row>
    <row r="89" spans="2:21" x14ac:dyDescent="0.15">
      <c r="B89" s="17"/>
      <c r="C89" s="23"/>
      <c r="D89" s="22"/>
      <c r="E89" s="22"/>
    </row>
    <row r="90" spans="2:21" x14ac:dyDescent="0.15">
      <c r="B90" s="17"/>
      <c r="C90" s="23"/>
      <c r="D90" s="22"/>
      <c r="E90" s="22"/>
    </row>
    <row r="91" spans="2:21" x14ac:dyDescent="0.15">
      <c r="B91" s="17"/>
      <c r="C91" s="23"/>
      <c r="D91" s="22"/>
      <c r="E91" s="22"/>
    </row>
    <row r="92" spans="2:21" x14ac:dyDescent="0.15">
      <c r="B92" s="17"/>
      <c r="C92" s="23"/>
      <c r="D92" s="22"/>
      <c r="E92" s="22"/>
    </row>
    <row r="93" spans="2:21" ht="17" thickBot="1" x14ac:dyDescent="0.25">
      <c r="B93" s="17"/>
      <c r="C93" s="23"/>
      <c r="D93" s="22"/>
      <c r="E93" s="22"/>
      <c r="K93" s="42"/>
      <c r="L93" s="5"/>
      <c r="M93" s="5"/>
    </row>
    <row r="94" spans="2:21" ht="16" thickBot="1" x14ac:dyDescent="0.2">
      <c r="B94" s="32" t="s">
        <v>9</v>
      </c>
      <c r="C94" s="33" t="s">
        <v>6</v>
      </c>
      <c r="D94" s="33" t="s">
        <v>8</v>
      </c>
      <c r="E94" s="34" t="s">
        <v>7</v>
      </c>
      <c r="F94" s="34" t="s">
        <v>50</v>
      </c>
      <c r="G94" s="34" t="s">
        <v>49</v>
      </c>
      <c r="H94" s="34" t="s">
        <v>0</v>
      </c>
      <c r="I94" s="34" t="s">
        <v>48</v>
      </c>
      <c r="J94" s="34" t="s">
        <v>77</v>
      </c>
      <c r="K94" s="35" t="s">
        <v>76</v>
      </c>
      <c r="L94" s="35" t="s">
        <v>78</v>
      </c>
      <c r="M94" s="35" t="s">
        <v>79</v>
      </c>
      <c r="N94" s="35" t="s">
        <v>80</v>
      </c>
      <c r="O94" s="35" t="s">
        <v>81</v>
      </c>
      <c r="P94" s="35" t="s">
        <v>82</v>
      </c>
      <c r="Q94" s="35" t="s">
        <v>12</v>
      </c>
      <c r="R94" s="35" t="s">
        <v>72</v>
      </c>
      <c r="S94" s="36" t="s">
        <v>73</v>
      </c>
      <c r="T94" s="35" t="s">
        <v>74</v>
      </c>
      <c r="U94" s="36" t="s">
        <v>75</v>
      </c>
    </row>
    <row r="95" spans="2:21" x14ac:dyDescent="0.15">
      <c r="B95" s="27">
        <v>0</v>
      </c>
      <c r="C95" s="37">
        <v>0</v>
      </c>
      <c r="D95" s="28">
        <f>$F$17</f>
        <v>8.0006587443895949</v>
      </c>
      <c r="E95" s="28">
        <f>F15</f>
        <v>6.5874438959490078E-4</v>
      </c>
      <c r="F95" s="66">
        <f t="shared" ref="F95:F100" si="6">IF(N95&gt;70000,0,(2*10^-34)*N95^6+(5*10^-22)*N95^4+(-2*10^-16)*N95^3+(4*10^-11)*N95^2+(-3*10^-6)*N95+0.0791)</f>
        <v>7.9100000000000004E-2</v>
      </c>
      <c r="G95" s="28">
        <f>$C$23+($C$15-F95)*($C$48*$F$21)</f>
        <v>12144.816680957121</v>
      </c>
      <c r="H95" s="28">
        <f t="shared" ref="H95:H100" si="7">I95/($F$21*9.8066)</f>
        <v>1238.432997125597</v>
      </c>
      <c r="I95" s="28">
        <f t="shared" ref="I95:I100" si="8">IF(E95&gt;0,$F$21*$C$23+($C$15-F95)*$C$48,0)</f>
        <v>10000.000891506328</v>
      </c>
      <c r="J95" s="28">
        <f t="shared" ref="J95:J100" si="9">($R$10*B95^2)+($R$11*B95)+$R$8</f>
        <v>0</v>
      </c>
      <c r="K95" s="29">
        <f>$F$8</f>
        <v>0</v>
      </c>
      <c r="L95" s="29">
        <f>K95</f>
        <v>0</v>
      </c>
      <c r="M95" s="29">
        <v>0</v>
      </c>
      <c r="N95" s="29">
        <f>$F$10</f>
        <v>0</v>
      </c>
      <c r="O95" s="29">
        <v>0</v>
      </c>
      <c r="P95" s="29">
        <f>N95</f>
        <v>0</v>
      </c>
      <c r="Q95" s="39">
        <f>9.8066*(6378.388/(6378.388+N95/1000))^2</f>
        <v>9.8065999999999995</v>
      </c>
      <c r="R95" s="30"/>
      <c r="S95" s="31"/>
      <c r="T95" s="30"/>
      <c r="U95" s="31"/>
    </row>
    <row r="96" spans="2:21" x14ac:dyDescent="0.15">
      <c r="B96" s="9">
        <f>B95+1</f>
        <v>1</v>
      </c>
      <c r="C96" s="38">
        <f>IF(E96&lt;&gt;0,$F$21/D95,0)</f>
        <v>0</v>
      </c>
      <c r="D96" s="24">
        <f>IF(E96&gt;0,D95-$F$21,$F$18)</f>
        <v>8</v>
      </c>
      <c r="E96" s="24">
        <f>IF(E95-$F$21&gt;0, $F$15-($F$21*(B96-1)), 0)</f>
        <v>0</v>
      </c>
      <c r="F96" s="67">
        <f t="shared" si="6"/>
        <v>7.9100000000000004E-2</v>
      </c>
      <c r="G96" s="68">
        <f>IF(E96&gt;0,$C$23+($C$15-F96)*($C$48*$F$21),0)</f>
        <v>0</v>
      </c>
      <c r="H96" s="68">
        <f t="shared" si="7"/>
        <v>0</v>
      </c>
      <c r="I96" s="68">
        <f t="shared" si="8"/>
        <v>0</v>
      </c>
      <c r="J96" s="68">
        <f t="shared" si="9"/>
        <v>90</v>
      </c>
      <c r="K96" s="8">
        <f>IF(C96=0,K95+R95,IF((((-G95)*LN(1-C96)-(Q96*(B96-B95)) - 0 +K95)*(1-$C$22))&gt;0,(((-G95)*LN(1-C96)-(Q96*(B96-B95)) - 0 +K95)*(1-$C$22)),0))</f>
        <v>0</v>
      </c>
      <c r="L96" s="8">
        <f>IF(C96=0,L95+R95,IF((((-G95)*LN(1-C96)*COS(RADIANS(J96)) - 0 +L95)*(1-$C$22))&gt;0,(((-G95)*LN(1-C96)*COS(RADIANS(J96)) - 0 +L95)*(1-$C$22)),0))</f>
        <v>0</v>
      </c>
      <c r="M96" s="8">
        <f>IF(C96=0,M95+R95,IF((((-G95)*LN(1-C96)*SIN(RADIANS(J96))-(Q96*(B96-B95)) - 0 +M95)*(1-$C$22))&gt;0,(((-G95)*LN(1-C96)*SIN(RADIANS(J96))-(Q96*(B96-B95)) - 0 +M95)*(1-$C$22)),0))</f>
        <v>0</v>
      </c>
      <c r="N96" s="8">
        <f t="shared" ref="N96:P100" si="10">IF(K96+N95&gt;0,K96+N95,0)</f>
        <v>0</v>
      </c>
      <c r="O96" s="8">
        <f t="shared" si="10"/>
        <v>0</v>
      </c>
      <c r="P96" s="8">
        <f t="shared" si="10"/>
        <v>0</v>
      </c>
      <c r="Q96" s="41">
        <f>9.8066*(6378.388/(6378.388+(N95+K95)/1000))^2</f>
        <v>9.8065999999999995</v>
      </c>
      <c r="R96" s="43">
        <f>IF(E96&gt;0,K96-K95,-Q96)</f>
        <v>-9.8065999999999995</v>
      </c>
      <c r="S96" s="72">
        <f>R96/9.81</f>
        <v>-0.9996534148827726</v>
      </c>
      <c r="T96" s="43">
        <f>Q96*((I96*(SIN(RADIANS(J96))/D96))-1)</f>
        <v>-9.8065999999999995</v>
      </c>
      <c r="U96" s="72">
        <f>Q96*(I96*(COS(RADIANS(J96))/D96))</f>
        <v>0</v>
      </c>
    </row>
    <row r="97" spans="2:21" x14ac:dyDescent="0.15">
      <c r="B97" s="9">
        <f>B96+1</f>
        <v>2</v>
      </c>
      <c r="C97" s="38">
        <f>IF(E97&lt;&gt;0,$F$21/D96,0)</f>
        <v>0</v>
      </c>
      <c r="D97" s="24">
        <f>IF(E97&gt;0,D96-$F$21,$F$18)</f>
        <v>8</v>
      </c>
      <c r="E97" s="24">
        <f>IF(E96-$F$21&gt;0, $F$15-($F$21*(B97-1)), 0)</f>
        <v>0</v>
      </c>
      <c r="F97" s="67">
        <f t="shared" si="6"/>
        <v>7.9100000000000004E-2</v>
      </c>
      <c r="G97" s="68">
        <f>IF(E97&gt;0,$C$23+($C$15-F97)*($C$48*$F$21),0)</f>
        <v>0</v>
      </c>
      <c r="H97" s="68">
        <f t="shared" si="7"/>
        <v>0</v>
      </c>
      <c r="I97" s="68">
        <f t="shared" si="8"/>
        <v>0</v>
      </c>
      <c r="J97" s="68">
        <f t="shared" si="9"/>
        <v>0</v>
      </c>
      <c r="K97" s="8">
        <f>IF(C97=0,K96+R96,IF((((-G96)*LN(1-C97)-(Q97*(B97-B96)) - 0 +K96)*(1-$C$22))&gt;0,(((-G96)*LN(1-C97)-(Q97*(B97-B96)) - 0 +K96)*(1-$C$22)),0))</f>
        <v>-9.8065999999999995</v>
      </c>
      <c r="L97" s="8">
        <f>IF(C97=0,L96+R96,IF((((-G96)*LN(1-C97)*COS(RADIANS(J97)) - 0 +L96)*(1-$C$22))&gt;0,(((-G96)*LN(1-C97)*COS(RADIANS(J97)) - 0 +L96)*(1-$C$22)),0))</f>
        <v>-9.8065999999999995</v>
      </c>
      <c r="M97" s="8">
        <f>IF(C97=0,M96+R96,IF((((-G96)*LN(1-C97)*SIN(RADIANS(J97))-(Q97*(B97-B96)) - 0 +M96)*(1-$C$22))&gt;0,(((-G96)*LN(1-C97)*SIN(RADIANS(J97))-(Q97*(B97-B96)) - 0 +M96)*(1-$C$22)),0))</f>
        <v>-9.8065999999999995</v>
      </c>
      <c r="N97" s="8">
        <f t="shared" si="10"/>
        <v>0</v>
      </c>
      <c r="O97" s="8">
        <f t="shared" si="10"/>
        <v>0</v>
      </c>
      <c r="P97" s="8">
        <f t="shared" si="10"/>
        <v>0</v>
      </c>
      <c r="Q97" s="41">
        <f>9.8066*(6378.388/(6378.388+(N96+K96)/1000))^2</f>
        <v>9.8065999999999995</v>
      </c>
      <c r="R97" s="43">
        <f>IF(E97&gt;0,K97-K96,-Q97)</f>
        <v>-9.8065999999999995</v>
      </c>
      <c r="S97" s="72">
        <f>R97/9.81</f>
        <v>-0.9996534148827726</v>
      </c>
      <c r="T97" s="43">
        <f>Q97*((I97*(SIN(RADIANS(J97))/D97))-1)</f>
        <v>-9.8065999999999995</v>
      </c>
      <c r="U97" s="72"/>
    </row>
    <row r="98" spans="2:21" x14ac:dyDescent="0.15">
      <c r="B98" s="9">
        <f>B97+1</f>
        <v>3</v>
      </c>
      <c r="C98" s="38">
        <f>IF(E98&lt;&gt;0,$F$21/D97,0)</f>
        <v>0</v>
      </c>
      <c r="D98" s="24">
        <f>IF(E98&gt;0,D97-$F$21,$F$18)</f>
        <v>8</v>
      </c>
      <c r="E98" s="24">
        <f>IF(E97-$F$21&gt;0, $F$15-($F$21*(B98-1)), 0)</f>
        <v>0</v>
      </c>
      <c r="F98" s="67">
        <f t="shared" si="6"/>
        <v>7.9100000000000004E-2</v>
      </c>
      <c r="G98" s="68">
        <f>IF(E98&gt;0,$C$23+($C$15-F98)*($C$48*$F$21),0)</f>
        <v>0</v>
      </c>
      <c r="H98" s="68">
        <f t="shared" si="7"/>
        <v>0</v>
      </c>
      <c r="I98" s="68">
        <f t="shared" si="8"/>
        <v>0</v>
      </c>
      <c r="J98" s="68">
        <f t="shared" si="9"/>
        <v>-270</v>
      </c>
      <c r="K98" s="8">
        <f>IF(C98=0,K97+R97,IF((((-G97)*LN(1-C98)-(Q98*(B98-B97)) - 0 +K97)*(1-$C$22))&gt;0,(((-G97)*LN(1-C98)-(Q98*(B98-B97)) - 0 +K97)*(1-$C$22)),0))</f>
        <v>-19.613199999999999</v>
      </c>
      <c r="L98" s="8">
        <f>IF(C98=0,L97+R97,IF((((-G97)*LN(1-C98)*COS(RADIANS(J98)) - 0 +L97)*(1-$C$22))&gt;0,(((-G97)*LN(1-C98)*COS(RADIANS(J98)) - 0 +L97)*(1-$C$22)),0))</f>
        <v>-19.613199999999999</v>
      </c>
      <c r="M98" s="8">
        <f>IF(C98=0,M97+R97,IF((((-G97)*LN(1-C98)*SIN(RADIANS(J98))-(Q98*(B98-B97)) - 0 +M97)*(1-$C$22))&gt;0,(((-G97)*LN(1-C98)*SIN(RADIANS(J98))-(Q98*(B98-B97)) - 0 +M97)*(1-$C$22)),0))</f>
        <v>-19.613199999999999</v>
      </c>
      <c r="N98" s="8">
        <f t="shared" si="10"/>
        <v>0</v>
      </c>
      <c r="O98" s="8">
        <f t="shared" si="10"/>
        <v>0</v>
      </c>
      <c r="P98" s="8">
        <f t="shared" si="10"/>
        <v>0</v>
      </c>
      <c r="Q98" s="41">
        <f>9.8066*(6378.388/(6378.388+(N97+K97)/1000))^2</f>
        <v>9.8066301548370358</v>
      </c>
      <c r="R98" s="43">
        <f>IF(E98&gt;0,K98-K97,-Q98)</f>
        <v>-9.8066301548370358</v>
      </c>
      <c r="S98" s="72">
        <f>R98/9.81</f>
        <v>-0.99965648877033997</v>
      </c>
      <c r="T98" s="43">
        <f>Q98*((I98*(SIN(RADIANS(J98))/D98))-1)</f>
        <v>-9.8066301548370358</v>
      </c>
      <c r="U98" s="72"/>
    </row>
    <row r="99" spans="2:21" x14ac:dyDescent="0.15">
      <c r="B99" s="9">
        <f>B98+1</f>
        <v>4</v>
      </c>
      <c r="C99" s="38">
        <f>IF(E99&lt;&gt;0,$F$21/D98,0)</f>
        <v>0</v>
      </c>
      <c r="D99" s="24">
        <f>IF(E99&gt;0,D98-$F$21,$F$18)</f>
        <v>8</v>
      </c>
      <c r="E99" s="24">
        <f>IF(E98-$F$21&gt;0, $F$15-($F$21*(B99-1)), 0)</f>
        <v>0</v>
      </c>
      <c r="F99" s="67">
        <f t="shared" si="6"/>
        <v>7.9100000000000004E-2</v>
      </c>
      <c r="G99" s="68">
        <f>IF(E99&gt;0,$C$23+($C$15-F99)*($C$48*$F$21),0)</f>
        <v>0</v>
      </c>
      <c r="H99" s="68">
        <f t="shared" si="7"/>
        <v>0</v>
      </c>
      <c r="I99" s="68">
        <f t="shared" si="8"/>
        <v>0</v>
      </c>
      <c r="J99" s="68">
        <f t="shared" si="9"/>
        <v>-720</v>
      </c>
      <c r="K99" s="8">
        <f>IF(C99=0,K98+R98,IF((((-G98)*LN(1-C99)-(Q99*(B99-B98)) - 0 +K98)*(1-$C$22))&gt;0,(((-G98)*LN(1-C99)-(Q99*(B99-B98)) - 0 +K98)*(1-$C$22)),0))</f>
        <v>-29.419830154837037</v>
      </c>
      <c r="L99" s="8">
        <f>IF(C99=0,L98+R98,IF((((-G98)*LN(1-C99)*COS(RADIANS(J99)) - 0 +L98)*(1-$C$22))&gt;0,(((-G98)*LN(1-C99)*COS(RADIANS(J99)) - 0 +L98)*(1-$C$22)),0))</f>
        <v>-29.419830154837037</v>
      </c>
      <c r="M99" s="8">
        <f>IF(C99=0,M98+R98,IF((((-G98)*LN(1-C99)*SIN(RADIANS(J99))-(Q99*(B99-B98)) - 0 +M98)*(1-$C$22))&gt;0,(((-G98)*LN(1-C99)*SIN(RADIANS(J99))-(Q99*(B99-B98)) - 0 +M98)*(1-$C$22)),0))</f>
        <v>-29.419830154837037</v>
      </c>
      <c r="N99" s="8">
        <f t="shared" si="10"/>
        <v>0</v>
      </c>
      <c r="O99" s="8">
        <f t="shared" si="10"/>
        <v>0</v>
      </c>
      <c r="P99" s="8">
        <f t="shared" si="10"/>
        <v>0</v>
      </c>
      <c r="Q99" s="41">
        <f>9.8066*(6378.388/(6378.388+(N98+K98)/1000))^2</f>
        <v>9.8066603098131591</v>
      </c>
      <c r="R99" s="43">
        <f>IF(E99&gt;0,K99-K98,-Q99)</f>
        <v>-9.8066603098131591</v>
      </c>
      <c r="S99" s="72">
        <f>R99/9.81</f>
        <v>-0.99965956267208544</v>
      </c>
      <c r="T99" s="43">
        <f>Q99*((I99*(SIN(RADIANS(J99))/D99))-1)</f>
        <v>-9.8066603098131591</v>
      </c>
      <c r="U99" s="72"/>
    </row>
    <row r="100" spans="2:21" x14ac:dyDescent="0.15">
      <c r="B100" s="9">
        <f>B99+1</f>
        <v>5</v>
      </c>
      <c r="C100" s="38">
        <f>IF(E100&lt;&gt;0,$F$21/D99,0)</f>
        <v>0</v>
      </c>
      <c r="D100" s="24">
        <f>IF(E100&gt;0,D99-$F$21,$F$18)</f>
        <v>8</v>
      </c>
      <c r="E100" s="24">
        <f>IF(E99-$F$21&gt;0, $F$15-($F$21*(B100-1)), 0)</f>
        <v>0</v>
      </c>
      <c r="F100" s="67">
        <f t="shared" si="6"/>
        <v>7.9100000000000004E-2</v>
      </c>
      <c r="G100" s="68">
        <f>IF(E100&gt;0,$C$23+($C$15-F100)*($C$48*$F$21),0)</f>
        <v>0</v>
      </c>
      <c r="H100" s="68">
        <f t="shared" si="7"/>
        <v>0</v>
      </c>
      <c r="I100" s="68">
        <f t="shared" si="8"/>
        <v>0</v>
      </c>
      <c r="J100" s="68">
        <f t="shared" si="9"/>
        <v>-1350</v>
      </c>
      <c r="K100" s="8">
        <f>IF(C100=0,K99+R99,IF((((-G99)*LN(1-C100)-(Q100*(B100-B99)) - 0 +K99)*(1-$C$22))&gt;0,(((-G99)*LN(1-C100)-(Q100*(B100-B99)) - 0 +K99)*(1-$C$22)),0))</f>
        <v>-39.226490464650198</v>
      </c>
      <c r="L100" s="8">
        <f>IF(C100=0,L99+R99,IF((((-G99)*LN(1-C100)*COS(RADIANS(J100)) - 0 +L99)*(1-$C$22))&gt;0,(((-G99)*LN(1-C100)*COS(RADIANS(J100)) - 0 +L99)*(1-$C$22)),0))</f>
        <v>-39.226490464650198</v>
      </c>
      <c r="M100" s="8">
        <f>IF(C100=0,M99+R99,IF((((-G99)*LN(1-C100)*SIN(RADIANS(J100))-(Q100*(B100-B99)) - 0 +M99)*(1-$C$22))&gt;0,(((-G99)*LN(1-C100)*SIN(RADIANS(J100))-(Q100*(B100-B99)) - 0 +M99)*(1-$C$22)),0))</f>
        <v>-39.226490464650198</v>
      </c>
      <c r="N100" s="8">
        <f t="shared" si="10"/>
        <v>0</v>
      </c>
      <c r="O100" s="8">
        <f t="shared" si="10"/>
        <v>0</v>
      </c>
      <c r="P100" s="8">
        <f t="shared" si="10"/>
        <v>0</v>
      </c>
      <c r="Q100" s="41">
        <f>9.8066*(6378.388/(6378.388+(N99+K99)/1000))^2</f>
        <v>9.8066904650210986</v>
      </c>
      <c r="R100" s="43">
        <f>IF(E100&gt;0,K100-K99,-Q100)</f>
        <v>-9.8066904650210986</v>
      </c>
      <c r="S100" s="72">
        <f>R100/9.81</f>
        <v>-0.99966263659746157</v>
      </c>
      <c r="T100" s="43">
        <f>Q100*((I100*(SIN(RADIANS(J100))/D100))-1)</f>
        <v>-9.8066904650210986</v>
      </c>
      <c r="U100" s="72"/>
    </row>
  </sheetData>
  <mergeCells count="4">
    <mergeCell ref="C2:G2"/>
    <mergeCell ref="AC3:AE3"/>
    <mergeCell ref="AG2:AJ2"/>
    <mergeCell ref="B4:G6"/>
  </mergeCells>
  <hyperlinks>
    <hyperlink ref="B8" location="Glossary!A18" display="Specific Heat Ratio (k)" xr:uid="{00000000-0004-0000-0000-000000000000}"/>
    <hyperlink ref="D13" location="Glossary!A3" display="Pascal (Pa)" xr:uid="{00000000-0004-0000-0000-000001000000}"/>
    <hyperlink ref="D15" location="Glossary!A3" display="Pascal (Pa)" xr:uid="{00000000-0004-0000-0000-000002000000}"/>
    <hyperlink ref="D21" location="Glossary!A3" display="Pascal (Pa)" xr:uid="{00000000-0004-0000-0000-000003000000}"/>
    <hyperlink ref="D17" location="Glossary!A3" display="Pascal (Pa)" xr:uid="{00000000-0004-0000-0000-000004000000}"/>
    <hyperlink ref="E33" location="Glossary!A18" display="Specific Heat Ratio (k)" xr:uid="{00000000-0004-0000-0000-000005000000}"/>
    <hyperlink ref="E34" location="Glossary!A18" display="Specific Heat Ratio (k)" xr:uid="{00000000-0004-0000-0000-000006000000}"/>
  </hyperlink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FE153"/>
  <sheetViews>
    <sheetView topLeftCell="F1" zoomScale="85" zoomScaleNormal="85" zoomScaleSheetLayoutView="70" workbookViewId="0">
      <selection activeCell="P35" sqref="P35:P36"/>
    </sheetView>
  </sheetViews>
  <sheetFormatPr baseColWidth="10" defaultColWidth="8.83203125" defaultRowHeight="13" x14ac:dyDescent="0.15"/>
  <cols>
    <col min="1" max="1" width="30.1640625" customWidth="1"/>
    <col min="2" max="2" width="24" customWidth="1"/>
    <col min="3" max="3" width="13" bestFit="1" customWidth="1"/>
    <col min="4" max="4" width="8.5" bestFit="1" customWidth="1"/>
    <col min="5" max="5" width="19.33203125" customWidth="1"/>
    <col min="6" max="6" width="10.83203125" bestFit="1" customWidth="1"/>
    <col min="7" max="7" width="9.6640625" bestFit="1" customWidth="1"/>
    <col min="9" max="10" width="9.6640625" bestFit="1" customWidth="1"/>
    <col min="12" max="12" width="55.33203125" bestFit="1" customWidth="1"/>
    <col min="13" max="13" width="13.5" bestFit="1" customWidth="1"/>
    <col min="14" max="14" width="19.33203125" bestFit="1" customWidth="1"/>
    <col min="15" max="15" width="24.5" bestFit="1" customWidth="1"/>
    <col min="16" max="16" width="35.5" customWidth="1"/>
    <col min="17" max="17" width="18" bestFit="1" customWidth="1"/>
    <col min="18" max="18" width="17" bestFit="1" customWidth="1"/>
    <col min="22" max="22" width="9.6640625" bestFit="1" customWidth="1"/>
  </cols>
  <sheetData>
    <row r="2" spans="2:22" x14ac:dyDescent="0.15">
      <c r="F2" s="15"/>
      <c r="L2" s="6" t="s">
        <v>295</v>
      </c>
      <c r="O2" s="6" t="s">
        <v>264</v>
      </c>
    </row>
    <row r="3" spans="2:22" x14ac:dyDescent="0.15">
      <c r="E3" s="6"/>
      <c r="F3" s="6"/>
      <c r="G3" s="6"/>
      <c r="L3" s="106" t="s">
        <v>238</v>
      </c>
      <c r="M3">
        <f>1 + 3/8</f>
        <v>1.375</v>
      </c>
      <c r="N3" s="106" t="s">
        <v>84</v>
      </c>
      <c r="O3" s="193">
        <f>CONVERT(M3,"in","mm")</f>
        <v>34.924999999999997</v>
      </c>
      <c r="P3" s="253">
        <f>O3-0.25</f>
        <v>34.674999999999997</v>
      </c>
      <c r="Q3" s="193">
        <f>O3+0.25</f>
        <v>35.174999999999997</v>
      </c>
      <c r="R3" s="106"/>
    </row>
    <row r="4" spans="2:22" x14ac:dyDescent="0.15">
      <c r="L4" t="s">
        <v>124</v>
      </c>
      <c r="M4">
        <f>3/16</f>
        <v>0.1875</v>
      </c>
      <c r="N4" t="s">
        <v>84</v>
      </c>
      <c r="O4" s="193">
        <f>CONVERT(M4,"in","mm")</f>
        <v>4.7625000000000002</v>
      </c>
      <c r="P4" s="193">
        <f>O4/2</f>
        <v>2.3812500000000001</v>
      </c>
      <c r="Q4" s="134"/>
      <c r="R4" s="193"/>
    </row>
    <row r="5" spans="2:22" x14ac:dyDescent="0.15">
      <c r="L5" s="162" t="s">
        <v>234</v>
      </c>
      <c r="M5" s="277" t="s">
        <v>235</v>
      </c>
      <c r="P5" s="106"/>
      <c r="Q5" s="129"/>
      <c r="R5" s="106"/>
    </row>
    <row r="6" spans="2:22" x14ac:dyDescent="0.15">
      <c r="L6" s="162" t="s">
        <v>239</v>
      </c>
      <c r="M6" s="162">
        <f>0.4688/2</f>
        <v>0.2344</v>
      </c>
      <c r="N6" s="106" t="s">
        <v>84</v>
      </c>
      <c r="O6" s="193">
        <f>CONVERT(M6,"in","mm")</f>
        <v>5.9537599999999999</v>
      </c>
      <c r="P6" s="253"/>
      <c r="Q6" s="128">
        <f>CONVERT((1/4),"in","mm")</f>
        <v>6.35</v>
      </c>
      <c r="R6" s="106"/>
      <c r="T6" s="162">
        <f>0.4062/2</f>
        <v>0.2031</v>
      </c>
      <c r="U6" s="106" t="s">
        <v>84</v>
      </c>
      <c r="V6" s="193">
        <f>CONVERT(T6,"in","mm")</f>
        <v>5.1587399999999999</v>
      </c>
    </row>
    <row r="7" spans="2:22" x14ac:dyDescent="0.15">
      <c r="L7" s="106" t="s">
        <v>310</v>
      </c>
      <c r="M7">
        <f>0.5</f>
        <v>0.5</v>
      </c>
      <c r="N7" s="106" t="s">
        <v>84</v>
      </c>
      <c r="O7" s="193">
        <f>CONVERT(M7,"in","mm")</f>
        <v>12.7</v>
      </c>
      <c r="P7" s="193">
        <f>O7-O4</f>
        <v>7.9374999999999991</v>
      </c>
      <c r="Q7">
        <f>P7/2+O4</f>
        <v>8.7312499999999993</v>
      </c>
    </row>
    <row r="8" spans="2:22" x14ac:dyDescent="0.15">
      <c r="L8" s="106" t="s">
        <v>262</v>
      </c>
      <c r="M8" s="253">
        <f>M6+5/32</f>
        <v>0.39065</v>
      </c>
      <c r="N8" s="106" t="s">
        <v>84</v>
      </c>
      <c r="O8" s="193">
        <f>CONVERT(M8,"in","mm")</f>
        <v>9.9225100000000008</v>
      </c>
      <c r="P8" s="106" t="e">
        <f>O8+0.5*P13</f>
        <v>#NUM!</v>
      </c>
      <c r="Q8" s="254" t="e">
        <f>O8-P13</f>
        <v>#NUM!</v>
      </c>
      <c r="R8" s="265" t="e">
        <f>Q8-Q6</f>
        <v>#NUM!</v>
      </c>
      <c r="S8" t="e">
        <f>P8+P13</f>
        <v>#NUM!</v>
      </c>
      <c r="V8" s="193">
        <f>O7-2</f>
        <v>10.7</v>
      </c>
    </row>
    <row r="9" spans="2:22" x14ac:dyDescent="0.15">
      <c r="L9" s="106" t="s">
        <v>285</v>
      </c>
      <c r="M9" s="193" t="e">
        <f>(M13/M10)*0.5</f>
        <v>#NUM!</v>
      </c>
      <c r="N9" s="106" t="s">
        <v>84</v>
      </c>
      <c r="O9" s="193" t="e">
        <f>CONVERT(M9,"in","mm")</f>
        <v>#NUM!</v>
      </c>
      <c r="P9" s="106"/>
      <c r="Q9" s="129"/>
      <c r="R9" s="106"/>
      <c r="V9">
        <f>O6/V6</f>
        <v>1.1541112752338749</v>
      </c>
    </row>
    <row r="10" spans="2:22" x14ac:dyDescent="0.15">
      <c r="L10" s="106" t="s">
        <v>236</v>
      </c>
      <c r="M10">
        <v>3</v>
      </c>
      <c r="N10" s="106"/>
      <c r="P10" s="106"/>
      <c r="Q10" s="129"/>
      <c r="R10" s="106"/>
    </row>
    <row r="11" spans="2:22" x14ac:dyDescent="0.15">
      <c r="B11" s="290"/>
      <c r="C11" s="290"/>
      <c r="F11" s="290"/>
      <c r="G11" s="290"/>
      <c r="H11" s="290"/>
      <c r="L11" s="106" t="s">
        <v>268</v>
      </c>
      <c r="M11">
        <v>40</v>
      </c>
      <c r="N11" s="106" t="s">
        <v>68</v>
      </c>
      <c r="P11" s="106"/>
      <c r="Q11" s="129"/>
      <c r="R11" s="253"/>
    </row>
    <row r="12" spans="2:22" x14ac:dyDescent="0.15">
      <c r="L12" s="7" t="s">
        <v>269</v>
      </c>
      <c r="M12" s="226">
        <f>M8/TAN(RADIANS(M11))-CONVERT(2,"mm","in")</f>
        <v>0.38681838346661324</v>
      </c>
      <c r="N12" s="7" t="s">
        <v>84</v>
      </c>
      <c r="O12" s="193">
        <f>CONVERT(M12,"in","mm")</f>
        <v>9.8251869400519745</v>
      </c>
      <c r="P12" s="6"/>
    </row>
    <row r="13" spans="2:22" x14ac:dyDescent="0.15">
      <c r="L13" s="106" t="s">
        <v>240</v>
      </c>
      <c r="M13" s="193" t="e">
        <f>VesselCharacteristics!F60</f>
        <v>#NUM!</v>
      </c>
      <c r="N13" s="106" t="s">
        <v>84</v>
      </c>
      <c r="O13" s="193" t="e">
        <f>CONVERT(M13,"in","mm")</f>
        <v>#NUM!</v>
      </c>
      <c r="P13" s="106" t="e">
        <f>O13/2</f>
        <v>#NUM!</v>
      </c>
      <c r="Q13" s="122" t="e">
        <f>O4-O13</f>
        <v>#NUM!</v>
      </c>
      <c r="R13" s="131" t="e">
        <f>P13+1.25</f>
        <v>#NUM!</v>
      </c>
    </row>
    <row r="14" spans="2:22" x14ac:dyDescent="0.15">
      <c r="L14" s="106" t="s">
        <v>263</v>
      </c>
      <c r="M14" s="193">
        <f>1.25*0.5+M26+1/8</f>
        <v>0.91949999999999998</v>
      </c>
      <c r="N14" s="106" t="s">
        <v>84</v>
      </c>
      <c r="O14" s="193">
        <f>CONVERT(M14,"in","mm")</f>
        <v>23.3553</v>
      </c>
      <c r="P14" s="253">
        <f>5+O4</f>
        <v>9.7624999999999993</v>
      </c>
      <c r="Q14" s="130"/>
    </row>
    <row r="15" spans="2:22" x14ac:dyDescent="0.15">
      <c r="L15" s="106" t="s">
        <v>237</v>
      </c>
      <c r="M15" s="106" t="str">
        <f>M25</f>
        <v>1/8 NPT F</v>
      </c>
      <c r="P15" s="106"/>
      <c r="R15" s="106"/>
      <c r="T15">
        <f>5/7</f>
        <v>0.7142857142857143</v>
      </c>
    </row>
    <row r="16" spans="2:22" x14ac:dyDescent="0.15">
      <c r="L16" s="106" t="s">
        <v>267</v>
      </c>
      <c r="M16" s="106">
        <f>M26</f>
        <v>0.16950000000000001</v>
      </c>
      <c r="N16" s="106" t="str">
        <f>N26</f>
        <v>inches (R drill)</v>
      </c>
      <c r="O16" s="253">
        <f>CONVERT(M16,"in","mm")</f>
        <v>4.3052999999999999</v>
      </c>
      <c r="P16" s="253"/>
      <c r="T16" t="s">
        <v>386</v>
      </c>
    </row>
    <row r="17" spans="1:22" x14ac:dyDescent="0.15">
      <c r="L17" s="106" t="s">
        <v>265</v>
      </c>
      <c r="M17" s="253">
        <f>M8+2/8</f>
        <v>0.64064999999999994</v>
      </c>
      <c r="N17" s="106" t="s">
        <v>84</v>
      </c>
      <c r="O17" s="193">
        <f>CONVERT(M17,"in","mm")</f>
        <v>16.27251</v>
      </c>
      <c r="P17" s="106" t="e">
        <f>O17+0.5*O23</f>
        <v>#NUM!</v>
      </c>
      <c r="Q17" t="e">
        <f>P23+1.25</f>
        <v>#NUM!</v>
      </c>
    </row>
    <row r="18" spans="1:22" x14ac:dyDescent="0.15">
      <c r="L18" s="106" t="s">
        <v>284</v>
      </c>
      <c r="M18" s="193" t="e">
        <f>(M23/M20)*0.5</f>
        <v>#NUM!</v>
      </c>
      <c r="N18" s="106" t="s">
        <v>84</v>
      </c>
      <c r="O18" s="193" t="e">
        <f>CONVERT(M18,"in","mm")</f>
        <v>#NUM!</v>
      </c>
      <c r="P18" s="106"/>
    </row>
    <row r="19" spans="1:22" x14ac:dyDescent="0.15">
      <c r="L19" s="106" t="s">
        <v>283</v>
      </c>
      <c r="M19">
        <f>0.096/2</f>
        <v>4.8000000000000001E-2</v>
      </c>
      <c r="N19" s="106" t="s">
        <v>291</v>
      </c>
      <c r="O19" s="193">
        <f>CONVERT(M19,"in","mm")</f>
        <v>1.2191999999999998</v>
      </c>
      <c r="P19" s="106"/>
      <c r="Q19" s="133"/>
      <c r="R19" s="106"/>
    </row>
    <row r="20" spans="1:22" x14ac:dyDescent="0.15">
      <c r="L20" s="106" t="s">
        <v>241</v>
      </c>
      <c r="M20">
        <v>2</v>
      </c>
      <c r="N20" s="106"/>
      <c r="O20" s="193">
        <f>CONVERT(M20,"in","mm")</f>
        <v>50.8</v>
      </c>
      <c r="R20" s="106"/>
    </row>
    <row r="21" spans="1:22" x14ac:dyDescent="0.15">
      <c r="L21" s="106" t="s">
        <v>270</v>
      </c>
      <c r="M21">
        <v>60</v>
      </c>
      <c r="N21" s="106" t="s">
        <v>68</v>
      </c>
      <c r="P21" s="106"/>
      <c r="Q21" s="131"/>
      <c r="R21" s="253"/>
    </row>
    <row r="22" spans="1:22" x14ac:dyDescent="0.15">
      <c r="L22" s="7" t="s">
        <v>271</v>
      </c>
      <c r="M22" s="226">
        <f>M17/TAN(RADIANS(M21))-CONVERT(2,"mm","in")</f>
        <v>0.29113929247601888</v>
      </c>
      <c r="N22" s="7" t="s">
        <v>84</v>
      </c>
      <c r="O22" s="193">
        <f>CONVERT(M22,"in","mm")</f>
        <v>7.3949380288908797</v>
      </c>
      <c r="P22" s="106"/>
      <c r="Q22" s="127"/>
      <c r="R22" s="106"/>
    </row>
    <row r="23" spans="1:22" x14ac:dyDescent="0.15">
      <c r="L23" s="106" t="s">
        <v>242</v>
      </c>
      <c r="M23" s="193" t="e">
        <f>VesselCharacteristics!F56</f>
        <v>#NUM!</v>
      </c>
      <c r="N23" s="106" t="s">
        <v>84</v>
      </c>
      <c r="O23" s="193" t="e">
        <f>CONVERT(M23,"in","mm")</f>
        <v>#NUM!</v>
      </c>
      <c r="P23" s="106" t="e">
        <f>O23/2</f>
        <v>#NUM!</v>
      </c>
      <c r="R23" s="106"/>
    </row>
    <row r="24" spans="1:22" x14ac:dyDescent="0.15">
      <c r="L24" s="106" t="s">
        <v>272</v>
      </c>
      <c r="M24" s="193">
        <f>M14+1/8</f>
        <v>1.0445</v>
      </c>
      <c r="N24" s="106" t="s">
        <v>84</v>
      </c>
      <c r="O24" s="193">
        <f>CONVERT(M24,"in","mm")</f>
        <v>26.5303</v>
      </c>
      <c r="P24" s="106"/>
      <c r="R24" s="106"/>
    </row>
    <row r="25" spans="1:22" x14ac:dyDescent="0.15">
      <c r="L25" s="106" t="s">
        <v>273</v>
      </c>
      <c r="M25" s="106" t="s">
        <v>275</v>
      </c>
      <c r="P25" s="106"/>
      <c r="R25" s="106"/>
    </row>
    <row r="26" spans="1:22" x14ac:dyDescent="0.15">
      <c r="L26" s="106" t="s">
        <v>274</v>
      </c>
      <c r="M26">
        <f xml:space="preserve">  0.339/2</f>
        <v>0.16950000000000001</v>
      </c>
      <c r="N26" s="106" t="s">
        <v>276</v>
      </c>
      <c r="O26" s="193">
        <f>CONVERT(M26,"in","mm")</f>
        <v>4.3052999999999999</v>
      </c>
      <c r="P26" s="253"/>
      <c r="Q26" s="129"/>
      <c r="R26" s="106">
        <f>CONVERT(0.339,"in","mm")</f>
        <v>8.6105999999999998</v>
      </c>
      <c r="T26">
        <v>53.62</v>
      </c>
      <c r="V26">
        <v>54.32</v>
      </c>
    </row>
    <row r="27" spans="1:22" x14ac:dyDescent="0.15">
      <c r="A27">
        <f>360/6</f>
        <v>60</v>
      </c>
      <c r="L27" s="106" t="s">
        <v>266</v>
      </c>
      <c r="M27" s="133">
        <f>VesselCharacteristics!AJ8*0.5</f>
        <v>2.2371611134617924</v>
      </c>
      <c r="N27" s="106" t="s">
        <v>84</v>
      </c>
      <c r="O27" s="193">
        <f>CONVERT(M27,"in","mm")</f>
        <v>56.823892281929531</v>
      </c>
      <c r="P27" s="106"/>
      <c r="Q27" s="134"/>
      <c r="R27" s="106"/>
      <c r="T27">
        <v>48.01</v>
      </c>
      <c r="V27">
        <v>47.3</v>
      </c>
    </row>
    <row r="28" spans="1:22" x14ac:dyDescent="0.15">
      <c r="A28">
        <f>45/2</f>
        <v>22.5</v>
      </c>
      <c r="L28" s="106" t="s">
        <v>279</v>
      </c>
      <c r="M28" s="106" t="s">
        <v>286</v>
      </c>
      <c r="N28" s="106" t="s">
        <v>287</v>
      </c>
      <c r="P28" s="106"/>
      <c r="R28" s="106"/>
      <c r="T28">
        <f>T26-T27</f>
        <v>5.6099999999999994</v>
      </c>
      <c r="U28">
        <f>T28*1.25</f>
        <v>7.0124999999999993</v>
      </c>
      <c r="V28">
        <f>V26-V27</f>
        <v>7.0200000000000031</v>
      </c>
    </row>
    <row r="29" spans="1:22" x14ac:dyDescent="0.15">
      <c r="A29">
        <f>90-A28</f>
        <v>67.5</v>
      </c>
      <c r="L29" s="106" t="s">
        <v>278</v>
      </c>
      <c r="M29" s="133">
        <f>1.739/2</f>
        <v>0.86950000000000005</v>
      </c>
      <c r="N29" s="106" t="s">
        <v>84</v>
      </c>
      <c r="O29" s="193">
        <f>CONVERT(M29,"in","mm")</f>
        <v>22.0853</v>
      </c>
      <c r="P29" s="224"/>
      <c r="R29" s="106"/>
      <c r="T29">
        <f>R26/T28</f>
        <v>1.5348663101604278</v>
      </c>
    </row>
    <row r="30" spans="1:22" x14ac:dyDescent="0.15">
      <c r="J30">
        <f>7/32</f>
        <v>0.21875</v>
      </c>
      <c r="L30" s="106" t="s">
        <v>277</v>
      </c>
      <c r="M30">
        <f>1.88/2</f>
        <v>0.94</v>
      </c>
      <c r="N30" s="106" t="s">
        <v>84</v>
      </c>
      <c r="O30" s="193">
        <f>CONVERT(M30,"in","mm")</f>
        <v>23.876000000000001</v>
      </c>
      <c r="P30" s="255"/>
      <c r="Q30" s="128"/>
      <c r="R30" s="128"/>
    </row>
    <row r="31" spans="1:22" x14ac:dyDescent="0.15">
      <c r="A31">
        <v>-0.23300000000000001</v>
      </c>
      <c r="L31" s="106" t="s">
        <v>309</v>
      </c>
      <c r="M31">
        <f>1/32</f>
        <v>3.125E-2</v>
      </c>
      <c r="N31" s="106" t="s">
        <v>84</v>
      </c>
      <c r="O31" s="193">
        <f>CONVERT(M31,"in","mm")</f>
        <v>0.79374999999999996</v>
      </c>
      <c r="P31" s="193">
        <f>O31*0.8</f>
        <v>0.63500000000000001</v>
      </c>
      <c r="Q31">
        <f>P31/2</f>
        <v>0.3175</v>
      </c>
      <c r="R31" s="106"/>
    </row>
    <row r="32" spans="1:22" x14ac:dyDescent="0.15">
      <c r="L32" s="106" t="s">
        <v>280</v>
      </c>
      <c r="M32" s="131">
        <f>CONVERT(O32,"mm","in")</f>
        <v>1.1719685039370078</v>
      </c>
      <c r="N32" s="106" t="s">
        <v>84</v>
      </c>
      <c r="O32" s="193">
        <f>29.768</f>
        <v>29.768000000000001</v>
      </c>
      <c r="P32" s="253">
        <f>O32-O34</f>
        <v>26.872399999999999</v>
      </c>
      <c r="Q32" s="253">
        <f>O32+O34</f>
        <v>32.663600000000002</v>
      </c>
    </row>
    <row r="33" spans="9:24" x14ac:dyDescent="0.15">
      <c r="L33" s="106" t="s">
        <v>281</v>
      </c>
      <c r="M33" s="127" t="s">
        <v>377</v>
      </c>
      <c r="N33" s="106"/>
      <c r="P33" s="106"/>
      <c r="Q33">
        <f>Q34*2</f>
        <v>4.3281600000000005</v>
      </c>
      <c r="R33" s="106">
        <f>R34/Q33</f>
        <v>1.25</v>
      </c>
      <c r="S33">
        <f>S34/Q33</f>
        <v>1.5258215962441311</v>
      </c>
      <c r="X33">
        <f>33.07026-26.46573</f>
        <v>6.6045299999999969</v>
      </c>
    </row>
    <row r="34" spans="9:24" x14ac:dyDescent="0.15">
      <c r="L34" s="106" t="s">
        <v>282</v>
      </c>
      <c r="M34">
        <f>0.228/2</f>
        <v>0.114</v>
      </c>
      <c r="N34" s="106" t="s">
        <v>84</v>
      </c>
      <c r="O34" s="193">
        <f>CONVERT(M34,"in","mm")</f>
        <v>2.8956</v>
      </c>
      <c r="P34" s="253">
        <f>(0.213*0.8)/2</f>
        <v>8.5199999999999998E-2</v>
      </c>
      <c r="Q34">
        <f>CONVERT(P34,"in","mm")</f>
        <v>2.1640800000000002</v>
      </c>
      <c r="R34" s="106">
        <f>CONVERT(0.213,"in","mm")</f>
        <v>5.4102000000000006</v>
      </c>
      <c r="S34">
        <f>CONVERT(0.26,"in","mm")</f>
        <v>6.6039999999999992</v>
      </c>
      <c r="T34">
        <f>S34/R34</f>
        <v>1.2206572769953048</v>
      </c>
      <c r="V34">
        <f>(CONVERT(0.25,"in","mm")*1.25)</f>
        <v>7.9375</v>
      </c>
    </row>
    <row r="35" spans="9:24" x14ac:dyDescent="0.15">
      <c r="M35" s="106"/>
      <c r="N35" s="106"/>
      <c r="P35" s="99">
        <f>O34*1.15</f>
        <v>3.3299399999999997</v>
      </c>
      <c r="Q35" s="129">
        <f>P35/O34</f>
        <v>1.1499999999999999</v>
      </c>
      <c r="S35">
        <f>O34*2</f>
        <v>5.7911999999999999</v>
      </c>
      <c r="T35">
        <f>S34*2</f>
        <v>13.207999999999998</v>
      </c>
      <c r="V35">
        <f>V34/T35</f>
        <v>0.60096153846153855</v>
      </c>
    </row>
    <row r="37" spans="9:24" x14ac:dyDescent="0.15">
      <c r="L37" s="6" t="s">
        <v>296</v>
      </c>
      <c r="O37" s="6" t="s">
        <v>298</v>
      </c>
      <c r="P37" s="6"/>
      <c r="S37" s="193"/>
    </row>
    <row r="38" spans="9:24" x14ac:dyDescent="0.15">
      <c r="L38" s="106" t="s">
        <v>317</v>
      </c>
      <c r="M38">
        <v>10</v>
      </c>
    </row>
    <row r="39" spans="9:24" x14ac:dyDescent="0.15">
      <c r="K39" s="106"/>
      <c r="L39" s="6" t="s">
        <v>300</v>
      </c>
      <c r="M39" s="6">
        <f>VesselCharacteristics!C56</f>
        <v>15</v>
      </c>
      <c r="N39" s="6" t="str">
        <f>VesselCharacteristics!D56</f>
        <v>degrees</v>
      </c>
    </row>
    <row r="40" spans="9:24" x14ac:dyDescent="0.15">
      <c r="K40" s="106"/>
      <c r="L40" s="6" t="s">
        <v>322</v>
      </c>
      <c r="M40" s="262">
        <v>5.5</v>
      </c>
      <c r="N40" s="6" t="s">
        <v>146</v>
      </c>
      <c r="O40">
        <f>VesselCharacteristics!C59*1000</f>
        <v>131.04949147250341</v>
      </c>
      <c r="Q40" s="123"/>
    </row>
    <row r="41" spans="9:24" x14ac:dyDescent="0.15">
      <c r="L41" s="106" t="s">
        <v>319</v>
      </c>
      <c r="M41" s="123">
        <f>VesselCharacteristics!C54*1000/2</f>
        <v>53.974170912679767</v>
      </c>
      <c r="N41" s="106" t="s">
        <v>146</v>
      </c>
    </row>
    <row r="42" spans="9:24" x14ac:dyDescent="0.15">
      <c r="J42" s="123">
        <f>K42-M42</f>
        <v>-42.499460912679766</v>
      </c>
      <c r="K42">
        <v>13.97471</v>
      </c>
      <c r="L42" s="106" t="s">
        <v>318</v>
      </c>
      <c r="M42" s="123">
        <f>M41+VesselCharacteristics!$C$61*1000</f>
        <v>56.474170912679767</v>
      </c>
      <c r="N42" s="106" t="s">
        <v>146</v>
      </c>
      <c r="O42">
        <f>($M$40*TAN(RADIANS(M39)))</f>
        <v>1.4737205583711748</v>
      </c>
    </row>
    <row r="43" spans="9:24" x14ac:dyDescent="0.15">
      <c r="K43" s="123">
        <f>M41+CONVERT(VesselCharacteristics!$I$23,"in","mm")+0.544</f>
        <v>55.768170912679764</v>
      </c>
      <c r="L43" s="106" t="s">
        <v>323</v>
      </c>
      <c r="M43" s="123">
        <f>(M41+CONVERT(VesselCharacteristics!$I$23,"in","mm")+0.5)-($M$40*TAN(RADIANS($M$39)))</f>
        <v>54.25045035430859</v>
      </c>
      <c r="N43" s="106" t="s">
        <v>146</v>
      </c>
      <c r="O43" s="123">
        <f>(M41+CONVERT(VesselCharacteristics!$I$23,"in","mm")+0.5)-($M$40*TAN(RADIANS(M39)))</f>
        <v>54.25045035430859</v>
      </c>
      <c r="P43" s="123">
        <f>M43+4.5/2-0.42</f>
        <v>56.080450354308589</v>
      </c>
      <c r="Q43" s="123">
        <f>M41+CONVERT(VesselCharacteristics!$I$23,"in","mm")+0.8</f>
        <v>56.024170912679764</v>
      </c>
    </row>
    <row r="44" spans="9:24" x14ac:dyDescent="0.15">
      <c r="L44" s="106" t="s">
        <v>325</v>
      </c>
      <c r="M44" s="123">
        <f>VesselCharacteristics!C59*1000-M40</f>
        <v>125.54949147250341</v>
      </c>
      <c r="N44" s="106"/>
      <c r="O44" s="123"/>
    </row>
    <row r="45" spans="9:24" x14ac:dyDescent="0.15">
      <c r="L45" s="6" t="s">
        <v>299</v>
      </c>
      <c r="M45" s="262">
        <f>VesselCharacteristics!C57*1000</f>
        <v>126.58408833534007</v>
      </c>
      <c r="N45" s="6" t="s">
        <v>146</v>
      </c>
      <c r="Q45">
        <f>PI()*0.4^2</f>
        <v>0.50265482457436694</v>
      </c>
      <c r="T45">
        <v>19.253779999999999</v>
      </c>
    </row>
    <row r="46" spans="9:24" x14ac:dyDescent="0.15">
      <c r="L46" s="106" t="s">
        <v>302</v>
      </c>
      <c r="M46" s="123">
        <f>VesselCharacteristics!C48*1000/2</f>
        <v>20.056066668595498</v>
      </c>
      <c r="N46" s="106" t="s">
        <v>146</v>
      </c>
      <c r="O46" s="129">
        <f>M46/M41</f>
        <v>0.37158637788142235</v>
      </c>
      <c r="P46">
        <f>M46/M41</f>
        <v>0.37158637788142235</v>
      </c>
      <c r="Q46">
        <f>Q45/1000</f>
        <v>5.0265482457436696E-4</v>
      </c>
      <c r="T46">
        <v>21.503779999999999</v>
      </c>
      <c r="U46">
        <v>23.753779999999999</v>
      </c>
    </row>
    <row r="47" spans="9:24" x14ac:dyDescent="0.15">
      <c r="K47" s="123">
        <f>M47+$J$42</f>
        <v>-19.943394244084267</v>
      </c>
      <c r="L47" s="106" t="s">
        <v>303</v>
      </c>
      <c r="M47" s="123">
        <f>M46+VesselCharacteristics!$C$61*1000</f>
        <v>22.556066668595498</v>
      </c>
      <c r="N47" s="106" t="s">
        <v>146</v>
      </c>
      <c r="O47">
        <f>M47/M42</f>
        <v>0.39940500770647236</v>
      </c>
      <c r="P47">
        <f>M47/M42</f>
        <v>0.39940500770647236</v>
      </c>
      <c r="Q47">
        <f>Q46*15</f>
        <v>7.5398223686155043E-3</v>
      </c>
      <c r="R47">
        <f>M47/M42</f>
        <v>0.39940500770647236</v>
      </c>
      <c r="T47">
        <f>T46-T45</f>
        <v>2.25</v>
      </c>
      <c r="U47">
        <f>U46-T46</f>
        <v>2.25</v>
      </c>
    </row>
    <row r="48" spans="9:24" x14ac:dyDescent="0.15">
      <c r="I48" s="123"/>
      <c r="L48" s="106" t="s">
        <v>324</v>
      </c>
      <c r="M48" s="123">
        <f>M46+CONVERT(VesselCharacteristics!$I$23,"in","mm")+0.5</f>
        <v>21.806066668595498</v>
      </c>
      <c r="N48" s="106" t="s">
        <v>146</v>
      </c>
      <c r="O48" s="278">
        <f>M46+CONVERT(VesselCharacteristics!$I$23,"in","mm")+0.5</f>
        <v>21.806066668595498</v>
      </c>
      <c r="Q48" s="123">
        <f>M48+0.4</f>
        <v>22.206066668595497</v>
      </c>
      <c r="R48">
        <f>(Q48+O48)/2</f>
        <v>22.006066668595498</v>
      </c>
      <c r="X48">
        <v>27.596299999999999</v>
      </c>
    </row>
    <row r="49" spans="4:161" x14ac:dyDescent="0.15">
      <c r="I49" s="123"/>
      <c r="L49" s="106"/>
      <c r="M49" s="123"/>
      <c r="N49" s="106"/>
      <c r="O49" s="223"/>
      <c r="P49" s="262"/>
      <c r="Q49" s="123"/>
    </row>
    <row r="50" spans="4:161" x14ac:dyDescent="0.15">
      <c r="F50">
        <f>2.25/2</f>
        <v>1.125</v>
      </c>
      <c r="I50" s="193">
        <f>O30-O29</f>
        <v>1.7907000000000011</v>
      </c>
      <c r="L50" s="6" t="s">
        <v>304</v>
      </c>
      <c r="M50" s="262">
        <f>M45+VesselCharacteristics!C50*1000</f>
        <v>127.37783833534007</v>
      </c>
      <c r="N50" s="6" t="s">
        <v>146</v>
      </c>
      <c r="P50" s="123">
        <f>M50-0.625</f>
        <v>126.75283833534007</v>
      </c>
      <c r="X50">
        <v>31.939699999999998</v>
      </c>
      <c r="Y50">
        <f>(CONVERT(0.213,"in","mm"))</f>
        <v>5.4102000000000006</v>
      </c>
    </row>
    <row r="51" spans="4:161" x14ac:dyDescent="0.15">
      <c r="L51" s="6" t="s">
        <v>305</v>
      </c>
      <c r="M51" s="264">
        <f>VesselCharacteristics!C37</f>
        <v>60</v>
      </c>
      <c r="N51" s="263" t="str">
        <f>VesselCharacteristics!D37</f>
        <v>degrees</v>
      </c>
      <c r="X51">
        <f>X50-X48</f>
        <v>4.343399999999999</v>
      </c>
      <c r="Y51">
        <v>0.21299999999999999</v>
      </c>
    </row>
    <row r="52" spans="4:161" x14ac:dyDescent="0.15">
      <c r="D52" s="193">
        <f>(1.879-1.739)/2</f>
        <v>6.9999999999999951E-2</v>
      </c>
      <c r="E52">
        <f>CONVERT(D52,"in","mm")</f>
        <v>1.7779999999999989</v>
      </c>
      <c r="L52" s="6" t="s">
        <v>306</v>
      </c>
      <c r="M52" s="262">
        <f>M50+VesselCharacteristics!C38*1000</f>
        <v>144.16202433592812</v>
      </c>
      <c r="N52" s="6" t="s">
        <v>146</v>
      </c>
      <c r="V52">
        <f>36*5</f>
        <v>180</v>
      </c>
    </row>
    <row r="53" spans="4:161" x14ac:dyDescent="0.15">
      <c r="L53" s="106" t="s">
        <v>320</v>
      </c>
      <c r="M53" s="123">
        <f>VesselCharacteristics!C33*1000/2</f>
        <v>49.12712958530026</v>
      </c>
      <c r="N53" s="106" t="s">
        <v>146</v>
      </c>
      <c r="O53">
        <f>M53/M46</f>
        <v>2.4494897427831783</v>
      </c>
      <c r="P53">
        <f>M53/M46</f>
        <v>2.4494897427831783</v>
      </c>
      <c r="Q53">
        <f>M53/M46</f>
        <v>2.4494897427831783</v>
      </c>
    </row>
    <row r="54" spans="4:161" x14ac:dyDescent="0.15">
      <c r="I54" t="s">
        <v>378</v>
      </c>
      <c r="J54">
        <v>9.9930000000000003</v>
      </c>
      <c r="K54" s="123">
        <f>M54+$J$42</f>
        <v>9.1276686726204943</v>
      </c>
      <c r="L54" s="106" t="s">
        <v>321</v>
      </c>
      <c r="M54" s="123">
        <f>M53+VesselCharacteristics!$C$61*1000</f>
        <v>51.62712958530026</v>
      </c>
      <c r="N54" s="106" t="s">
        <v>146</v>
      </c>
      <c r="O54">
        <f>M54/M47</f>
        <v>2.2888356531229803</v>
      </c>
      <c r="P54">
        <f>M54/M47</f>
        <v>2.2888356531229803</v>
      </c>
      <c r="Q54">
        <f>M54/M47</f>
        <v>2.2888356531229803</v>
      </c>
    </row>
    <row r="55" spans="4:161" x14ac:dyDescent="0.15">
      <c r="F55">
        <v>13.1106</v>
      </c>
      <c r="G55">
        <f>F55/2</f>
        <v>6.5552999999999999</v>
      </c>
      <c r="L55" s="106" t="s">
        <v>387</v>
      </c>
      <c r="M55" s="222">
        <f>(M46+CONVERT(VesselCharacteristics!$I$23,"in","mm")+0.5)-0.5*SIN(RADIANS(30))</f>
        <v>21.556066668595498</v>
      </c>
      <c r="N55" s="106" t="s">
        <v>146</v>
      </c>
      <c r="O55" s="123">
        <f>(M46+CONVERT(VesselCharacteristics!$I$23,"in","mm")+0.5)-0.5*SIN(RADIANS(30))</f>
        <v>21.556066668595498</v>
      </c>
      <c r="P55" s="123">
        <f>M60+4.5/2-0.42</f>
        <v>52.707129585300258</v>
      </c>
      <c r="Q55" s="123">
        <f>M60+0.4</f>
        <v>51.277129585300258</v>
      </c>
    </row>
    <row r="56" spans="4:161" x14ac:dyDescent="0.15">
      <c r="F56">
        <v>12</v>
      </c>
      <c r="G56">
        <f>F56/2</f>
        <v>6</v>
      </c>
      <c r="L56" s="106" t="s">
        <v>389</v>
      </c>
      <c r="M56" s="123">
        <f>M50-TAN(RADIANS($M$51))/(CONVERT(VesselCharacteristics!$I$23,"in","mm")+0.5)</f>
        <v>126.38809501672928</v>
      </c>
      <c r="N56" s="106" t="s">
        <v>146</v>
      </c>
      <c r="O56">
        <f>M50-TAN(RADIANS(90-$M$51))*(CONVERT(VesselCharacteristics!$I$23,"in","mm")+0.5)</f>
        <v>126.36747536425823</v>
      </c>
      <c r="P56" s="123">
        <f>M56-(O56-M56)</f>
        <v>126.40871466920034</v>
      </c>
      <c r="Q56" s="106">
        <f>TAN(RADIANS($M$51))</f>
        <v>1.7320508075688767</v>
      </c>
    </row>
    <row r="57" spans="4:161" x14ac:dyDescent="0.15">
      <c r="L57" s="106" t="s">
        <v>388</v>
      </c>
      <c r="M57" s="123">
        <f>(M53+CONVERT(VesselCharacteristics!$I$23,"in","mm")+0.5)-0.5*SIN(RADIANS(30))</f>
        <v>50.62712958530026</v>
      </c>
      <c r="N57" s="106" t="s">
        <v>146</v>
      </c>
      <c r="O57">
        <f>(M53+CONVERT(VesselCharacteristics!$I$23,"in","mm")+0.5)-0.5*SIN(RADIANS(30))</f>
        <v>50.62712958530026</v>
      </c>
    </row>
    <row r="58" spans="4:161" x14ac:dyDescent="0.15">
      <c r="L58" s="106" t="s">
        <v>390</v>
      </c>
      <c r="M58" s="123">
        <f>M52-TAN(RADIANS($M$51))/(CONVERT(VesselCharacteristics!$I$23,"in","mm")+0.5)</f>
        <v>143.17228101731735</v>
      </c>
      <c r="N58" s="106" t="s">
        <v>146</v>
      </c>
      <c r="O58">
        <f>M52-TAN(RADIANS($M$51))/(CONVERT(VesselCharacteristics!$I$23,"in","mm")+0.5)</f>
        <v>143.17228101731735</v>
      </c>
    </row>
    <row r="59" spans="4:161" x14ac:dyDescent="0.15">
      <c r="L59" s="106" t="s">
        <v>326</v>
      </c>
      <c r="M59" s="123">
        <f>VesselCharacteristics!C40*1000</f>
        <v>33.568372001176087</v>
      </c>
      <c r="N59" s="106" t="s">
        <v>146</v>
      </c>
    </row>
    <row r="60" spans="4:161" x14ac:dyDescent="0.15">
      <c r="L60" s="106" t="s">
        <v>391</v>
      </c>
      <c r="M60" s="123">
        <f>M53+CONVERT(VesselCharacteristics!$I$23,"in","mm")+0.5</f>
        <v>50.87712958530026</v>
      </c>
      <c r="N60" s="106" t="s">
        <v>146</v>
      </c>
      <c r="O60" s="123">
        <f>M53+CONVERT(VesselCharacteristics!$I$23,"in","mm")+0.5</f>
        <v>50.87712958530026</v>
      </c>
    </row>
    <row r="61" spans="4:161" x14ac:dyDescent="0.15">
      <c r="L61" s="6" t="s">
        <v>307</v>
      </c>
      <c r="M61" s="262">
        <f>M50+VesselCharacteristics!C35*1000</f>
        <v>228.97783833534007</v>
      </c>
      <c r="N61" s="6" t="s">
        <v>146</v>
      </c>
      <c r="O61" s="123">
        <f>M61-3</f>
        <v>225.97783833534007</v>
      </c>
      <c r="P61" s="123">
        <f>O61+2.25</f>
        <v>228.22783833534007</v>
      </c>
      <c r="Q61" s="123">
        <f>M61-1</f>
        <v>227.97783833534007</v>
      </c>
      <c r="FE61" s="106" t="s">
        <v>386</v>
      </c>
    </row>
    <row r="62" spans="4:161" x14ac:dyDescent="0.15">
      <c r="D62" s="106">
        <f>44.9931+E62/2</f>
        <v>48.743094999999997</v>
      </c>
      <c r="E62">
        <f>52.49309-44.9931</f>
        <v>7.4999900000000039</v>
      </c>
    </row>
    <row r="63" spans="4:161" x14ac:dyDescent="0.15">
      <c r="I63" s="123">
        <f>J63+1.25</f>
        <v>227.97783833534007</v>
      </c>
      <c r="J63" s="123">
        <f>M61-2.25</f>
        <v>226.72783833534007</v>
      </c>
      <c r="N63" s="106"/>
      <c r="O63" s="123">
        <f>(M46+CONVERT(VesselCharacteristics!$I$23,"in","mm")+0.4)+($M$50*TAN(RADIANS($M$51)))</f>
        <v>242.3309544236991</v>
      </c>
    </row>
    <row r="64" spans="4:161" x14ac:dyDescent="0.15">
      <c r="L64" s="6" t="s">
        <v>297</v>
      </c>
      <c r="P64" s="123">
        <f>M53+0.625</f>
        <v>49.75212958530026</v>
      </c>
      <c r="R64" s="123">
        <f>M50-R65</f>
        <v>126.8365724579748</v>
      </c>
      <c r="S64">
        <f>13.78506</f>
        <v>13.78506</v>
      </c>
      <c r="T64" s="123">
        <f>R64-S64</f>
        <v>113.05151245797479</v>
      </c>
    </row>
    <row r="65" spans="1:19" x14ac:dyDescent="0.15">
      <c r="F65" s="123">
        <f>M61-M52</f>
        <v>84.815813999411944</v>
      </c>
      <c r="G65" s="123">
        <f>F65/3</f>
        <v>28.271937999803981</v>
      </c>
      <c r="L65" s="106" t="s">
        <v>301</v>
      </c>
      <c r="M65">
        <f>M40</f>
        <v>5.5</v>
      </c>
      <c r="N65" t="str">
        <f>N40</f>
        <v>mm</v>
      </c>
      <c r="R65">
        <f>0.625*COS(RADIANS(30))</f>
        <v>0.54126587736527421</v>
      </c>
    </row>
    <row r="66" spans="1:19" x14ac:dyDescent="0.15">
      <c r="L66" s="106" t="s">
        <v>308</v>
      </c>
      <c r="M66" s="123">
        <f>M61-12</f>
        <v>216.97783833534007</v>
      </c>
      <c r="N66" s="106" t="s">
        <v>146</v>
      </c>
      <c r="P66">
        <f>2.25/2</f>
        <v>1.125</v>
      </c>
      <c r="R66">
        <f>0.625*SIN(RADIANS(30))</f>
        <v>0.31249999999999994</v>
      </c>
      <c r="S66" s="123">
        <f>M46+R66</f>
        <v>20.368566668595498</v>
      </c>
    </row>
    <row r="67" spans="1:19" x14ac:dyDescent="0.15">
      <c r="L67" s="106" t="s">
        <v>327</v>
      </c>
      <c r="M67">
        <v>3</v>
      </c>
      <c r="N67" t="s">
        <v>146</v>
      </c>
      <c r="R67" s="6"/>
      <c r="S67">
        <f>M50-0.4*COS(RADIANS(30))</f>
        <v>127.0314281738263</v>
      </c>
    </row>
    <row r="68" spans="1:19" x14ac:dyDescent="0.15">
      <c r="C68" t="s">
        <v>379</v>
      </c>
      <c r="F68" t="s">
        <v>383</v>
      </c>
      <c r="G68" t="s">
        <v>384</v>
      </c>
      <c r="H68" t="s">
        <v>385</v>
      </c>
      <c r="L68" s="106" t="s">
        <v>328</v>
      </c>
      <c r="M68" s="123">
        <f>M43+M67-0.5</f>
        <v>56.75045035430859</v>
      </c>
      <c r="O68" s="123"/>
    </row>
    <row r="69" spans="1:19" x14ac:dyDescent="0.15">
      <c r="E69" t="s">
        <v>380</v>
      </c>
      <c r="F69" s="123">
        <f>M52</f>
        <v>144.16202433592812</v>
      </c>
      <c r="G69" s="123">
        <f>F69+$G$65*0.5</f>
        <v>158.29799333583011</v>
      </c>
      <c r="H69" s="123">
        <f>G69-5</f>
        <v>153.29799333583011</v>
      </c>
      <c r="L69" s="106" t="s">
        <v>329</v>
      </c>
      <c r="M69" s="123">
        <f>M60+M67-0.5</f>
        <v>53.37712958530026</v>
      </c>
      <c r="O69" s="123">
        <f>M60+5-0.5</f>
        <v>55.37712958530026</v>
      </c>
      <c r="P69">
        <v>10.875540000000001</v>
      </c>
      <c r="Q69" s="106" t="s">
        <v>386</v>
      </c>
    </row>
    <row r="70" spans="1:19" x14ac:dyDescent="0.15">
      <c r="E70" t="s">
        <v>381</v>
      </c>
      <c r="F70" s="123">
        <f>F69+G65</f>
        <v>172.4339623357321</v>
      </c>
      <c r="G70" s="123">
        <f>F70+$G$65*0.5</f>
        <v>186.5699313356341</v>
      </c>
      <c r="H70" s="123">
        <f>G70-5</f>
        <v>181.5699313356341</v>
      </c>
      <c r="L70" s="106" t="s">
        <v>356</v>
      </c>
      <c r="M70">
        <f>M101-M83*1.5</f>
        <v>151.09873833534004</v>
      </c>
      <c r="P70">
        <v>11.49241</v>
      </c>
      <c r="R70">
        <f>M70+M73*0.5</f>
        <v>157.65403833534003</v>
      </c>
    </row>
    <row r="71" spans="1:19" x14ac:dyDescent="0.15">
      <c r="B71">
        <v>12.26515</v>
      </c>
      <c r="E71" t="s">
        <v>382</v>
      </c>
      <c r="F71" s="123">
        <f>F70+G65</f>
        <v>200.70590033553609</v>
      </c>
      <c r="G71" s="123">
        <f>F71+$G$65*0.5</f>
        <v>214.84186933543808</v>
      </c>
      <c r="H71" s="123">
        <f>G71-5</f>
        <v>209.84186933543808</v>
      </c>
      <c r="L71" s="106" t="s">
        <v>312</v>
      </c>
      <c r="P71">
        <v>11.54763</v>
      </c>
      <c r="Q71">
        <v>7.5</v>
      </c>
      <c r="R71">
        <f>Q71/Q72</f>
        <v>1.0695202417400953</v>
      </c>
    </row>
    <row r="72" spans="1:19" x14ac:dyDescent="0.15">
      <c r="B72">
        <v>13.532629999999999</v>
      </c>
      <c r="L72" s="106" t="s">
        <v>311</v>
      </c>
      <c r="M72">
        <v>10</v>
      </c>
      <c r="N72" s="106" t="s">
        <v>146</v>
      </c>
      <c r="O72">
        <f>-47.30882</f>
        <v>-47.308819999999997</v>
      </c>
      <c r="P72">
        <f>-54.32131</f>
        <v>-54.321309999999997</v>
      </c>
      <c r="Q72">
        <f>(P72-O72)*-1</f>
        <v>7.0124899999999997</v>
      </c>
      <c r="R72">
        <f>CONVERT(0.339,"in","mm")</f>
        <v>8.6105999999999998</v>
      </c>
      <c r="S72">
        <f>-54.56506--47.06506</f>
        <v>-7.5</v>
      </c>
    </row>
    <row r="73" spans="1:19" ht="15" x14ac:dyDescent="0.2">
      <c r="B73">
        <v>15.16732</v>
      </c>
      <c r="F73" s="266"/>
      <c r="L73" s="106" t="s">
        <v>313</v>
      </c>
      <c r="M73">
        <f>CONVERT(M26,"in","mm")*2+4.5</f>
        <v>13.1106</v>
      </c>
      <c r="N73" s="106" t="s">
        <v>146</v>
      </c>
      <c r="O73">
        <f>M73/2</f>
        <v>6.5552999999999999</v>
      </c>
      <c r="R73">
        <f>R72/2</f>
        <v>4.3052999999999999</v>
      </c>
    </row>
    <row r="74" spans="1:19" ht="15" x14ac:dyDescent="0.2">
      <c r="B74">
        <f>B73-B71</f>
        <v>2.9021699999999999</v>
      </c>
      <c r="E74" s="266"/>
      <c r="L74" s="106" t="s">
        <v>314</v>
      </c>
      <c r="M74">
        <v>3</v>
      </c>
      <c r="N74" s="106" t="s">
        <v>146</v>
      </c>
      <c r="O74">
        <f>M72-M74</f>
        <v>7</v>
      </c>
      <c r="P74">
        <f>O74/2</f>
        <v>3.5</v>
      </c>
      <c r="Q74">
        <f>O74+0.5</f>
        <v>7.5</v>
      </c>
      <c r="R74">
        <f>Q74/2-0.5</f>
        <v>3.25</v>
      </c>
    </row>
    <row r="75" spans="1:19" ht="15" x14ac:dyDescent="0.2">
      <c r="E75" s="266"/>
      <c r="L75" s="106" t="s">
        <v>315</v>
      </c>
      <c r="M75">
        <f>CONVERT((13/32),"in","mm")*0.5</f>
        <v>5.1593749999999998</v>
      </c>
      <c r="N75" s="106" t="s">
        <v>146</v>
      </c>
      <c r="Q75">
        <f>4/3</f>
        <v>1.3333333333333333</v>
      </c>
    </row>
    <row r="76" spans="1:19" ht="15" x14ac:dyDescent="0.2">
      <c r="B76">
        <v>-54.321309999999997</v>
      </c>
      <c r="E76" s="266"/>
      <c r="H76">
        <v>4.8</v>
      </c>
      <c r="I76">
        <v>2.8</v>
      </c>
      <c r="J76">
        <f>I76/H76</f>
        <v>0.58333333333333337</v>
      </c>
      <c r="L76" s="106" t="s">
        <v>316</v>
      </c>
      <c r="M76" s="133">
        <f>CONVERT(M26,"in","mm")/M75</f>
        <v>0.83446153846153848</v>
      </c>
      <c r="O76">
        <f>1/M76</f>
        <v>1.1983775811209438</v>
      </c>
    </row>
    <row r="77" spans="1:19" ht="15" x14ac:dyDescent="0.2">
      <c r="B77">
        <v>-47.308819999999997</v>
      </c>
      <c r="E77" s="266"/>
      <c r="F77" s="266">
        <v>47.326779999999999</v>
      </c>
      <c r="G77" s="266">
        <v>47.819740000000003</v>
      </c>
    </row>
    <row r="78" spans="1:19" x14ac:dyDescent="0.15">
      <c r="B78">
        <f>B76-B77</f>
        <v>-7.0124899999999997</v>
      </c>
      <c r="F78">
        <v>52.104700000000001</v>
      </c>
      <c r="G78">
        <v>51.611739999999998</v>
      </c>
      <c r="L78" s="6" t="s">
        <v>344</v>
      </c>
    </row>
    <row r="79" spans="1:19" ht="15" x14ac:dyDescent="0.2">
      <c r="B79" s="266"/>
      <c r="C79" s="266"/>
      <c r="D79" s="266"/>
      <c r="E79" s="266"/>
      <c r="F79" s="266">
        <f>F78-F77</f>
        <v>4.7779200000000017</v>
      </c>
      <c r="G79" s="266">
        <f>G78-G77</f>
        <v>3.7919999999999945</v>
      </c>
      <c r="H79">
        <f>O34*2</f>
        <v>5.7911999999999999</v>
      </c>
      <c r="I79" t="s">
        <v>83</v>
      </c>
      <c r="L79" s="106" t="s">
        <v>336</v>
      </c>
      <c r="M79" s="123">
        <f>M66-M83-M73</f>
        <v>182.75983833534005</v>
      </c>
      <c r="N79" s="106" t="s">
        <v>146</v>
      </c>
    </row>
    <row r="80" spans="1:19" ht="15" x14ac:dyDescent="0.2">
      <c r="A80" s="266"/>
      <c r="G80">
        <f>G79+1</f>
        <v>4.7919999999999945</v>
      </c>
      <c r="H80">
        <f>G80/G79</f>
        <v>1.2637130801687768</v>
      </c>
      <c r="L80" s="106" t="s">
        <v>337</v>
      </c>
      <c r="M80" s="123">
        <f>M54</f>
        <v>51.62712958530026</v>
      </c>
      <c r="N80" s="106" t="s">
        <v>146</v>
      </c>
      <c r="O80" s="123">
        <f>M80-0.5</f>
        <v>51.12712958530026</v>
      </c>
      <c r="P80" s="123">
        <f>M80+1.5</f>
        <v>53.12712958530026</v>
      </c>
      <c r="Q80" s="106"/>
    </row>
    <row r="81" spans="1:22" ht="15" x14ac:dyDescent="0.2">
      <c r="A81" s="266"/>
      <c r="L81" s="106" t="s">
        <v>334</v>
      </c>
      <c r="M81">
        <f>CONVERT((2.25+0.343*2),"in","mm")</f>
        <v>74.574399999999997</v>
      </c>
      <c r="N81" s="106" t="s">
        <v>146</v>
      </c>
      <c r="O81">
        <f>M81/2</f>
        <v>37.287199999999999</v>
      </c>
      <c r="P81">
        <f>CONVERT((0.343*2),"in","mm")</f>
        <v>17.424399999999999</v>
      </c>
    </row>
    <row r="82" spans="1:22" ht="15" x14ac:dyDescent="0.2">
      <c r="A82" s="266"/>
      <c r="B82">
        <v>-22</v>
      </c>
      <c r="E82">
        <f>13.111/2</f>
        <v>6.5555000000000003</v>
      </c>
      <c r="H82">
        <v>-25.872</v>
      </c>
      <c r="I82">
        <v>15.958780000000001</v>
      </c>
      <c r="J82">
        <v>11.458780000000001</v>
      </c>
      <c r="L82" s="106" t="s">
        <v>335</v>
      </c>
      <c r="M82">
        <f>M86*6</f>
        <v>21.107399999999998</v>
      </c>
      <c r="N82" s="106" t="s">
        <v>146</v>
      </c>
    </row>
    <row r="83" spans="1:22" x14ac:dyDescent="0.15">
      <c r="B83">
        <v>98.984309999999994</v>
      </c>
      <c r="H83">
        <v>-33.664009999999998</v>
      </c>
      <c r="I83">
        <v>13.708780000000001</v>
      </c>
      <c r="J83">
        <v>13.708780000000001</v>
      </c>
      <c r="L83" s="106" t="s">
        <v>332</v>
      </c>
      <c r="M83">
        <f>M86*6</f>
        <v>21.107399999999998</v>
      </c>
      <c r="N83" s="106" t="s">
        <v>146</v>
      </c>
      <c r="O83" s="123">
        <f>M79-M83*0.5-1.5</f>
        <v>170.70613833534006</v>
      </c>
      <c r="P83">
        <f>M79+M83*0.5+1.5</f>
        <v>194.81353833534004</v>
      </c>
      <c r="V83" s="123">
        <f>2.381+M61</f>
        <v>231.35883833534007</v>
      </c>
    </row>
    <row r="84" spans="1:22" x14ac:dyDescent="0.15">
      <c r="B84">
        <v>-22.124669999999998</v>
      </c>
      <c r="H84">
        <f>H83-H82</f>
        <v>-7.7920099999999977</v>
      </c>
      <c r="I84">
        <f>I82-I83</f>
        <v>2.25</v>
      </c>
      <c r="J84">
        <f>J82-J83</f>
        <v>-2.25</v>
      </c>
      <c r="L84" s="106" t="s">
        <v>333</v>
      </c>
      <c r="M84">
        <f>CONVERT((1+0.343*2),"in","mm")</f>
        <v>42.824399999999997</v>
      </c>
      <c r="N84" s="106" t="s">
        <v>146</v>
      </c>
      <c r="O84">
        <f>M84/2</f>
        <v>21.412199999999999</v>
      </c>
      <c r="P84">
        <f>79.16585+O84-0.25*M83</f>
        <v>95.301200000000009</v>
      </c>
      <c r="Q84">
        <f>68.61215-O84+0.25*M83</f>
        <v>52.476799999999997</v>
      </c>
      <c r="R84">
        <f>P84-O84+0.25*M83</f>
        <v>79.165850000000006</v>
      </c>
    </row>
    <row r="85" spans="1:22" x14ac:dyDescent="0.15">
      <c r="L85" s="106" t="s">
        <v>311</v>
      </c>
      <c r="M85" s="193">
        <v>3</v>
      </c>
      <c r="N85" s="106" t="s">
        <v>146</v>
      </c>
      <c r="O85" s="123">
        <f>M80+M85/2</f>
        <v>53.12712958530026</v>
      </c>
    </row>
    <row r="86" spans="1:22" x14ac:dyDescent="0.15">
      <c r="L86" s="106" t="s">
        <v>330</v>
      </c>
      <c r="M86">
        <f>CONVERT(0.277,"in","mm")/2</f>
        <v>3.5179</v>
      </c>
      <c r="N86" s="106" t="s">
        <v>146</v>
      </c>
    </row>
    <row r="87" spans="1:22" x14ac:dyDescent="0.15">
      <c r="L87" s="106" t="s">
        <v>331</v>
      </c>
      <c r="M87" s="193">
        <f>M85+2</f>
        <v>5</v>
      </c>
      <c r="N87" s="106" t="s">
        <v>146</v>
      </c>
      <c r="P87">
        <f>1</f>
        <v>1</v>
      </c>
    </row>
    <row r="88" spans="1:22" x14ac:dyDescent="0.15">
      <c r="G88" s="282">
        <v>0.33900000000000002</v>
      </c>
      <c r="H88">
        <f>CONVERT((10.5-3),"mm","in")</f>
        <v>0.29527559055118108</v>
      </c>
      <c r="I88">
        <v>0.33900000000000002</v>
      </c>
      <c r="J88">
        <f>CONVERT((I88-H88),"in","mm")</f>
        <v>1.1106000000000014</v>
      </c>
      <c r="L88" s="106" t="s">
        <v>343</v>
      </c>
      <c r="M88" s="123">
        <f>M79-M86*2+2</f>
        <v>177.72403833534005</v>
      </c>
      <c r="P88">
        <f>3/1.4</f>
        <v>2.1428571428571428</v>
      </c>
    </row>
    <row r="89" spans="1:22" x14ac:dyDescent="0.15">
      <c r="H89">
        <f>10.5-3</f>
        <v>7.5</v>
      </c>
      <c r="J89">
        <f>I88/H88</f>
        <v>1.1480800000000002</v>
      </c>
      <c r="L89" s="106" t="s">
        <v>342</v>
      </c>
      <c r="M89">
        <f>M86*2-2</f>
        <v>5.0358000000000001</v>
      </c>
    </row>
    <row r="90" spans="1:22" x14ac:dyDescent="0.15">
      <c r="H90">
        <f>H89/2</f>
        <v>3.75</v>
      </c>
      <c r="L90" s="106" t="s">
        <v>338</v>
      </c>
      <c r="M90" s="123">
        <f>M79+M86*2-2</f>
        <v>187.79563833534004</v>
      </c>
      <c r="S90" s="6" t="s">
        <v>347</v>
      </c>
      <c r="T90">
        <f>0.343*2+2.25</f>
        <v>2.9359999999999999</v>
      </c>
      <c r="U90">
        <f>CONVERT(T90,"in","mm")</f>
        <v>74.574399999999997</v>
      </c>
    </row>
    <row r="91" spans="1:22" x14ac:dyDescent="0.15">
      <c r="L91" s="106" t="s">
        <v>341</v>
      </c>
      <c r="M91">
        <v>0</v>
      </c>
      <c r="S91" s="6" t="s">
        <v>346</v>
      </c>
      <c r="T91">
        <f>0.343*2+1</f>
        <v>1.6859999999999999</v>
      </c>
      <c r="U91">
        <f>CONVERT(T91,"in","mm")</f>
        <v>42.824399999999997</v>
      </c>
      <c r="V91">
        <f>U91/2</f>
        <v>21.412199999999999</v>
      </c>
    </row>
    <row r="92" spans="1:22" x14ac:dyDescent="0.15">
      <c r="L92" s="106" t="s">
        <v>339</v>
      </c>
      <c r="M92">
        <f>M79-M86*2+2</f>
        <v>177.72403833534005</v>
      </c>
    </row>
    <row r="93" spans="1:22" x14ac:dyDescent="0.15">
      <c r="L93" s="106" t="s">
        <v>340</v>
      </c>
      <c r="M93">
        <f>(M86*2-2)*-1</f>
        <v>-5.0358000000000001</v>
      </c>
    </row>
    <row r="94" spans="1:22" x14ac:dyDescent="0.15">
      <c r="L94" s="106" t="s">
        <v>352</v>
      </c>
      <c r="M94">
        <f>CONVERT((0.343*2),"in","mm")</f>
        <v>17.424399999999999</v>
      </c>
      <c r="O94">
        <f>O81-M94*0.5</f>
        <v>28.574999999999999</v>
      </c>
    </row>
    <row r="95" spans="1:22" x14ac:dyDescent="0.15">
      <c r="L95" s="106" t="s">
        <v>351</v>
      </c>
      <c r="M95">
        <f>M86</f>
        <v>3.5179</v>
      </c>
      <c r="S95">
        <f>CONVERT(2.25,"in","mm")</f>
        <v>57.15</v>
      </c>
    </row>
    <row r="96" spans="1:22" x14ac:dyDescent="0.15">
      <c r="L96" s="106" t="s">
        <v>349</v>
      </c>
      <c r="M96" s="123">
        <f>M79+0.5*CONVERT(1,"in","mm")</f>
        <v>195.45983833534004</v>
      </c>
    </row>
    <row r="97" spans="6:19" x14ac:dyDescent="0.15">
      <c r="L97" s="106" t="s">
        <v>348</v>
      </c>
      <c r="M97">
        <f>M79-0.5*CONVERT(1,"in","mm")</f>
        <v>170.05983833534006</v>
      </c>
      <c r="S97">
        <f>M97+CONVERT(1,"in","mm")</f>
        <v>195.45983833534007</v>
      </c>
    </row>
    <row r="98" spans="6:19" x14ac:dyDescent="0.15">
      <c r="L98" s="106" t="s">
        <v>350</v>
      </c>
      <c r="M98">
        <f>O81-CONVERT(0.343,"in","mm")</f>
        <v>28.574999999999999</v>
      </c>
    </row>
    <row r="100" spans="6:19" x14ac:dyDescent="0.15">
      <c r="L100" s="6" t="s">
        <v>345</v>
      </c>
    </row>
    <row r="101" spans="6:19" x14ac:dyDescent="0.15">
      <c r="L101" t="str">
        <f t="shared" ref="L101:N102" si="0">L79</f>
        <v>Bracket center point height from base =</v>
      </c>
      <c r="M101">
        <f t="shared" si="0"/>
        <v>182.75983833534005</v>
      </c>
      <c r="N101" t="str">
        <f t="shared" si="0"/>
        <v>mm</v>
      </c>
    </row>
    <row r="102" spans="6:19" x14ac:dyDescent="0.15">
      <c r="L102" t="str">
        <f t="shared" si="0"/>
        <v>Bracket distance from center =</v>
      </c>
      <c r="M102">
        <f t="shared" si="0"/>
        <v>51.62712958530026</v>
      </c>
      <c r="N102" t="str">
        <f t="shared" si="0"/>
        <v>mm</v>
      </c>
      <c r="O102">
        <f>M102+O105</f>
        <v>52.643129585300258</v>
      </c>
    </row>
    <row r="103" spans="6:19" x14ac:dyDescent="0.15">
      <c r="L103" s="106" t="s">
        <v>353</v>
      </c>
      <c r="M103">
        <f>CONVERT((1/2),"in","mm")</f>
        <v>12.7</v>
      </c>
    </row>
    <row r="104" spans="6:19" x14ac:dyDescent="0.15">
      <c r="L104" s="106" t="s">
        <v>354</v>
      </c>
      <c r="M104">
        <f>CONVERT((5/16),"in","mm")</f>
        <v>7.9375</v>
      </c>
      <c r="N104" s="106" t="s">
        <v>146</v>
      </c>
    </row>
    <row r="105" spans="6:19" x14ac:dyDescent="0.15">
      <c r="L105" s="106" t="s">
        <v>355</v>
      </c>
      <c r="M105">
        <f>CONVERT(0.08,"in","mm")</f>
        <v>2.032</v>
      </c>
      <c r="N105" s="106" t="s">
        <v>146</v>
      </c>
      <c r="O105">
        <f>M105/2</f>
        <v>1.016</v>
      </c>
    </row>
    <row r="107" spans="6:19" x14ac:dyDescent="0.15">
      <c r="F107">
        <f>18.80891-16.80891</f>
        <v>2</v>
      </c>
    </row>
    <row r="108" spans="6:19" x14ac:dyDescent="0.15">
      <c r="P108">
        <v>9.5081299999999995</v>
      </c>
    </row>
    <row r="110" spans="6:19" x14ac:dyDescent="0.15">
      <c r="P110">
        <v>11.9651</v>
      </c>
    </row>
    <row r="112" spans="6:19" x14ac:dyDescent="0.15">
      <c r="P112">
        <f>P110-P108</f>
        <v>2.4569700000000001</v>
      </c>
    </row>
    <row r="120" spans="12:19" x14ac:dyDescent="0.15">
      <c r="M120" s="129"/>
      <c r="Q120">
        <f>0.138-0.0997</f>
        <v>3.8300000000000015E-2</v>
      </c>
      <c r="R120">
        <f>0.138-0.1065</f>
        <v>3.1500000000000014E-2</v>
      </c>
      <c r="S120">
        <f>R120/Q120</f>
        <v>0.82245430809399478</v>
      </c>
    </row>
    <row r="121" spans="12:19" x14ac:dyDescent="0.15">
      <c r="Q121">
        <f>0.138-0.0997</f>
        <v>3.8300000000000015E-2</v>
      </c>
      <c r="R121">
        <f>0.138-0.116</f>
        <v>2.2000000000000006E-2</v>
      </c>
      <c r="S121">
        <f>R121/Q121</f>
        <v>0.5744125326370757</v>
      </c>
    </row>
    <row r="124" spans="12:19" x14ac:dyDescent="0.15">
      <c r="M124" s="129"/>
    </row>
    <row r="125" spans="12:19" x14ac:dyDescent="0.15">
      <c r="L125" s="6" t="s">
        <v>406</v>
      </c>
      <c r="M125">
        <f>(M126-M127)*0.5</f>
        <v>0.70104000000000011</v>
      </c>
    </row>
    <row r="126" spans="12:19" x14ac:dyDescent="0.15">
      <c r="L126" s="106" t="s">
        <v>409</v>
      </c>
      <c r="M126">
        <f>CONVERT(0.138,"in","mm")</f>
        <v>3.5051999999999999</v>
      </c>
      <c r="N126" t="s">
        <v>146</v>
      </c>
      <c r="O126">
        <f>M126/2</f>
        <v>1.7525999999999999</v>
      </c>
      <c r="Q126">
        <f>CONVERT((0.113-Q127),"in","mm")</f>
        <v>0.76708000000000054</v>
      </c>
    </row>
    <row r="127" spans="12:19" x14ac:dyDescent="0.15">
      <c r="L127" t="s">
        <v>400</v>
      </c>
      <c r="M127">
        <f>0.6*M126</f>
        <v>2.1031199999999997</v>
      </c>
      <c r="N127" t="s">
        <v>146</v>
      </c>
      <c r="O127">
        <f>M127/2</f>
        <v>1.0515599999999998</v>
      </c>
      <c r="P127">
        <f>M126/M127</f>
        <v>1.666666666666667</v>
      </c>
      <c r="Q127">
        <f>CONVERT(M127,"mm","in")</f>
        <v>8.2799999999999985E-2</v>
      </c>
      <c r="R127">
        <f>CONVERT(0.113,"in","mm")</f>
        <v>2.8701999999999996</v>
      </c>
      <c r="S127">
        <f>R127-M127</f>
        <v>0.76707999999999998</v>
      </c>
    </row>
    <row r="128" spans="12:19" x14ac:dyDescent="0.15">
      <c r="L128" t="s">
        <v>402</v>
      </c>
      <c r="M128" s="123">
        <f>($M$41+CONVERT(VesselCharacteristics!$I$23,"in","mm")+M126*0.5)-(1*TAN(RADIANS(20)))+0.5</f>
        <v>57.112800678413564</v>
      </c>
      <c r="N128" t="s">
        <v>146</v>
      </c>
      <c r="O128" s="133"/>
    </row>
    <row r="129" spans="12:19" x14ac:dyDescent="0.15">
      <c r="L129" t="s">
        <v>399</v>
      </c>
      <c r="M129" s="129">
        <f>CONVERT((1/4),"in","mm")</f>
        <v>6.35</v>
      </c>
      <c r="N129" t="s">
        <v>146</v>
      </c>
      <c r="O129" s="133">
        <f>M61-1-M129</f>
        <v>221.62783833534007</v>
      </c>
    </row>
    <row r="130" spans="12:19" x14ac:dyDescent="0.15">
      <c r="L130" t="s">
        <v>404</v>
      </c>
      <c r="M130" s="123">
        <f>COS(RADIANS(20))*M129</f>
        <v>5.9670481419905181</v>
      </c>
      <c r="N130" t="s">
        <v>146</v>
      </c>
    </row>
    <row r="131" spans="12:19" x14ac:dyDescent="0.15">
      <c r="L131" t="s">
        <v>405</v>
      </c>
      <c r="M131" s="123">
        <f>M128-SIN(RADIANS(20))*$M$129</f>
        <v>54.940972768295566</v>
      </c>
      <c r="N131" t="s">
        <v>146</v>
      </c>
    </row>
    <row r="132" spans="12:19" x14ac:dyDescent="0.15">
      <c r="L132" t="s">
        <v>401</v>
      </c>
      <c r="M132">
        <f>M126+2</f>
        <v>5.5052000000000003</v>
      </c>
      <c r="N132" t="s">
        <v>146</v>
      </c>
      <c r="O132">
        <f>M132/2</f>
        <v>2.7526000000000002</v>
      </c>
    </row>
    <row r="133" spans="12:19" x14ac:dyDescent="0.15">
      <c r="L133" t="s">
        <v>403</v>
      </c>
      <c r="M133" s="123">
        <f>($M$41+CONVERT(VesselCharacteristics!$I$23,"in","mm")+M132*0.5)</f>
        <v>57.976770912679768</v>
      </c>
      <c r="N133" t="s">
        <v>146</v>
      </c>
    </row>
    <row r="134" spans="12:19" x14ac:dyDescent="0.15">
      <c r="L134" t="s">
        <v>404</v>
      </c>
      <c r="M134" s="123">
        <f>COS(RADIANS(20))*(M129+2)</f>
        <v>7.846433383562335</v>
      </c>
      <c r="N134" t="s">
        <v>146</v>
      </c>
    </row>
    <row r="135" spans="12:19" x14ac:dyDescent="0.15">
      <c r="L135" t="s">
        <v>405</v>
      </c>
      <c r="M135" s="123">
        <f>M133-SIN(RADIANS(20))*($M$129+2)</f>
        <v>55.120902715910432</v>
      </c>
      <c r="N135" t="s">
        <v>146</v>
      </c>
    </row>
    <row r="136" spans="12:19" x14ac:dyDescent="0.15">
      <c r="L136" s="106" t="s">
        <v>407</v>
      </c>
      <c r="M136" s="123">
        <f>($M$53+CONVERT(VesselCharacteristics!$I$23,"in","mm")+M126*0.5)</f>
        <v>52.129729585300261</v>
      </c>
      <c r="N136" s="106" t="s">
        <v>408</v>
      </c>
    </row>
    <row r="137" spans="12:19" x14ac:dyDescent="0.15">
      <c r="L137" s="106" t="s">
        <v>410</v>
      </c>
      <c r="M137">
        <f>CONVERT(0.294,"in","mm")+0.4</f>
        <v>7.8676000000000004</v>
      </c>
      <c r="N137" s="106" t="s">
        <v>146</v>
      </c>
      <c r="O137">
        <f>M137/2</f>
        <v>3.9338000000000002</v>
      </c>
      <c r="P137">
        <f>22.77897-19.27377</f>
        <v>3.5052000000000021</v>
      </c>
      <c r="Q137">
        <f>M137/P137</f>
        <v>2.2445509528700205</v>
      </c>
    </row>
    <row r="138" spans="12:19" x14ac:dyDescent="0.15">
      <c r="L138" s="106" t="s">
        <v>411</v>
      </c>
      <c r="M138">
        <f>CONVERT(0.097,"in","mm")+0.35</f>
        <v>2.8138000000000001</v>
      </c>
      <c r="N138" s="106" t="s">
        <v>146</v>
      </c>
      <c r="O138">
        <f>M138/2</f>
        <v>1.4069</v>
      </c>
      <c r="P138">
        <f>116.107-M138-0.35</f>
        <v>112.9432</v>
      </c>
      <c r="Q138">
        <f>P138-M129</f>
        <v>106.59320000000001</v>
      </c>
    </row>
    <row r="140" spans="12:19" x14ac:dyDescent="0.15">
      <c r="M140">
        <f>M136+M137*0.2</f>
        <v>53.703249585300263</v>
      </c>
      <c r="N140">
        <f>M136-M137*0.5</f>
        <v>48.195929585300263</v>
      </c>
    </row>
    <row r="141" spans="12:19" x14ac:dyDescent="0.15">
      <c r="L141">
        <f>M137/M127</f>
        <v>3.7409182547833701</v>
      </c>
    </row>
    <row r="143" spans="12:19" x14ac:dyDescent="0.15">
      <c r="L143">
        <f>17.5</f>
        <v>17.5</v>
      </c>
      <c r="M143">
        <f>CONVERT(0.07,"in","mm")</f>
        <v>1.778</v>
      </c>
      <c r="N143">
        <f>L143-M143</f>
        <v>15.722</v>
      </c>
      <c r="P143">
        <f>17.5049-14.21109</f>
        <v>3.2938099999999988</v>
      </c>
      <c r="Q143">
        <f>M137/P143</f>
        <v>2.3886016497612199</v>
      </c>
      <c r="S143">
        <f>24.96017-17.09258</f>
        <v>7.8675899999999999</v>
      </c>
    </row>
    <row r="144" spans="12:19" x14ac:dyDescent="0.15">
      <c r="M144">
        <f>M61-M143*0.75</f>
        <v>227.64433833534008</v>
      </c>
      <c r="P144">
        <f>CONVERT((22.05773-19.97482),"mm","in")</f>
        <v>8.2004330708661338E-2</v>
      </c>
      <c r="S144">
        <f>116.108-113.29319</f>
        <v>2.8148100000000085</v>
      </c>
    </row>
    <row r="145" spans="12:20" x14ac:dyDescent="0.15">
      <c r="M145">
        <f>17-13.99137</f>
        <v>3.0086300000000001</v>
      </c>
      <c r="N145">
        <f>22.07793-19.97482</f>
        <v>2.1031099999999974</v>
      </c>
      <c r="O145" s="106">
        <f>CONVERT(0.1065,"in","mm")</f>
        <v>2.7051000000000003</v>
      </c>
      <c r="S145">
        <f>113.10802-105.91989</f>
        <v>7.188130000000001</v>
      </c>
    </row>
    <row r="146" spans="12:20" x14ac:dyDescent="0.15">
      <c r="L146">
        <f>15.1594-13.18312</f>
        <v>1.9762799999999991</v>
      </c>
      <c r="O146">
        <f>O145/N145</f>
        <v>1.2862379999144142</v>
      </c>
      <c r="S146">
        <f>22.07793-19.97482+1.25*2</f>
        <v>4.6031099999999974</v>
      </c>
    </row>
    <row r="147" spans="12:20" x14ac:dyDescent="0.15">
      <c r="L147">
        <f>16.48172-13.18791</f>
        <v>3.2938099999999988</v>
      </c>
      <c r="M147">
        <f>23.07-21.33946</f>
        <v>1.7305400000000013</v>
      </c>
      <c r="O147">
        <f>O145-N145</f>
        <v>0.60199000000000291</v>
      </c>
      <c r="S147">
        <f>107.85703-100.35703</f>
        <v>7.5</v>
      </c>
      <c r="T147">
        <f>S147/2</f>
        <v>3.75</v>
      </c>
    </row>
    <row r="148" spans="12:20" x14ac:dyDescent="0.15">
      <c r="S148">
        <f>CONVERT(M26,"in","mm")</f>
        <v>4.3052999999999999</v>
      </c>
    </row>
    <row r="149" spans="12:20" x14ac:dyDescent="0.15">
      <c r="N149">
        <f>24.96017-17.09258</f>
        <v>7.8675899999999999</v>
      </c>
      <c r="S149">
        <f>1.191+1.474+0.6</f>
        <v>3.2650000000000001</v>
      </c>
    </row>
    <row r="150" spans="12:20" x14ac:dyDescent="0.15">
      <c r="N150">
        <f>116.108-113.29319</f>
        <v>2.8148100000000085</v>
      </c>
      <c r="S150">
        <f>1.191+2.6+0.6</f>
        <v>4.391</v>
      </c>
    </row>
    <row r="152" spans="12:20" x14ac:dyDescent="0.15">
      <c r="S152">
        <f>2.4+3.054*0.5</f>
        <v>3.9269999999999996</v>
      </c>
    </row>
    <row r="153" spans="12:20" x14ac:dyDescent="0.15">
      <c r="N153">
        <f>CONVERT(0.07,"in","mm")</f>
        <v>1.778</v>
      </c>
    </row>
  </sheetData>
  <mergeCells count="2">
    <mergeCell ref="B11:C11"/>
    <mergeCell ref="F11:H11"/>
  </mergeCells>
  <pageMargins left="0.25" right="0.25" top="0.75" bottom="0.75" header="0.3" footer="0.3"/>
  <pageSetup scale="37"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AZ115"/>
  <sheetViews>
    <sheetView zoomScaleNormal="100" workbookViewId="0">
      <selection activeCell="C63" sqref="C63"/>
    </sheetView>
  </sheetViews>
  <sheetFormatPr baseColWidth="10" defaultColWidth="8.83203125" defaultRowHeight="13" x14ac:dyDescent="0.15"/>
  <cols>
    <col min="2" max="2" width="10.33203125" customWidth="1"/>
    <col min="3" max="3" width="10.6640625" customWidth="1"/>
    <col min="5" max="5" width="11" customWidth="1"/>
    <col min="6" max="6" width="8.83203125" customWidth="1"/>
    <col min="7" max="7" width="11.33203125" customWidth="1"/>
    <col min="8" max="8" width="11.83203125" customWidth="1"/>
    <col min="10" max="10" width="22.83203125" bestFit="1" customWidth="1"/>
    <col min="11" max="11" width="12.5" customWidth="1"/>
    <col min="13" max="13" width="12.5" customWidth="1"/>
    <col min="43" max="43" width="31.1640625" customWidth="1"/>
    <col min="44" max="44" width="15.5" bestFit="1" customWidth="1"/>
    <col min="45" max="45" width="88.1640625" style="267" customWidth="1"/>
    <col min="46" max="46" width="16.5" customWidth="1"/>
    <col min="47" max="47" width="11.5" bestFit="1" customWidth="1"/>
    <col min="48" max="48" width="13.1640625" bestFit="1" customWidth="1"/>
    <col min="49" max="49" width="9.6640625" bestFit="1" customWidth="1"/>
    <col min="50" max="50" width="11" bestFit="1" customWidth="1"/>
    <col min="52" max="52" width="10.6640625" bestFit="1" customWidth="1"/>
  </cols>
  <sheetData>
    <row r="2" spans="37:52" ht="15" x14ac:dyDescent="0.2">
      <c r="AV2" s="268"/>
      <c r="AX2" s="268"/>
      <c r="AZ2" s="268"/>
    </row>
    <row r="3" spans="37:52" ht="15" x14ac:dyDescent="0.2">
      <c r="AW3" s="300"/>
      <c r="AX3" s="300"/>
      <c r="AY3" s="300"/>
      <c r="AZ3" s="300"/>
    </row>
    <row r="4" spans="37:52" ht="15" x14ac:dyDescent="0.2">
      <c r="AQ4" s="266"/>
      <c r="AR4" s="266"/>
      <c r="AS4" s="269"/>
      <c r="AT4" s="266"/>
      <c r="AU4" s="266"/>
      <c r="AV4" s="266"/>
      <c r="AW4" s="266"/>
      <c r="AX4" s="266"/>
      <c r="AY4" s="266"/>
      <c r="AZ4" s="266"/>
    </row>
    <row r="5" spans="37:52" x14ac:dyDescent="0.15">
      <c r="AT5" s="270"/>
      <c r="AV5" s="270"/>
      <c r="AX5" s="270"/>
      <c r="AZ5" s="270"/>
    </row>
    <row r="6" spans="37:52" x14ac:dyDescent="0.15">
      <c r="AT6" s="270"/>
      <c r="AV6" s="270"/>
      <c r="AX6" s="270"/>
      <c r="AZ6" s="270"/>
    </row>
    <row r="7" spans="37:52" x14ac:dyDescent="0.15">
      <c r="AQ7" s="271"/>
      <c r="AT7" s="270"/>
      <c r="AV7" s="270"/>
      <c r="AX7" s="270"/>
      <c r="AZ7" s="270"/>
    </row>
    <row r="8" spans="37:52" x14ac:dyDescent="0.15">
      <c r="AT8" s="270"/>
      <c r="AV8" s="270"/>
      <c r="AX8" s="270"/>
      <c r="AZ8" s="270"/>
    </row>
    <row r="9" spans="37:52" x14ac:dyDescent="0.15">
      <c r="AK9" t="s">
        <v>357</v>
      </c>
      <c r="AT9" s="270"/>
      <c r="AV9" s="270"/>
      <c r="AX9" s="270"/>
      <c r="AZ9" s="270"/>
    </row>
    <row r="10" spans="37:52" x14ac:dyDescent="0.15">
      <c r="AT10" s="270"/>
      <c r="AV10" s="270"/>
      <c r="AX10" s="270"/>
      <c r="AZ10" s="270"/>
    </row>
    <row r="11" spans="37:52" x14ac:dyDescent="0.15">
      <c r="AK11" t="s">
        <v>358</v>
      </c>
      <c r="AT11" s="270"/>
      <c r="AV11" s="270"/>
      <c r="AX11" s="270"/>
      <c r="AZ11" s="270"/>
    </row>
    <row r="12" spans="37:52" x14ac:dyDescent="0.15">
      <c r="AT12" s="270"/>
      <c r="AV12" s="270"/>
      <c r="AX12" s="270"/>
      <c r="AZ12" s="270"/>
    </row>
    <row r="13" spans="37:52" x14ac:dyDescent="0.15">
      <c r="AK13" t="s">
        <v>359</v>
      </c>
      <c r="AT13" s="270"/>
      <c r="AV13" s="270"/>
      <c r="AX13" s="270"/>
      <c r="AZ13" s="270"/>
    </row>
    <row r="14" spans="37:52" x14ac:dyDescent="0.15">
      <c r="AT14" s="270"/>
      <c r="AV14" s="270"/>
      <c r="AX14" s="270"/>
      <c r="AZ14" s="270"/>
    </row>
    <row r="15" spans="37:52" x14ac:dyDescent="0.15">
      <c r="AK15" t="s">
        <v>360</v>
      </c>
      <c r="AT15" s="270"/>
      <c r="AV15" s="270"/>
      <c r="AX15" s="270"/>
      <c r="AZ15" s="270"/>
    </row>
    <row r="16" spans="37:52" x14ac:dyDescent="0.15">
      <c r="AT16" s="270"/>
      <c r="AV16" s="270"/>
      <c r="AX16" s="270"/>
      <c r="AZ16" s="270"/>
    </row>
    <row r="17" spans="37:52" x14ac:dyDescent="0.15">
      <c r="AT17" s="270"/>
      <c r="AV17" s="270"/>
      <c r="AX17" s="270"/>
      <c r="AZ17" s="270"/>
    </row>
    <row r="18" spans="37:52" x14ac:dyDescent="0.15">
      <c r="AK18" s="106" t="s">
        <v>375</v>
      </c>
      <c r="AT18" s="270"/>
      <c r="AV18" s="270"/>
      <c r="AX18" s="270"/>
      <c r="AZ18" s="270"/>
    </row>
    <row r="19" spans="37:52" x14ac:dyDescent="0.15">
      <c r="AK19" s="106"/>
      <c r="AT19" s="270"/>
      <c r="AV19" s="270"/>
      <c r="AX19" s="270"/>
      <c r="AZ19" s="270"/>
    </row>
    <row r="20" spans="37:52" x14ac:dyDescent="0.15">
      <c r="AK20" t="s">
        <v>361</v>
      </c>
      <c r="AT20" s="270"/>
      <c r="AV20" s="270"/>
      <c r="AX20" s="270"/>
      <c r="AZ20" s="270"/>
    </row>
    <row r="21" spans="37:52" x14ac:dyDescent="0.15">
      <c r="AT21" s="270"/>
      <c r="AV21" s="270"/>
      <c r="AX21" s="270"/>
      <c r="AZ21" s="270"/>
    </row>
    <row r="22" spans="37:52" x14ac:dyDescent="0.15">
      <c r="AK22" t="s">
        <v>362</v>
      </c>
      <c r="AT22" s="270"/>
      <c r="AV22" s="270"/>
    </row>
    <row r="23" spans="37:52" x14ac:dyDescent="0.15">
      <c r="AT23" s="270"/>
      <c r="AV23" s="270"/>
    </row>
    <row r="24" spans="37:52" x14ac:dyDescent="0.15">
      <c r="AK24" t="s">
        <v>363</v>
      </c>
      <c r="AT24" s="270"/>
      <c r="AV24" s="270"/>
    </row>
    <row r="25" spans="37:52" x14ac:dyDescent="0.15">
      <c r="AT25" s="270"/>
      <c r="AV25" s="270"/>
    </row>
    <row r="26" spans="37:52" x14ac:dyDescent="0.15">
      <c r="AK26" t="s">
        <v>364</v>
      </c>
      <c r="AT26" s="270"/>
      <c r="AV26" s="270"/>
    </row>
    <row r="27" spans="37:52" x14ac:dyDescent="0.15">
      <c r="AT27" s="270"/>
      <c r="AV27" s="270"/>
    </row>
    <row r="28" spans="37:52" x14ac:dyDescent="0.15">
      <c r="AK28" t="s">
        <v>365</v>
      </c>
    </row>
    <row r="30" spans="37:52" x14ac:dyDescent="0.15">
      <c r="AK30" t="s">
        <v>366</v>
      </c>
    </row>
    <row r="32" spans="37:52" x14ac:dyDescent="0.15">
      <c r="AK32" t="s">
        <v>367</v>
      </c>
    </row>
    <row r="33" spans="37:37" customFormat="1" x14ac:dyDescent="0.15"/>
    <row r="34" spans="37:37" x14ac:dyDescent="0.15">
      <c r="AK34" t="s">
        <v>368</v>
      </c>
    </row>
    <row r="35" spans="37:37" customFormat="1" x14ac:dyDescent="0.15"/>
    <row r="36" spans="37:37" x14ac:dyDescent="0.15">
      <c r="AK36" s="106" t="s">
        <v>376</v>
      </c>
    </row>
    <row r="37" spans="37:37" customFormat="1" x14ac:dyDescent="0.15"/>
    <row r="38" spans="37:37" x14ac:dyDescent="0.15">
      <c r="AK38" t="s">
        <v>369</v>
      </c>
    </row>
    <row r="39" spans="37:37" customFormat="1" x14ac:dyDescent="0.15"/>
    <row r="40" spans="37:37" x14ac:dyDescent="0.15">
      <c r="AK40" t="s">
        <v>370</v>
      </c>
    </row>
    <row r="41" spans="37:37" customFormat="1" x14ac:dyDescent="0.15"/>
    <row r="42" spans="37:37" x14ac:dyDescent="0.15">
      <c r="AK42" t="s">
        <v>371</v>
      </c>
    </row>
    <row r="43" spans="37:37" customFormat="1" x14ac:dyDescent="0.15"/>
    <row r="44" spans="37:37" x14ac:dyDescent="0.15">
      <c r="AK44" t="s">
        <v>372</v>
      </c>
    </row>
    <row r="46" spans="37:37" x14ac:dyDescent="0.15">
      <c r="AK46" t="s">
        <v>373</v>
      </c>
    </row>
    <row r="48" spans="37:37" x14ac:dyDescent="0.15">
      <c r="AK48" t="s">
        <v>374</v>
      </c>
    </row>
    <row r="68" spans="2:39" s="1" customFormat="1" x14ac:dyDescent="0.15">
      <c r="AH68"/>
      <c r="AI68"/>
      <c r="AJ68"/>
      <c r="AK68"/>
      <c r="AL68"/>
      <c r="AM68"/>
    </row>
    <row r="69" spans="2:39" s="1" customFormat="1" ht="15" x14ac:dyDescent="0.2">
      <c r="B69" s="272"/>
      <c r="C69" s="272"/>
      <c r="D69" s="272"/>
      <c r="E69" s="272"/>
      <c r="F69" s="272"/>
      <c r="G69" s="272"/>
      <c r="H69" s="272"/>
      <c r="I69" s="272"/>
      <c r="J69" s="272"/>
      <c r="L69" s="272"/>
      <c r="M69" s="272"/>
      <c r="N69" s="16"/>
      <c r="O69" s="16"/>
      <c r="P69" s="16"/>
      <c r="Q69" s="16"/>
      <c r="R69" s="16"/>
      <c r="S69" s="16"/>
      <c r="T69" s="16"/>
      <c r="U69" s="16"/>
      <c r="V69" s="16"/>
      <c r="W69" s="16"/>
      <c r="X69" s="16"/>
      <c r="Y69" s="16"/>
      <c r="Z69" s="16"/>
      <c r="AA69" s="16"/>
      <c r="AB69" s="16"/>
      <c r="AC69" s="16"/>
      <c r="AD69" s="16"/>
      <c r="AE69" s="16"/>
      <c r="AF69" s="16"/>
      <c r="AG69" s="16"/>
      <c r="AI69"/>
      <c r="AJ69"/>
      <c r="AK69"/>
      <c r="AL69"/>
    </row>
    <row r="70" spans="2:39" s="1" customFormat="1" x14ac:dyDescent="0.15">
      <c r="B70" s="274"/>
      <c r="D70" s="273"/>
      <c r="L70" s="275"/>
      <c r="AH70" s="16"/>
      <c r="AI70"/>
      <c r="AJ70"/>
      <c r="AK70"/>
      <c r="AL70"/>
    </row>
    <row r="71" spans="2:39" s="1" customFormat="1" x14ac:dyDescent="0.15">
      <c r="D71" s="273"/>
      <c r="AI71"/>
      <c r="AJ71"/>
      <c r="AK71"/>
    </row>
    <row r="72" spans="2:39" s="1" customFormat="1" x14ac:dyDescent="0.15">
      <c r="B72" s="274"/>
      <c r="D72" s="273"/>
      <c r="AI72"/>
      <c r="AJ72"/>
      <c r="AK72"/>
    </row>
    <row r="73" spans="2:39" s="1" customFormat="1" x14ac:dyDescent="0.15">
      <c r="D73" s="273"/>
    </row>
    <row r="74" spans="2:39" s="1" customFormat="1" x14ac:dyDescent="0.15">
      <c r="B74" s="274"/>
      <c r="D74" s="273"/>
    </row>
    <row r="75" spans="2:39" s="1" customFormat="1" x14ac:dyDescent="0.15">
      <c r="D75" s="273"/>
    </row>
    <row r="76" spans="2:39" s="1" customFormat="1" x14ac:dyDescent="0.15">
      <c r="B76" s="274"/>
      <c r="D76" s="273"/>
      <c r="L76" s="274"/>
    </row>
    <row r="77" spans="2:39" s="1" customFormat="1" x14ac:dyDescent="0.15">
      <c r="D77" s="273"/>
    </row>
    <row r="78" spans="2:39" s="1" customFormat="1" x14ac:dyDescent="0.15">
      <c r="B78" s="274"/>
      <c r="D78" s="273"/>
    </row>
    <row r="79" spans="2:39" s="1" customFormat="1" x14ac:dyDescent="0.15">
      <c r="D79" s="273"/>
    </row>
    <row r="80" spans="2:39" s="1" customFormat="1" x14ac:dyDescent="0.15">
      <c r="B80" s="274"/>
      <c r="D80" s="273"/>
    </row>
    <row r="81" spans="4:45" s="1" customFormat="1" x14ac:dyDescent="0.15">
      <c r="D81" s="273"/>
    </row>
    <row r="82" spans="4:45" s="1" customFormat="1" x14ac:dyDescent="0.15">
      <c r="D82" s="273"/>
      <c r="L82" s="275"/>
      <c r="N82" s="3"/>
    </row>
    <row r="83" spans="4:45" s="1" customFormat="1" x14ac:dyDescent="0.15">
      <c r="N83" s="3"/>
    </row>
    <row r="84" spans="4:45" s="1" customFormat="1" x14ac:dyDescent="0.15">
      <c r="N84" s="3"/>
    </row>
    <row r="85" spans="4:45" s="1" customFormat="1" x14ac:dyDescent="0.15">
      <c r="N85" s="3"/>
    </row>
    <row r="86" spans="4:45" s="1" customFormat="1" x14ac:dyDescent="0.15">
      <c r="N86" s="3"/>
    </row>
    <row r="87" spans="4:45" s="1" customFormat="1" x14ac:dyDescent="0.15">
      <c r="N87" s="3"/>
    </row>
    <row r="88" spans="4:45" s="1" customFormat="1" x14ac:dyDescent="0.15">
      <c r="AS88" s="276"/>
    </row>
    <row r="89" spans="4:45" s="1" customFormat="1" x14ac:dyDescent="0.15">
      <c r="AS89" s="276"/>
    </row>
    <row r="90" spans="4:45" s="1" customFormat="1" x14ac:dyDescent="0.15">
      <c r="AS90" s="276"/>
    </row>
    <row r="91" spans="4:45" s="1" customFormat="1" x14ac:dyDescent="0.15">
      <c r="AS91" s="276"/>
    </row>
    <row r="92" spans="4:45" s="1" customFormat="1" x14ac:dyDescent="0.15">
      <c r="AS92" s="276"/>
    </row>
    <row r="93" spans="4:45" s="1" customFormat="1" x14ac:dyDescent="0.15">
      <c r="AS93" s="276"/>
    </row>
    <row r="94" spans="4:45" s="1" customFormat="1" x14ac:dyDescent="0.15">
      <c r="AS94" s="276"/>
    </row>
    <row r="95" spans="4:45" s="1" customFormat="1" x14ac:dyDescent="0.15">
      <c r="AS95" s="276"/>
    </row>
    <row r="96" spans="4:45" s="1" customFormat="1" x14ac:dyDescent="0.15">
      <c r="AS96" s="276"/>
    </row>
    <row r="97" spans="34:45" s="1" customFormat="1" x14ac:dyDescent="0.15">
      <c r="AS97" s="276"/>
    </row>
    <row r="98" spans="34:45" s="1" customFormat="1" x14ac:dyDescent="0.15">
      <c r="AS98" s="276"/>
    </row>
    <row r="99" spans="34:45" s="1" customFormat="1" x14ac:dyDescent="0.15">
      <c r="AS99" s="276"/>
    </row>
    <row r="100" spans="34:45" s="1" customFormat="1" x14ac:dyDescent="0.15">
      <c r="AS100" s="276"/>
    </row>
    <row r="101" spans="34:45" s="1" customFormat="1" x14ac:dyDescent="0.15">
      <c r="AS101" s="276"/>
    </row>
    <row r="102" spans="34:45" s="1" customFormat="1" x14ac:dyDescent="0.15">
      <c r="AS102" s="276"/>
    </row>
    <row r="103" spans="34:45" s="1" customFormat="1" x14ac:dyDescent="0.15">
      <c r="AS103" s="276"/>
    </row>
    <row r="104" spans="34:45" s="1" customFormat="1" x14ac:dyDescent="0.15">
      <c r="AS104" s="276"/>
    </row>
    <row r="105" spans="34:45" s="1" customFormat="1" x14ac:dyDescent="0.15">
      <c r="AS105" s="276"/>
    </row>
    <row r="106" spans="34:45" s="1" customFormat="1" x14ac:dyDescent="0.15">
      <c r="AS106" s="276"/>
    </row>
    <row r="107" spans="34:45" s="1" customFormat="1" x14ac:dyDescent="0.15">
      <c r="AS107" s="276"/>
    </row>
    <row r="108" spans="34:45" s="1" customFormat="1" x14ac:dyDescent="0.15">
      <c r="AS108" s="276"/>
    </row>
    <row r="109" spans="34:45" s="1" customFormat="1" x14ac:dyDescent="0.15">
      <c r="AS109" s="276"/>
    </row>
    <row r="110" spans="34:45" s="1" customFormat="1" x14ac:dyDescent="0.15">
      <c r="AS110" s="276"/>
    </row>
    <row r="111" spans="34:45" x14ac:dyDescent="0.15">
      <c r="AH111" s="1"/>
      <c r="AI111" s="1"/>
      <c r="AJ111" s="1"/>
      <c r="AK111" s="1"/>
      <c r="AL111" s="1"/>
      <c r="AM111" s="1"/>
    </row>
    <row r="112" spans="34:45" x14ac:dyDescent="0.15">
      <c r="AI112" s="1"/>
      <c r="AJ112" s="1"/>
      <c r="AK112" s="1"/>
      <c r="AL112" s="1"/>
    </row>
    <row r="113" spans="35:38" x14ac:dyDescent="0.15">
      <c r="AI113" s="1"/>
      <c r="AJ113" s="1"/>
      <c r="AK113" s="1"/>
      <c r="AL113" s="1"/>
    </row>
    <row r="114" spans="35:38" x14ac:dyDescent="0.15">
      <c r="AI114" s="1"/>
      <c r="AJ114" s="1"/>
      <c r="AK114" s="1"/>
    </row>
    <row r="115" spans="35:38" x14ac:dyDescent="0.15">
      <c r="AI115" s="1"/>
      <c r="AJ115" s="1"/>
      <c r="AK115" s="1"/>
    </row>
  </sheetData>
  <mergeCells count="2">
    <mergeCell ref="AW3:AX3"/>
    <mergeCell ref="AY3:AZ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VesselCharacteristics</vt:lpstr>
      <vt:lpstr>Engine Design</vt:lpstr>
      <vt:lpstr>Plumbing</vt:lpstr>
      <vt:lpstr>hgNominal</vt:lpstr>
      <vt:lpstr>Rd_t</vt:lpstr>
      <vt:lpstr>sigma_t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 Sortino</dc:creator>
  <cp:lastModifiedBy>Microsoft Office User</cp:lastModifiedBy>
  <cp:lastPrinted>2011-08-05T13:32:17Z</cp:lastPrinted>
  <dcterms:created xsi:type="dcterms:W3CDTF">1996-10-14T23:33:28Z</dcterms:created>
  <dcterms:modified xsi:type="dcterms:W3CDTF">2021-09-13T18:40:27Z</dcterms:modified>
</cp:coreProperties>
</file>