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1\Desktop\CFA\Financial Modelling\"/>
    </mc:Choice>
  </mc:AlternateContent>
  <bookViews>
    <workbookView xWindow="0" yWindow="0" windowWidth="20490" windowHeight="7455" tabRatio="516" firstSheet="10" activeTab="14"/>
  </bookViews>
  <sheets>
    <sheet name="Financials&gt;" sheetId="7" r:id="rId1"/>
    <sheet name="HistoricalFS" sheetId="8" r:id="rId2"/>
    <sheet name="Common Size Statement" sheetId="13" r:id="rId3"/>
    <sheet name="Forecasting" sheetId="12" r:id="rId4"/>
    <sheet name="DCF&gt;" sheetId="14" r:id="rId5"/>
    <sheet name="DCF Model" sheetId="21" r:id="rId6"/>
    <sheet name="WACC" sheetId="18" r:id="rId7"/>
    <sheet name="Beta Regression" sheetId="17" r:id="rId8"/>
    <sheet name="Beta of Comparables" sheetId="15" r:id="rId9"/>
    <sheet name="Rm (Nifty 50)" sheetId="16" r:id="rId10"/>
    <sheet name="Cash Flow Data" sheetId="10" r:id="rId11"/>
    <sheet name="Intrinsic Growth" sheetId="20" r:id="rId12"/>
    <sheet name="Raw FS" sheetId="19" r:id="rId13"/>
    <sheet name="Ratio Analysis" sheetId="11" r:id="rId14"/>
    <sheet name="Comps_Val" sheetId="24" r:id="rId15"/>
    <sheet name="Data" sheetId="25" r:id="rId16"/>
    <sheet name="Data Room&gt;" sheetId="9" r:id="rId17"/>
    <sheet name="Data Sheet" sheetId="6" r:id="rId18"/>
    <sheet name="Indian Sector Data" sheetId="22" r:id="rId19"/>
    <sheet name="Sheet3" sheetId="23" r:id="rId20"/>
  </sheets>
  <externalReferences>
    <externalReference r:id="rId21"/>
    <externalReference r:id="rId22"/>
  </externalReferences>
  <definedNames>
    <definedName name="Cost_of_Debt">WACC!$H$41:$J$41</definedName>
    <definedName name="Cost_of_Equity">WACC!$H$38:$J$38</definedName>
    <definedName name="Debt_Weight">WACC!$H$42:$J$42</definedName>
    <definedName name="Equity_Weight">WACC!$H$39:$J$39</definedName>
    <definedName name="Levered_Raw_Beta" localSheetId="8">'Beta of Comparables'!$J$351</definedName>
    <definedName name="Levered_Raw_Beta">'Beta Regression'!$J$9</definedName>
    <definedName name="Levered_Raw_Beta_ABFRL">'Beta of Comparables'!$J$10</definedName>
    <definedName name="Levered_Raw_Beta_Metro">'Beta of Comparables'!$J$10</definedName>
    <definedName name="Levered_Raw_Beta_Trent">'Beta of Comparables'!$J$10</definedName>
    <definedName name="Levered_Raw_Beta_Vedant_Fashions">'Beta of Comparables'!$J$10</definedName>
    <definedName name="Market_Beta" localSheetId="8">'Beta of Comparables'!$J$354</definedName>
    <definedName name="Market_Beta">'Beta Regression'!$J$12</definedName>
    <definedName name="Market_Beta_ABFRL">'Beta of Comparables'!$J$13</definedName>
    <definedName name="Market_Beta_Metro">'Beta of Comparables'!$J$13</definedName>
    <definedName name="Market_Beta_Trent">'Beta of Comparables'!$J$13</definedName>
    <definedName name="Market_Beta_Vedant_Fashions">'Beta of Comparables'!$J$13</definedName>
    <definedName name="Market_Beta_Weight" localSheetId="8">'Beta of Comparables'!$J$355</definedName>
    <definedName name="Market_Beta_Weight">'Beta Regression'!$J$13</definedName>
    <definedName name="Market_Beta_Weight_ABFRL">'Beta of Comparables'!$J$14</definedName>
    <definedName name="Market_Beta_Weight_Metro">'Beta of Comparables'!$J$14</definedName>
    <definedName name="Market_Beta_Weight_Trent">'Beta of Comparables'!$J$14</definedName>
    <definedName name="Market_Beta_Weight_Vedant_Fashions">'Beta of Comparables'!$J$14</definedName>
    <definedName name="Raw_Beta_Weight" localSheetId="8">'Beta of Comparables'!$J$352</definedName>
    <definedName name="Raw_Beta_Weight">'Beta Regression'!$J$10</definedName>
    <definedName name="Raw_Beta_Weight_ABFRL">'[1]Metro Brand'!$J$11</definedName>
    <definedName name="Raw_Beta_Weight_Metro">'Beta of Comparables'!$J$11</definedName>
    <definedName name="Raw_Beta_Weight_Trent">'Beta of Comparables'!$J$11</definedName>
    <definedName name="Raw_Beta_Weight_Vedant_Fashions">'Beta of Comparables'!$J$11</definedName>
    <definedName name="UPDATE">'Data Sheet'!$E$1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4" l="1"/>
  <c r="K21" i="24"/>
  <c r="L21" i="24"/>
  <c r="M21" i="24"/>
  <c r="D21" i="24"/>
  <c r="E21" i="24"/>
  <c r="M20" i="24"/>
  <c r="L20" i="24"/>
  <c r="K20" i="24"/>
  <c r="G20" i="24"/>
  <c r="E20" i="24"/>
  <c r="D20" i="24"/>
  <c r="M19" i="24"/>
  <c r="L19" i="24"/>
  <c r="K19" i="24"/>
  <c r="G19" i="24"/>
  <c r="E19" i="24"/>
  <c r="D19" i="24"/>
  <c r="B19" i="24"/>
  <c r="K13" i="24"/>
  <c r="L13" i="24"/>
  <c r="M13" i="24"/>
  <c r="K14" i="24"/>
  <c r="L14" i="24"/>
  <c r="M14" i="24"/>
  <c r="K15" i="24"/>
  <c r="L15" i="24"/>
  <c r="M15" i="24"/>
  <c r="K16" i="24"/>
  <c r="L16" i="24"/>
  <c r="M16" i="24"/>
  <c r="K17" i="24"/>
  <c r="L17" i="24"/>
  <c r="M17" i="24"/>
  <c r="K18" i="24"/>
  <c r="L18" i="24"/>
  <c r="M18" i="24"/>
  <c r="L12" i="24"/>
  <c r="M12" i="24"/>
  <c r="K12" i="24"/>
  <c r="G13" i="24"/>
  <c r="G14" i="24"/>
  <c r="G15" i="24"/>
  <c r="G16" i="24"/>
  <c r="G17" i="24"/>
  <c r="G18" i="24"/>
  <c r="G12" i="24"/>
  <c r="P33" i="24" s="1"/>
  <c r="I4" i="25"/>
  <c r="I5" i="25"/>
  <c r="I6" i="25"/>
  <c r="I7" i="25"/>
  <c r="I8" i="25"/>
  <c r="I9" i="25"/>
  <c r="I10" i="25"/>
  <c r="I11" i="25"/>
  <c r="I12" i="25"/>
  <c r="I3" i="25"/>
  <c r="D13" i="24"/>
  <c r="E13" i="24"/>
  <c r="D14" i="24"/>
  <c r="E14" i="24"/>
  <c r="D15" i="24"/>
  <c r="E15" i="24"/>
  <c r="D16" i="24"/>
  <c r="E16" i="24"/>
  <c r="D17" i="24"/>
  <c r="E17" i="24"/>
  <c r="D18" i="24"/>
  <c r="E18" i="24"/>
  <c r="E12" i="24"/>
  <c r="Q35" i="24" s="1"/>
  <c r="D12" i="24"/>
  <c r="B13" i="24"/>
  <c r="B14" i="24"/>
  <c r="B15" i="24"/>
  <c r="B16" i="24"/>
  <c r="B17" i="24"/>
  <c r="B18" i="24"/>
  <c r="B20" i="24"/>
  <c r="B21" i="24"/>
  <c r="B12" i="24"/>
  <c r="J28" i="25"/>
  <c r="J29" i="25"/>
  <c r="F4" i="25"/>
  <c r="J4" i="25" s="1"/>
  <c r="F5" i="25"/>
  <c r="J5" i="25" s="1"/>
  <c r="F6" i="25"/>
  <c r="J6" i="25" s="1"/>
  <c r="F7" i="25"/>
  <c r="J7" i="25" s="1"/>
  <c r="F8" i="25"/>
  <c r="J8" i="25" s="1"/>
  <c r="F9" i="25"/>
  <c r="J9" i="25" s="1"/>
  <c r="F10" i="25"/>
  <c r="J10" i="25" s="1"/>
  <c r="F11" i="25"/>
  <c r="J11" i="25" s="1"/>
  <c r="F12" i="25"/>
  <c r="J12" i="25" s="1"/>
  <c r="F23" i="25"/>
  <c r="J23" i="25" s="1"/>
  <c r="F24" i="25"/>
  <c r="J24" i="25" s="1"/>
  <c r="F25" i="25"/>
  <c r="J25" i="25" s="1"/>
  <c r="F26" i="25"/>
  <c r="J26" i="25" s="1"/>
  <c r="F27" i="25"/>
  <c r="J27" i="25" s="1"/>
  <c r="F28" i="25"/>
  <c r="F29" i="25"/>
  <c r="F30" i="25"/>
  <c r="J30" i="25" s="1"/>
  <c r="F31" i="25"/>
  <c r="J31" i="25" s="1"/>
  <c r="F32" i="25"/>
  <c r="J32" i="25" s="1"/>
  <c r="F33" i="25"/>
  <c r="J33" i="25" s="1"/>
  <c r="F34" i="25"/>
  <c r="J34" i="25" s="1"/>
  <c r="F35" i="25"/>
  <c r="J35" i="25" s="1"/>
  <c r="F36" i="25"/>
  <c r="J36" i="25" s="1"/>
  <c r="F37" i="25"/>
  <c r="J37" i="25" s="1"/>
  <c r="F38" i="25"/>
  <c r="J38" i="25" s="1"/>
  <c r="F39" i="25"/>
  <c r="J39" i="25" s="1"/>
  <c r="F40" i="25"/>
  <c r="J40" i="25" s="1"/>
  <c r="F41" i="25"/>
  <c r="J41" i="25" s="1"/>
  <c r="F42" i="25"/>
  <c r="J42" i="25" s="1"/>
  <c r="F3" i="25"/>
  <c r="J3" i="25" s="1"/>
  <c r="Q33" i="24" l="1"/>
  <c r="F21" i="24"/>
  <c r="P35" i="24"/>
  <c r="O35" i="24"/>
  <c r="O33" i="24"/>
  <c r="F20" i="24"/>
  <c r="Q20" i="24" s="1"/>
  <c r="F16" i="24"/>
  <c r="H20" i="24"/>
  <c r="F15" i="24"/>
  <c r="F19" i="24"/>
  <c r="F17" i="24"/>
  <c r="F13" i="24"/>
  <c r="F12" i="24"/>
  <c r="F18" i="24"/>
  <c r="F14" i="24"/>
  <c r="D38" i="21"/>
  <c r="D36" i="21"/>
  <c r="D35" i="21"/>
  <c r="D25" i="21"/>
  <c r="G12" i="21"/>
  <c r="H12" i="21" s="1"/>
  <c r="I12" i="21" s="1"/>
  <c r="J12" i="21" s="1"/>
  <c r="K9" i="21"/>
  <c r="D17" i="21"/>
  <c r="J10" i="21"/>
  <c r="I10" i="21"/>
  <c r="H10" i="21"/>
  <c r="G10" i="21"/>
  <c r="F10" i="21"/>
  <c r="E10" i="21"/>
  <c r="D81" i="8"/>
  <c r="E81" i="8"/>
  <c r="F81" i="8"/>
  <c r="G81" i="8"/>
  <c r="H81" i="8"/>
  <c r="I81" i="8"/>
  <c r="J81" i="8"/>
  <c r="K81" i="8"/>
  <c r="L81" i="8"/>
  <c r="D82" i="8"/>
  <c r="E82" i="8"/>
  <c r="F82" i="8"/>
  <c r="G82" i="8"/>
  <c r="H82" i="8"/>
  <c r="I82" i="8"/>
  <c r="J82" i="8"/>
  <c r="K82" i="8"/>
  <c r="L82" i="8"/>
  <c r="D83" i="8"/>
  <c r="E83" i="8"/>
  <c r="F83" i="8"/>
  <c r="G83" i="8"/>
  <c r="H83" i="8"/>
  <c r="I83" i="8"/>
  <c r="J83" i="8"/>
  <c r="K83" i="8"/>
  <c r="L83" i="8"/>
  <c r="D84" i="8"/>
  <c r="E84" i="8"/>
  <c r="F84" i="8"/>
  <c r="G84" i="8"/>
  <c r="H84" i="8"/>
  <c r="I84" i="8"/>
  <c r="J84" i="8"/>
  <c r="K84" i="8"/>
  <c r="L84" i="8"/>
  <c r="D85" i="8"/>
  <c r="E85" i="8"/>
  <c r="F85" i="8"/>
  <c r="G85" i="8"/>
  <c r="H85" i="8"/>
  <c r="I85" i="8"/>
  <c r="J85" i="8"/>
  <c r="K85" i="8"/>
  <c r="L85" i="8"/>
  <c r="D86" i="8"/>
  <c r="E86" i="8"/>
  <c r="F86" i="8"/>
  <c r="G86" i="8"/>
  <c r="H86" i="8"/>
  <c r="I86" i="8"/>
  <c r="J86" i="8"/>
  <c r="K86" i="8"/>
  <c r="L86" i="8"/>
  <c r="D87" i="8"/>
  <c r="E87" i="8"/>
  <c r="F87" i="8"/>
  <c r="G87" i="8"/>
  <c r="H87" i="8"/>
  <c r="I87" i="8"/>
  <c r="J87" i="8"/>
  <c r="K87" i="8"/>
  <c r="L87" i="8"/>
  <c r="D88" i="8"/>
  <c r="E88" i="8"/>
  <c r="F88" i="8"/>
  <c r="G88" i="8"/>
  <c r="H88" i="8"/>
  <c r="I88" i="8"/>
  <c r="J88" i="8"/>
  <c r="K88" i="8"/>
  <c r="L88" i="8"/>
  <c r="D89" i="8"/>
  <c r="E89" i="8"/>
  <c r="F89" i="8"/>
  <c r="G89" i="8"/>
  <c r="H89" i="8"/>
  <c r="I89" i="8"/>
  <c r="J89" i="8"/>
  <c r="K89" i="8"/>
  <c r="L89" i="8"/>
  <c r="C88" i="8"/>
  <c r="C89" i="8"/>
  <c r="C87" i="8"/>
  <c r="C86" i="8"/>
  <c r="C85" i="8"/>
  <c r="C82" i="8"/>
  <c r="C83" i="8"/>
  <c r="C84" i="8"/>
  <c r="C81" i="8"/>
  <c r="M101" i="22"/>
  <c r="L101" i="22"/>
  <c r="M100" i="22"/>
  <c r="L100" i="22"/>
  <c r="M99" i="22"/>
  <c r="L99" i="22"/>
  <c r="M98" i="22"/>
  <c r="L98" i="22"/>
  <c r="M97" i="22"/>
  <c r="L97" i="22"/>
  <c r="M96" i="22"/>
  <c r="L96" i="22"/>
  <c r="M95" i="22"/>
  <c r="L95" i="22"/>
  <c r="M94" i="22"/>
  <c r="L94" i="22"/>
  <c r="M93" i="22"/>
  <c r="L93" i="22"/>
  <c r="M92" i="22"/>
  <c r="L92" i="22"/>
  <c r="M91" i="22"/>
  <c r="L91" i="22"/>
  <c r="M90" i="22"/>
  <c r="L90" i="22"/>
  <c r="M89" i="22"/>
  <c r="L89" i="22"/>
  <c r="M88" i="22"/>
  <c r="L88" i="22"/>
  <c r="M87" i="22"/>
  <c r="L87" i="22"/>
  <c r="M86" i="22"/>
  <c r="L86" i="22"/>
  <c r="M85" i="22"/>
  <c r="L85" i="22"/>
  <c r="M84" i="22"/>
  <c r="L84" i="22"/>
  <c r="M83" i="22"/>
  <c r="L83" i="22"/>
  <c r="M82" i="22"/>
  <c r="L82" i="22"/>
  <c r="M81" i="22"/>
  <c r="L81" i="22"/>
  <c r="M80" i="22"/>
  <c r="L80" i="22"/>
  <c r="M79" i="22"/>
  <c r="L79" i="22"/>
  <c r="M78" i="22"/>
  <c r="L78" i="22"/>
  <c r="M77" i="22"/>
  <c r="L77" i="22"/>
  <c r="M76" i="22"/>
  <c r="L76" i="22"/>
  <c r="M75" i="22"/>
  <c r="L75" i="22"/>
  <c r="M74" i="22"/>
  <c r="L74" i="22"/>
  <c r="M73" i="22"/>
  <c r="L73" i="22"/>
  <c r="M72" i="22"/>
  <c r="L72" i="22"/>
  <c r="M71" i="22"/>
  <c r="L71" i="22"/>
  <c r="M70" i="22"/>
  <c r="L70" i="22"/>
  <c r="M69" i="22"/>
  <c r="L69" i="22"/>
  <c r="M68" i="22"/>
  <c r="L68" i="22"/>
  <c r="M67" i="22"/>
  <c r="L67" i="22"/>
  <c r="M66" i="22"/>
  <c r="L66" i="22"/>
  <c r="M65" i="22"/>
  <c r="L65" i="22"/>
  <c r="M64" i="22"/>
  <c r="L64" i="22"/>
  <c r="M63" i="22"/>
  <c r="L63" i="22"/>
  <c r="M62" i="22"/>
  <c r="L62" i="22"/>
  <c r="M61" i="22"/>
  <c r="L61" i="22"/>
  <c r="M60" i="22"/>
  <c r="L60" i="22"/>
  <c r="M59" i="22"/>
  <c r="L59" i="22"/>
  <c r="M58" i="22"/>
  <c r="L58" i="22"/>
  <c r="M57" i="22"/>
  <c r="L57" i="22"/>
  <c r="M56" i="22"/>
  <c r="L56" i="22"/>
  <c r="M55" i="22"/>
  <c r="L55" i="22"/>
  <c r="M54" i="22"/>
  <c r="L54" i="22"/>
  <c r="M53" i="22"/>
  <c r="L53" i="22"/>
  <c r="M52" i="22"/>
  <c r="L52" i="22"/>
  <c r="M51" i="22"/>
  <c r="L51" i="22"/>
  <c r="M50" i="22"/>
  <c r="L50" i="22"/>
  <c r="M49" i="22"/>
  <c r="L49" i="22"/>
  <c r="M48" i="22"/>
  <c r="L48" i="22"/>
  <c r="M47" i="22"/>
  <c r="L47" i="22"/>
  <c r="M46" i="22"/>
  <c r="L46" i="22"/>
  <c r="M45" i="22"/>
  <c r="L45" i="22"/>
  <c r="M44" i="22"/>
  <c r="L44" i="22"/>
  <c r="M43" i="22"/>
  <c r="L43" i="22"/>
  <c r="M42" i="22"/>
  <c r="L42" i="22"/>
  <c r="M41" i="22"/>
  <c r="L41" i="22"/>
  <c r="M40" i="22"/>
  <c r="L40" i="22"/>
  <c r="M39" i="22"/>
  <c r="L39" i="22"/>
  <c r="M38" i="22"/>
  <c r="L38" i="22"/>
  <c r="M37" i="22"/>
  <c r="L37" i="22"/>
  <c r="M36" i="22"/>
  <c r="L36" i="22"/>
  <c r="M35" i="22"/>
  <c r="L35" i="22"/>
  <c r="M34" i="22"/>
  <c r="L34" i="22"/>
  <c r="M33" i="22"/>
  <c r="L33" i="22"/>
  <c r="M32" i="22"/>
  <c r="L32" i="22"/>
  <c r="M31" i="22"/>
  <c r="L31" i="22"/>
  <c r="M30" i="22"/>
  <c r="L30" i="22"/>
  <c r="M29" i="22"/>
  <c r="L29" i="22"/>
  <c r="M28" i="22"/>
  <c r="L28" i="22"/>
  <c r="M27" i="22"/>
  <c r="L27" i="22"/>
  <c r="M26" i="22"/>
  <c r="L26" i="22"/>
  <c r="M25" i="22"/>
  <c r="L25" i="22"/>
  <c r="M24" i="22"/>
  <c r="L24" i="22"/>
  <c r="M23" i="22"/>
  <c r="L23" i="22"/>
  <c r="M22" i="22"/>
  <c r="L22" i="22"/>
  <c r="M21" i="22"/>
  <c r="L21" i="22"/>
  <c r="M20" i="22"/>
  <c r="L20" i="22"/>
  <c r="M19" i="22"/>
  <c r="L19" i="22"/>
  <c r="M18" i="22"/>
  <c r="L18" i="22"/>
  <c r="M17" i="22"/>
  <c r="L17" i="22"/>
  <c r="M16" i="22"/>
  <c r="L16" i="22"/>
  <c r="M15" i="22"/>
  <c r="L15" i="22"/>
  <c r="M14" i="22"/>
  <c r="L14" i="22"/>
  <c r="M13" i="22"/>
  <c r="L13" i="22"/>
  <c r="M12" i="22"/>
  <c r="L12" i="22"/>
  <c r="M11" i="22"/>
  <c r="L11" i="22"/>
  <c r="M10" i="22"/>
  <c r="L10" i="22"/>
  <c r="M9" i="22"/>
  <c r="L9" i="22"/>
  <c r="M8" i="22"/>
  <c r="L8" i="22"/>
  <c r="M7" i="22"/>
  <c r="L7" i="22"/>
  <c r="M6" i="22"/>
  <c r="L6" i="22"/>
  <c r="Q21" i="24" l="1"/>
  <c r="H21" i="24"/>
  <c r="H14" i="24"/>
  <c r="Q14" i="24"/>
  <c r="H17" i="24"/>
  <c r="Q17" i="24"/>
  <c r="H13" i="24"/>
  <c r="Q13" i="24"/>
  <c r="H18" i="24"/>
  <c r="Q18" i="24"/>
  <c r="H16" i="24"/>
  <c r="Q16" i="24"/>
  <c r="H12" i="24"/>
  <c r="Q12" i="24"/>
  <c r="H15" i="24"/>
  <c r="Q15" i="24"/>
  <c r="O20" i="24"/>
  <c r="P20" i="24"/>
  <c r="H19" i="24"/>
  <c r="O19" i="24" s="1"/>
  <c r="Q19" i="24"/>
  <c r="F8" i="21"/>
  <c r="G8" i="21" s="1"/>
  <c r="H8" i="21" s="1"/>
  <c r="I8" i="21" s="1"/>
  <c r="J8" i="21" s="1"/>
  <c r="E7" i="21"/>
  <c r="F7" i="21" s="1"/>
  <c r="E5" i="21"/>
  <c r="F5" i="21" s="1"/>
  <c r="G5" i="21" s="1"/>
  <c r="H5" i="21" s="1"/>
  <c r="I5" i="21" s="1"/>
  <c r="J5" i="21" s="1"/>
  <c r="P21" i="24" l="1"/>
  <c r="O21" i="24"/>
  <c r="O12" i="24"/>
  <c r="P12" i="24"/>
  <c r="P18" i="24"/>
  <c r="O18" i="24"/>
  <c r="P17" i="24"/>
  <c r="O17" i="24"/>
  <c r="Q28" i="24"/>
  <c r="Q24" i="24"/>
  <c r="Q27" i="24"/>
  <c r="P15" i="24"/>
  <c r="O15" i="24"/>
  <c r="O16" i="24"/>
  <c r="P16" i="24"/>
  <c r="P13" i="24"/>
  <c r="O13" i="24"/>
  <c r="O14" i="24"/>
  <c r="P14" i="24"/>
  <c r="Q23" i="24"/>
  <c r="Q26" i="24"/>
  <c r="Q34" i="24" s="1"/>
  <c r="Q25" i="24"/>
  <c r="P19" i="24"/>
  <c r="F9" i="21"/>
  <c r="F11" i="21" s="1"/>
  <c r="G7" i="21"/>
  <c r="E9" i="21"/>
  <c r="E11" i="21" s="1"/>
  <c r="B2" i="17"/>
  <c r="K43" i="20"/>
  <c r="J43" i="20"/>
  <c r="I43" i="20"/>
  <c r="H43" i="20"/>
  <c r="G43" i="20"/>
  <c r="N16" i="10"/>
  <c r="M16" i="10"/>
  <c r="L16" i="10"/>
  <c r="K16" i="10"/>
  <c r="J16" i="10"/>
  <c r="I16" i="10"/>
  <c r="H16" i="10"/>
  <c r="G16" i="10"/>
  <c r="F16" i="10"/>
  <c r="E16" i="10"/>
  <c r="D16" i="10"/>
  <c r="C16" i="10"/>
  <c r="C43" i="10" s="1"/>
  <c r="N43" i="10"/>
  <c r="M43" i="10"/>
  <c r="L43" i="10"/>
  <c r="K43" i="10"/>
  <c r="J43" i="10"/>
  <c r="I43" i="10"/>
  <c r="H43" i="10"/>
  <c r="G43" i="10"/>
  <c r="F43" i="10"/>
  <c r="E43" i="10"/>
  <c r="D43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K32" i="20"/>
  <c r="J32" i="20"/>
  <c r="I32" i="20"/>
  <c r="H32" i="20"/>
  <c r="G32" i="20"/>
  <c r="K30" i="20"/>
  <c r="J30" i="20"/>
  <c r="I30" i="20"/>
  <c r="H30" i="20"/>
  <c r="G30" i="20"/>
  <c r="K29" i="20"/>
  <c r="J29" i="20"/>
  <c r="I29" i="20"/>
  <c r="H29" i="20"/>
  <c r="G29" i="20"/>
  <c r="K28" i="20"/>
  <c r="J28" i="20"/>
  <c r="I28" i="20"/>
  <c r="H28" i="20"/>
  <c r="G28" i="20"/>
  <c r="K27" i="20"/>
  <c r="J27" i="20"/>
  <c r="I27" i="20"/>
  <c r="H27" i="20"/>
  <c r="G27" i="20"/>
  <c r="K26" i="20"/>
  <c r="J26" i="20"/>
  <c r="I26" i="20"/>
  <c r="H26" i="20"/>
  <c r="G26" i="20"/>
  <c r="K25" i="20"/>
  <c r="J25" i="20"/>
  <c r="I25" i="20"/>
  <c r="H25" i="20"/>
  <c r="G25" i="20"/>
  <c r="K24" i="20"/>
  <c r="J24" i="20"/>
  <c r="I24" i="20"/>
  <c r="H24" i="20"/>
  <c r="G24" i="20"/>
  <c r="K23" i="20"/>
  <c r="J23" i="20"/>
  <c r="I23" i="20"/>
  <c r="H23" i="20"/>
  <c r="G23" i="20"/>
  <c r="K22" i="20"/>
  <c r="J22" i="20"/>
  <c r="J31" i="20" s="1"/>
  <c r="J33" i="20" s="1"/>
  <c r="I22" i="20"/>
  <c r="H22" i="20"/>
  <c r="G22" i="20"/>
  <c r="B29" i="20"/>
  <c r="B30" i="20"/>
  <c r="B23" i="20"/>
  <c r="B24" i="20"/>
  <c r="B25" i="20"/>
  <c r="B26" i="20"/>
  <c r="B27" i="20"/>
  <c r="B28" i="20"/>
  <c r="B22" i="20"/>
  <c r="K16" i="20"/>
  <c r="J16" i="20"/>
  <c r="I16" i="20"/>
  <c r="H16" i="20"/>
  <c r="G16" i="20"/>
  <c r="K15" i="20"/>
  <c r="K17" i="20" s="1"/>
  <c r="J15" i="20"/>
  <c r="I15" i="20"/>
  <c r="H15" i="20"/>
  <c r="G15" i="20"/>
  <c r="G17" i="20" s="1"/>
  <c r="B16" i="20"/>
  <c r="B15" i="20"/>
  <c r="B11" i="20"/>
  <c r="B10" i="20"/>
  <c r="B9" i="20"/>
  <c r="B8" i="20"/>
  <c r="K11" i="20"/>
  <c r="J11" i="20"/>
  <c r="I11" i="20"/>
  <c r="H11" i="20"/>
  <c r="G11" i="20"/>
  <c r="K10" i="20"/>
  <c r="J10" i="20"/>
  <c r="I10" i="20"/>
  <c r="H10" i="20"/>
  <c r="G10" i="20"/>
  <c r="K9" i="20"/>
  <c r="J9" i="20"/>
  <c r="I9" i="20"/>
  <c r="H9" i="20"/>
  <c r="G9" i="20"/>
  <c r="K8" i="20"/>
  <c r="J8" i="20"/>
  <c r="I8" i="20"/>
  <c r="H8" i="20"/>
  <c r="G8" i="20"/>
  <c r="N29" i="19"/>
  <c r="M29" i="19"/>
  <c r="L29" i="19"/>
  <c r="K29" i="19"/>
  <c r="J29" i="19"/>
  <c r="I29" i="19"/>
  <c r="H29" i="19"/>
  <c r="G29" i="19"/>
  <c r="F29" i="19"/>
  <c r="E29" i="19"/>
  <c r="D29" i="19"/>
  <c r="C29" i="19"/>
  <c r="Q37" i="24" l="1"/>
  <c r="Q40" i="24" s="1"/>
  <c r="Q32" i="24"/>
  <c r="P23" i="24"/>
  <c r="O23" i="24"/>
  <c r="O26" i="24"/>
  <c r="O32" i="24" s="1"/>
  <c r="O34" i="24" s="1"/>
  <c r="O37" i="24" s="1"/>
  <c r="O40" i="24" s="1"/>
  <c r="O25" i="24"/>
  <c r="O28" i="24"/>
  <c r="O24" i="24"/>
  <c r="O27" i="24"/>
  <c r="P28" i="24"/>
  <c r="P26" i="24"/>
  <c r="P32" i="24" s="1"/>
  <c r="P34" i="24" s="1"/>
  <c r="P37" i="24" s="1"/>
  <c r="P40" i="24" s="1"/>
  <c r="P24" i="24"/>
  <c r="P27" i="24"/>
  <c r="P25" i="24"/>
  <c r="H7" i="21"/>
  <c r="G9" i="21"/>
  <c r="G11" i="21" s="1"/>
  <c r="I12" i="20"/>
  <c r="I31" i="20"/>
  <c r="I33" i="20" s="1"/>
  <c r="H31" i="20"/>
  <c r="H33" i="20" s="1"/>
  <c r="G31" i="20"/>
  <c r="G33" i="20" s="1"/>
  <c r="K31" i="20"/>
  <c r="K33" i="20" s="1"/>
  <c r="J12" i="20"/>
  <c r="G12" i="20"/>
  <c r="G19" i="20" s="1"/>
  <c r="K12" i="20"/>
  <c r="K19" i="20" s="1"/>
  <c r="H12" i="20"/>
  <c r="I17" i="20"/>
  <c r="I19" i="20" s="1"/>
  <c r="H17" i="20"/>
  <c r="J17" i="20"/>
  <c r="J24" i="18"/>
  <c r="D34" i="18"/>
  <c r="D32" i="18"/>
  <c r="D33" i="18"/>
  <c r="H14" i="18"/>
  <c r="H15" i="18"/>
  <c r="E24" i="18"/>
  <c r="J33" i="18" s="1"/>
  <c r="E23" i="18"/>
  <c r="E25" i="18" s="1"/>
  <c r="J41" i="18" s="1"/>
  <c r="F18" i="18"/>
  <c r="F17" i="18"/>
  <c r="H13" i="18"/>
  <c r="H12" i="18"/>
  <c r="G12" i="18"/>
  <c r="C33" i="18"/>
  <c r="C32" i="18"/>
  <c r="J351" i="15"/>
  <c r="J357" i="15" s="1"/>
  <c r="I12" i="18" s="1"/>
  <c r="G456" i="15"/>
  <c r="D456" i="15"/>
  <c r="G455" i="15"/>
  <c r="D455" i="15"/>
  <c r="G454" i="15"/>
  <c r="D454" i="15"/>
  <c r="G453" i="15"/>
  <c r="D453" i="15"/>
  <c r="G452" i="15"/>
  <c r="D452" i="15"/>
  <c r="G451" i="15"/>
  <c r="D451" i="15"/>
  <c r="G450" i="15"/>
  <c r="D450" i="15"/>
  <c r="G449" i="15"/>
  <c r="D449" i="15"/>
  <c r="G448" i="15"/>
  <c r="D448" i="15"/>
  <c r="G447" i="15"/>
  <c r="D447" i="15"/>
  <c r="G446" i="15"/>
  <c r="D446" i="15"/>
  <c r="G445" i="15"/>
  <c r="D445" i="15"/>
  <c r="G444" i="15"/>
  <c r="D444" i="15"/>
  <c r="G443" i="15"/>
  <c r="D443" i="15"/>
  <c r="G442" i="15"/>
  <c r="D442" i="15"/>
  <c r="G441" i="15"/>
  <c r="D441" i="15"/>
  <c r="G440" i="15"/>
  <c r="D440" i="15"/>
  <c r="G439" i="15"/>
  <c r="D439" i="15"/>
  <c r="G438" i="15"/>
  <c r="D438" i="15"/>
  <c r="G437" i="15"/>
  <c r="D437" i="15"/>
  <c r="G436" i="15"/>
  <c r="D436" i="15"/>
  <c r="G435" i="15"/>
  <c r="D435" i="15"/>
  <c r="G434" i="15"/>
  <c r="D434" i="15"/>
  <c r="G433" i="15"/>
  <c r="D433" i="15"/>
  <c r="G432" i="15"/>
  <c r="D432" i="15"/>
  <c r="G431" i="15"/>
  <c r="D431" i="15"/>
  <c r="G430" i="15"/>
  <c r="D430" i="15"/>
  <c r="G429" i="15"/>
  <c r="D429" i="15"/>
  <c r="G428" i="15"/>
  <c r="D428" i="15"/>
  <c r="G427" i="15"/>
  <c r="D427" i="15"/>
  <c r="G426" i="15"/>
  <c r="D426" i="15"/>
  <c r="G425" i="15"/>
  <c r="D425" i="15"/>
  <c r="G424" i="15"/>
  <c r="D424" i="15"/>
  <c r="G423" i="15"/>
  <c r="D423" i="15"/>
  <c r="G422" i="15"/>
  <c r="D422" i="15"/>
  <c r="G421" i="15"/>
  <c r="D421" i="15"/>
  <c r="G420" i="15"/>
  <c r="D420" i="15"/>
  <c r="G419" i="15"/>
  <c r="D419" i="15"/>
  <c r="G418" i="15"/>
  <c r="D418" i="15"/>
  <c r="G417" i="15"/>
  <c r="D417" i="15"/>
  <c r="G416" i="15"/>
  <c r="D416" i="15"/>
  <c r="G415" i="15"/>
  <c r="D415" i="15"/>
  <c r="G414" i="15"/>
  <c r="D414" i="15"/>
  <c r="G413" i="15"/>
  <c r="D413" i="15"/>
  <c r="G412" i="15"/>
  <c r="D412" i="15"/>
  <c r="G411" i="15"/>
  <c r="D411" i="15"/>
  <c r="G410" i="15"/>
  <c r="D410" i="15"/>
  <c r="G409" i="15"/>
  <c r="D409" i="15"/>
  <c r="G408" i="15"/>
  <c r="D408" i="15"/>
  <c r="G407" i="15"/>
  <c r="D407" i="15"/>
  <c r="G406" i="15"/>
  <c r="D406" i="15"/>
  <c r="G405" i="15"/>
  <c r="D405" i="15"/>
  <c r="G404" i="15"/>
  <c r="D404" i="15"/>
  <c r="G403" i="15"/>
  <c r="D403" i="15"/>
  <c r="G402" i="15"/>
  <c r="D402" i="15"/>
  <c r="G401" i="15"/>
  <c r="D401" i="15"/>
  <c r="G400" i="15"/>
  <c r="D400" i="15"/>
  <c r="G399" i="15"/>
  <c r="D399" i="15"/>
  <c r="G398" i="15"/>
  <c r="D398" i="15"/>
  <c r="G397" i="15"/>
  <c r="D397" i="15"/>
  <c r="G396" i="15"/>
  <c r="D396" i="15"/>
  <c r="G395" i="15"/>
  <c r="D395" i="15"/>
  <c r="G394" i="15"/>
  <c r="D394" i="15"/>
  <c r="G393" i="15"/>
  <c r="D393" i="15"/>
  <c r="G392" i="15"/>
  <c r="D392" i="15"/>
  <c r="G391" i="15"/>
  <c r="D391" i="15"/>
  <c r="G390" i="15"/>
  <c r="D390" i="15"/>
  <c r="G389" i="15"/>
  <c r="D389" i="15"/>
  <c r="G388" i="15"/>
  <c r="D388" i="15"/>
  <c r="G387" i="15"/>
  <c r="D387" i="15"/>
  <c r="G386" i="15"/>
  <c r="D386" i="15"/>
  <c r="G385" i="15"/>
  <c r="D385" i="15"/>
  <c r="G384" i="15"/>
  <c r="D384" i="15"/>
  <c r="G383" i="15"/>
  <c r="D383" i="15"/>
  <c r="G382" i="15"/>
  <c r="D382" i="15"/>
  <c r="G381" i="15"/>
  <c r="D381" i="15"/>
  <c r="G380" i="15"/>
  <c r="D380" i="15"/>
  <c r="G379" i="15"/>
  <c r="D379" i="15"/>
  <c r="G378" i="15"/>
  <c r="D378" i="15"/>
  <c r="G377" i="15"/>
  <c r="D377" i="15"/>
  <c r="G376" i="15"/>
  <c r="D376" i="15"/>
  <c r="G375" i="15"/>
  <c r="D375" i="15"/>
  <c r="G374" i="15"/>
  <c r="D374" i="15"/>
  <c r="G373" i="15"/>
  <c r="D373" i="15"/>
  <c r="G372" i="15"/>
  <c r="D372" i="15"/>
  <c r="G371" i="15"/>
  <c r="D371" i="15"/>
  <c r="G370" i="15"/>
  <c r="D370" i="15"/>
  <c r="G369" i="15"/>
  <c r="D369" i="15"/>
  <c r="G368" i="15"/>
  <c r="D368" i="15"/>
  <c r="G367" i="15"/>
  <c r="D367" i="15"/>
  <c r="G366" i="15"/>
  <c r="D366" i="15"/>
  <c r="G365" i="15"/>
  <c r="D365" i="15"/>
  <c r="G364" i="15"/>
  <c r="D364" i="15"/>
  <c r="G363" i="15"/>
  <c r="D363" i="15"/>
  <c r="G362" i="15"/>
  <c r="D362" i="15"/>
  <c r="G361" i="15"/>
  <c r="D361" i="15"/>
  <c r="G360" i="15"/>
  <c r="D360" i="15"/>
  <c r="G359" i="15"/>
  <c r="D359" i="15"/>
  <c r="G358" i="15"/>
  <c r="D358" i="15"/>
  <c r="G357" i="15"/>
  <c r="D357" i="15"/>
  <c r="G356" i="15"/>
  <c r="D356" i="15"/>
  <c r="G355" i="15"/>
  <c r="D355" i="15"/>
  <c r="G354" i="15"/>
  <c r="D354" i="15"/>
  <c r="G353" i="15"/>
  <c r="D353" i="15"/>
  <c r="J240" i="15"/>
  <c r="J246" i="15" s="1"/>
  <c r="I13" i="18" s="1"/>
  <c r="G345" i="15"/>
  <c r="D345" i="15"/>
  <c r="G344" i="15"/>
  <c r="D344" i="15"/>
  <c r="G343" i="15"/>
  <c r="D343" i="15"/>
  <c r="G342" i="15"/>
  <c r="D342" i="15"/>
  <c r="G341" i="15"/>
  <c r="D341" i="15"/>
  <c r="G340" i="15"/>
  <c r="D340" i="15"/>
  <c r="G339" i="15"/>
  <c r="D339" i="15"/>
  <c r="G338" i="15"/>
  <c r="D338" i="15"/>
  <c r="G337" i="15"/>
  <c r="D337" i="15"/>
  <c r="G336" i="15"/>
  <c r="D336" i="15"/>
  <c r="G335" i="15"/>
  <c r="D335" i="15"/>
  <c r="G334" i="15"/>
  <c r="D334" i="15"/>
  <c r="G333" i="15"/>
  <c r="D333" i="15"/>
  <c r="G332" i="15"/>
  <c r="D332" i="15"/>
  <c r="G331" i="15"/>
  <c r="D331" i="15"/>
  <c r="G330" i="15"/>
  <c r="D330" i="15"/>
  <c r="G329" i="15"/>
  <c r="D329" i="15"/>
  <c r="G328" i="15"/>
  <c r="D328" i="15"/>
  <c r="G327" i="15"/>
  <c r="D327" i="15"/>
  <c r="G326" i="15"/>
  <c r="D326" i="15"/>
  <c r="G325" i="15"/>
  <c r="D325" i="15"/>
  <c r="G324" i="15"/>
  <c r="D324" i="15"/>
  <c r="G323" i="15"/>
  <c r="D323" i="15"/>
  <c r="G322" i="15"/>
  <c r="D322" i="15"/>
  <c r="G321" i="15"/>
  <c r="D321" i="15"/>
  <c r="G320" i="15"/>
  <c r="D320" i="15"/>
  <c r="G319" i="15"/>
  <c r="D319" i="15"/>
  <c r="G318" i="15"/>
  <c r="D318" i="15"/>
  <c r="G317" i="15"/>
  <c r="D317" i="15"/>
  <c r="G316" i="15"/>
  <c r="D316" i="15"/>
  <c r="G315" i="15"/>
  <c r="D315" i="15"/>
  <c r="G314" i="15"/>
  <c r="D314" i="15"/>
  <c r="G313" i="15"/>
  <c r="D313" i="15"/>
  <c r="G312" i="15"/>
  <c r="D312" i="15"/>
  <c r="G311" i="15"/>
  <c r="D311" i="15"/>
  <c r="G310" i="15"/>
  <c r="D310" i="15"/>
  <c r="G309" i="15"/>
  <c r="D309" i="15"/>
  <c r="G308" i="15"/>
  <c r="D308" i="15"/>
  <c r="G307" i="15"/>
  <c r="D307" i="15"/>
  <c r="G306" i="15"/>
  <c r="D306" i="15"/>
  <c r="G305" i="15"/>
  <c r="D305" i="15"/>
  <c r="G304" i="15"/>
  <c r="D304" i="15"/>
  <c r="G303" i="15"/>
  <c r="D303" i="15"/>
  <c r="G302" i="15"/>
  <c r="D302" i="15"/>
  <c r="G301" i="15"/>
  <c r="D301" i="15"/>
  <c r="G300" i="15"/>
  <c r="D300" i="15"/>
  <c r="G299" i="15"/>
  <c r="D299" i="15"/>
  <c r="G298" i="15"/>
  <c r="D298" i="15"/>
  <c r="G297" i="15"/>
  <c r="D297" i="15"/>
  <c r="G296" i="15"/>
  <c r="D296" i="15"/>
  <c r="G295" i="15"/>
  <c r="D295" i="15"/>
  <c r="G294" i="15"/>
  <c r="D294" i="15"/>
  <c r="G293" i="15"/>
  <c r="D293" i="15"/>
  <c r="G292" i="15"/>
  <c r="D292" i="15"/>
  <c r="G291" i="15"/>
  <c r="D291" i="15"/>
  <c r="G290" i="15"/>
  <c r="D290" i="15"/>
  <c r="G289" i="15"/>
  <c r="D289" i="15"/>
  <c r="G288" i="15"/>
  <c r="D288" i="15"/>
  <c r="G287" i="15"/>
  <c r="D287" i="15"/>
  <c r="G286" i="15"/>
  <c r="D286" i="15"/>
  <c r="G285" i="15"/>
  <c r="D285" i="15"/>
  <c r="G284" i="15"/>
  <c r="D284" i="15"/>
  <c r="G283" i="15"/>
  <c r="D283" i="15"/>
  <c r="G282" i="15"/>
  <c r="D282" i="15"/>
  <c r="G281" i="15"/>
  <c r="D281" i="15"/>
  <c r="G280" i="15"/>
  <c r="D280" i="15"/>
  <c r="G279" i="15"/>
  <c r="D279" i="15"/>
  <c r="G278" i="15"/>
  <c r="D278" i="15"/>
  <c r="G277" i="15"/>
  <c r="D277" i="15"/>
  <c r="G276" i="15"/>
  <c r="D276" i="15"/>
  <c r="G275" i="15"/>
  <c r="D275" i="15"/>
  <c r="G274" i="15"/>
  <c r="D274" i="15"/>
  <c r="G273" i="15"/>
  <c r="D273" i="15"/>
  <c r="G272" i="15"/>
  <c r="D272" i="15"/>
  <c r="G271" i="15"/>
  <c r="D271" i="15"/>
  <c r="G270" i="15"/>
  <c r="D270" i="15"/>
  <c r="G269" i="15"/>
  <c r="D269" i="15"/>
  <c r="G268" i="15"/>
  <c r="D268" i="15"/>
  <c r="G267" i="15"/>
  <c r="D267" i="15"/>
  <c r="G266" i="15"/>
  <c r="D266" i="15"/>
  <c r="G265" i="15"/>
  <c r="D265" i="15"/>
  <c r="G264" i="15"/>
  <c r="D264" i="15"/>
  <c r="G263" i="15"/>
  <c r="D263" i="15"/>
  <c r="G262" i="15"/>
  <c r="D262" i="15"/>
  <c r="G261" i="15"/>
  <c r="D261" i="15"/>
  <c r="G260" i="15"/>
  <c r="D260" i="15"/>
  <c r="G259" i="15"/>
  <c r="D259" i="15"/>
  <c r="G258" i="15"/>
  <c r="D258" i="15"/>
  <c r="G257" i="15"/>
  <c r="D257" i="15"/>
  <c r="G256" i="15"/>
  <c r="D256" i="15"/>
  <c r="G255" i="15"/>
  <c r="D255" i="15"/>
  <c r="G254" i="15"/>
  <c r="D254" i="15"/>
  <c r="G253" i="15"/>
  <c r="D253" i="15"/>
  <c r="G252" i="15"/>
  <c r="D252" i="15"/>
  <c r="G251" i="15"/>
  <c r="D251" i="15"/>
  <c r="G250" i="15"/>
  <c r="D250" i="15"/>
  <c r="G249" i="15"/>
  <c r="D249" i="15"/>
  <c r="G248" i="15"/>
  <c r="D248" i="15"/>
  <c r="G247" i="15"/>
  <c r="D247" i="15"/>
  <c r="G246" i="15"/>
  <c r="D246" i="15"/>
  <c r="G245" i="15"/>
  <c r="D245" i="15"/>
  <c r="G244" i="15"/>
  <c r="D244" i="15"/>
  <c r="G243" i="15"/>
  <c r="D243" i="15"/>
  <c r="G242" i="15"/>
  <c r="D242" i="15"/>
  <c r="J129" i="15"/>
  <c r="J135" i="15" s="1"/>
  <c r="I14" i="18" s="1"/>
  <c r="G234" i="15"/>
  <c r="D234" i="15"/>
  <c r="G233" i="15"/>
  <c r="D233" i="15"/>
  <c r="G232" i="15"/>
  <c r="D232" i="15"/>
  <c r="G231" i="15"/>
  <c r="D231" i="15"/>
  <c r="G230" i="15"/>
  <c r="D230" i="15"/>
  <c r="G229" i="15"/>
  <c r="D229" i="15"/>
  <c r="G228" i="15"/>
  <c r="D228" i="15"/>
  <c r="G227" i="15"/>
  <c r="D227" i="15"/>
  <c r="G226" i="15"/>
  <c r="D226" i="15"/>
  <c r="G225" i="15"/>
  <c r="D225" i="15"/>
  <c r="G224" i="15"/>
  <c r="D224" i="15"/>
  <c r="G223" i="15"/>
  <c r="D223" i="15"/>
  <c r="G222" i="15"/>
  <c r="D222" i="15"/>
  <c r="G221" i="15"/>
  <c r="D221" i="15"/>
  <c r="G220" i="15"/>
  <c r="D220" i="15"/>
  <c r="G219" i="15"/>
  <c r="D219" i="15"/>
  <c r="G218" i="15"/>
  <c r="D218" i="15"/>
  <c r="G217" i="15"/>
  <c r="D217" i="15"/>
  <c r="G216" i="15"/>
  <c r="D216" i="15"/>
  <c r="G215" i="15"/>
  <c r="D215" i="15"/>
  <c r="G214" i="15"/>
  <c r="D214" i="15"/>
  <c r="G213" i="15"/>
  <c r="D213" i="15"/>
  <c r="G212" i="15"/>
  <c r="D212" i="15"/>
  <c r="G211" i="15"/>
  <c r="D211" i="15"/>
  <c r="G210" i="15"/>
  <c r="D210" i="15"/>
  <c r="G209" i="15"/>
  <c r="D209" i="15"/>
  <c r="G208" i="15"/>
  <c r="D208" i="15"/>
  <c r="G207" i="15"/>
  <c r="D207" i="15"/>
  <c r="G206" i="15"/>
  <c r="D206" i="15"/>
  <c r="G205" i="15"/>
  <c r="D205" i="15"/>
  <c r="G204" i="15"/>
  <c r="D204" i="15"/>
  <c r="G203" i="15"/>
  <c r="D203" i="15"/>
  <c r="G202" i="15"/>
  <c r="D202" i="15"/>
  <c r="G201" i="15"/>
  <c r="D201" i="15"/>
  <c r="G200" i="15"/>
  <c r="D200" i="15"/>
  <c r="G199" i="15"/>
  <c r="D199" i="15"/>
  <c r="G198" i="15"/>
  <c r="D198" i="15"/>
  <c r="G197" i="15"/>
  <c r="D197" i="15"/>
  <c r="G196" i="15"/>
  <c r="D196" i="15"/>
  <c r="G195" i="15"/>
  <c r="D195" i="15"/>
  <c r="G194" i="15"/>
  <c r="D194" i="15"/>
  <c r="G193" i="15"/>
  <c r="D193" i="15"/>
  <c r="G192" i="15"/>
  <c r="D192" i="15"/>
  <c r="G191" i="15"/>
  <c r="D191" i="15"/>
  <c r="G190" i="15"/>
  <c r="D190" i="15"/>
  <c r="G189" i="15"/>
  <c r="D189" i="15"/>
  <c r="G188" i="15"/>
  <c r="D188" i="15"/>
  <c r="G187" i="15"/>
  <c r="D187" i="15"/>
  <c r="G186" i="15"/>
  <c r="D186" i="15"/>
  <c r="G185" i="15"/>
  <c r="D185" i="15"/>
  <c r="G184" i="15"/>
  <c r="D184" i="15"/>
  <c r="G183" i="15"/>
  <c r="D183" i="15"/>
  <c r="G182" i="15"/>
  <c r="D182" i="15"/>
  <c r="G181" i="15"/>
  <c r="D181" i="15"/>
  <c r="G180" i="15"/>
  <c r="D180" i="15"/>
  <c r="G179" i="15"/>
  <c r="D179" i="15"/>
  <c r="G178" i="15"/>
  <c r="D178" i="15"/>
  <c r="G177" i="15"/>
  <c r="D177" i="15"/>
  <c r="G176" i="15"/>
  <c r="D176" i="15"/>
  <c r="G175" i="15"/>
  <c r="D175" i="15"/>
  <c r="G174" i="15"/>
  <c r="D174" i="15"/>
  <c r="G173" i="15"/>
  <c r="D173" i="15"/>
  <c r="G172" i="15"/>
  <c r="D172" i="15"/>
  <c r="G171" i="15"/>
  <c r="D171" i="15"/>
  <c r="G170" i="15"/>
  <c r="D170" i="15"/>
  <c r="G169" i="15"/>
  <c r="D169" i="15"/>
  <c r="G168" i="15"/>
  <c r="D168" i="15"/>
  <c r="G167" i="15"/>
  <c r="D167" i="15"/>
  <c r="G166" i="15"/>
  <c r="D166" i="15"/>
  <c r="G165" i="15"/>
  <c r="D165" i="15"/>
  <c r="G164" i="15"/>
  <c r="D164" i="15"/>
  <c r="G163" i="15"/>
  <c r="D163" i="15"/>
  <c r="G162" i="15"/>
  <c r="D162" i="15"/>
  <c r="G161" i="15"/>
  <c r="D161" i="15"/>
  <c r="G160" i="15"/>
  <c r="D160" i="15"/>
  <c r="G159" i="15"/>
  <c r="D159" i="15"/>
  <c r="G158" i="15"/>
  <c r="D158" i="15"/>
  <c r="G157" i="15"/>
  <c r="D157" i="15"/>
  <c r="G156" i="15"/>
  <c r="D156" i="15"/>
  <c r="G155" i="15"/>
  <c r="D155" i="15"/>
  <c r="G154" i="15"/>
  <c r="D154" i="15"/>
  <c r="G153" i="15"/>
  <c r="D153" i="15"/>
  <c r="G152" i="15"/>
  <c r="D152" i="15"/>
  <c r="G151" i="15"/>
  <c r="D151" i="15"/>
  <c r="G150" i="15"/>
  <c r="D150" i="15"/>
  <c r="G149" i="15"/>
  <c r="D149" i="15"/>
  <c r="G148" i="15"/>
  <c r="D148" i="15"/>
  <c r="G147" i="15"/>
  <c r="D147" i="15"/>
  <c r="G146" i="15"/>
  <c r="D146" i="15"/>
  <c r="G145" i="15"/>
  <c r="D145" i="15"/>
  <c r="G144" i="15"/>
  <c r="D144" i="15"/>
  <c r="G143" i="15"/>
  <c r="D143" i="15"/>
  <c r="G142" i="15"/>
  <c r="D142" i="15"/>
  <c r="G141" i="15"/>
  <c r="D141" i="15"/>
  <c r="G140" i="15"/>
  <c r="D140" i="15"/>
  <c r="G139" i="15"/>
  <c r="D139" i="15"/>
  <c r="G138" i="15"/>
  <c r="D138" i="15"/>
  <c r="G137" i="15"/>
  <c r="D137" i="15"/>
  <c r="G136" i="15"/>
  <c r="D136" i="15"/>
  <c r="G135" i="15"/>
  <c r="D135" i="15"/>
  <c r="G134" i="15"/>
  <c r="D134" i="15"/>
  <c r="G133" i="15"/>
  <c r="D133" i="15"/>
  <c r="G132" i="15"/>
  <c r="D132" i="15"/>
  <c r="G131" i="15"/>
  <c r="D131" i="15"/>
  <c r="J18" i="15"/>
  <c r="J24" i="15" s="1"/>
  <c r="I15" i="18" s="1"/>
  <c r="G123" i="15"/>
  <c r="D123" i="15"/>
  <c r="G122" i="15"/>
  <c r="D122" i="15"/>
  <c r="G121" i="15"/>
  <c r="D121" i="15"/>
  <c r="G120" i="15"/>
  <c r="D120" i="15"/>
  <c r="G119" i="15"/>
  <c r="D119" i="15"/>
  <c r="G118" i="15"/>
  <c r="D118" i="15"/>
  <c r="G117" i="15"/>
  <c r="D117" i="15"/>
  <c r="G116" i="15"/>
  <c r="D116" i="15"/>
  <c r="G115" i="15"/>
  <c r="D115" i="15"/>
  <c r="G114" i="15"/>
  <c r="D114" i="15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D77" i="15"/>
  <c r="G76" i="15"/>
  <c r="D76" i="15"/>
  <c r="G75" i="15"/>
  <c r="D75" i="15"/>
  <c r="G74" i="15"/>
  <c r="D74" i="15"/>
  <c r="G73" i="15"/>
  <c r="D73" i="15"/>
  <c r="G72" i="15"/>
  <c r="D72" i="15"/>
  <c r="G71" i="15"/>
  <c r="D71" i="15"/>
  <c r="G70" i="15"/>
  <c r="D70" i="15"/>
  <c r="G69" i="15"/>
  <c r="D69" i="15"/>
  <c r="G68" i="15"/>
  <c r="D68" i="15"/>
  <c r="G67" i="15"/>
  <c r="D67" i="15"/>
  <c r="G66" i="15"/>
  <c r="D66" i="15"/>
  <c r="G65" i="15"/>
  <c r="D65" i="15"/>
  <c r="G64" i="15"/>
  <c r="D64" i="15"/>
  <c r="G63" i="15"/>
  <c r="D63" i="15"/>
  <c r="G62" i="15"/>
  <c r="D62" i="15"/>
  <c r="G61" i="15"/>
  <c r="D61" i="15"/>
  <c r="G60" i="15"/>
  <c r="D60" i="15"/>
  <c r="G59" i="15"/>
  <c r="D59" i="15"/>
  <c r="G58" i="15"/>
  <c r="D58" i="15"/>
  <c r="G57" i="15"/>
  <c r="D57" i="15"/>
  <c r="G56" i="15"/>
  <c r="D56" i="15"/>
  <c r="G55" i="15"/>
  <c r="D55" i="15"/>
  <c r="G54" i="15"/>
  <c r="D54" i="15"/>
  <c r="G53" i="15"/>
  <c r="D53" i="15"/>
  <c r="G52" i="15"/>
  <c r="D52" i="15"/>
  <c r="G51" i="15"/>
  <c r="D51" i="15"/>
  <c r="G50" i="15"/>
  <c r="D50" i="15"/>
  <c r="G49" i="15"/>
  <c r="D49" i="15"/>
  <c r="G48" i="15"/>
  <c r="D48" i="15"/>
  <c r="G47" i="15"/>
  <c r="D47" i="15"/>
  <c r="G46" i="15"/>
  <c r="D46" i="15"/>
  <c r="G45" i="15"/>
  <c r="D45" i="15"/>
  <c r="G44" i="15"/>
  <c r="D44" i="15"/>
  <c r="G43" i="15"/>
  <c r="D43" i="15"/>
  <c r="G42" i="15"/>
  <c r="D42" i="15"/>
  <c r="G41" i="15"/>
  <c r="D41" i="15"/>
  <c r="G40" i="15"/>
  <c r="D40" i="15"/>
  <c r="G39" i="15"/>
  <c r="D39" i="15"/>
  <c r="G38" i="15"/>
  <c r="D38" i="15"/>
  <c r="G37" i="15"/>
  <c r="D37" i="15"/>
  <c r="G36" i="15"/>
  <c r="D36" i="15"/>
  <c r="G35" i="15"/>
  <c r="D35" i="15"/>
  <c r="G34" i="15"/>
  <c r="D34" i="15"/>
  <c r="G33" i="15"/>
  <c r="D33" i="15"/>
  <c r="G32" i="15"/>
  <c r="D32" i="15"/>
  <c r="G31" i="15"/>
  <c r="D31" i="15"/>
  <c r="G30" i="15"/>
  <c r="D30" i="15"/>
  <c r="G29" i="15"/>
  <c r="D29" i="15"/>
  <c r="G28" i="15"/>
  <c r="D28" i="15"/>
  <c r="G27" i="15"/>
  <c r="D27" i="15"/>
  <c r="G26" i="15"/>
  <c r="D26" i="15"/>
  <c r="G25" i="15"/>
  <c r="D25" i="15"/>
  <c r="G24" i="15"/>
  <c r="D24" i="15"/>
  <c r="G23" i="15"/>
  <c r="D23" i="15"/>
  <c r="G22" i="15"/>
  <c r="D22" i="15"/>
  <c r="G21" i="15"/>
  <c r="D21" i="15"/>
  <c r="G20" i="15"/>
  <c r="D20" i="15"/>
  <c r="I7" i="21" l="1"/>
  <c r="H9" i="21"/>
  <c r="H11" i="21" s="1"/>
  <c r="G35" i="20"/>
  <c r="I35" i="20"/>
  <c r="K35" i="20"/>
  <c r="H19" i="20"/>
  <c r="J19" i="20"/>
  <c r="K44" i="20" s="1"/>
  <c r="K50" i="20" s="1"/>
  <c r="J12" i="18"/>
  <c r="G14" i="18"/>
  <c r="J14" i="18" s="1"/>
  <c r="D36" i="18"/>
  <c r="C34" i="18"/>
  <c r="E34" i="18" s="1"/>
  <c r="G11" i="18"/>
  <c r="G13" i="18"/>
  <c r="J13" i="18" s="1"/>
  <c r="G15" i="18"/>
  <c r="J15" i="18" s="1"/>
  <c r="H11" i="18"/>
  <c r="J9" i="17"/>
  <c r="J7" i="21" l="1"/>
  <c r="J9" i="21" s="1"/>
  <c r="J11" i="21" s="1"/>
  <c r="I9" i="21"/>
  <c r="I11" i="21" s="1"/>
  <c r="H35" i="20"/>
  <c r="H44" i="20"/>
  <c r="H50" i="20" s="1"/>
  <c r="I44" i="20"/>
  <c r="I50" i="20" s="1"/>
  <c r="J44" i="20"/>
  <c r="J50" i="20" s="1"/>
  <c r="J35" i="20"/>
  <c r="G18" i="18"/>
  <c r="G17" i="18"/>
  <c r="H17" i="18"/>
  <c r="E32" i="18" s="1"/>
  <c r="H18" i="18"/>
  <c r="D23" i="21" l="1"/>
  <c r="J42" i="18"/>
  <c r="E33" i="18"/>
  <c r="J39" i="18" s="1"/>
  <c r="E36" i="18" l="1"/>
  <c r="J32" i="18" s="1"/>
  <c r="G115" i="17" l="1"/>
  <c r="D115" i="17"/>
  <c r="G114" i="17"/>
  <c r="D114" i="17"/>
  <c r="G113" i="17"/>
  <c r="D113" i="17"/>
  <c r="G112" i="17"/>
  <c r="D112" i="17"/>
  <c r="G111" i="17"/>
  <c r="D111" i="17"/>
  <c r="G110" i="17"/>
  <c r="D110" i="17"/>
  <c r="G109" i="17"/>
  <c r="D109" i="17"/>
  <c r="G108" i="17"/>
  <c r="D108" i="17"/>
  <c r="G107" i="17"/>
  <c r="D107" i="17"/>
  <c r="G106" i="17"/>
  <c r="D106" i="17"/>
  <c r="G105" i="17"/>
  <c r="D105" i="17"/>
  <c r="G104" i="17"/>
  <c r="D104" i="17"/>
  <c r="G103" i="17"/>
  <c r="D103" i="17"/>
  <c r="G102" i="17"/>
  <c r="D102" i="17"/>
  <c r="G101" i="17"/>
  <c r="D101" i="17"/>
  <c r="G100" i="17"/>
  <c r="D100" i="17"/>
  <c r="G99" i="17"/>
  <c r="D99" i="17"/>
  <c r="G98" i="17"/>
  <c r="D98" i="17"/>
  <c r="G97" i="17"/>
  <c r="D97" i="17"/>
  <c r="G96" i="17"/>
  <c r="D96" i="17"/>
  <c r="G95" i="17"/>
  <c r="D95" i="17"/>
  <c r="G94" i="17"/>
  <c r="D94" i="17"/>
  <c r="G93" i="17"/>
  <c r="D93" i="17"/>
  <c r="G92" i="17"/>
  <c r="D92" i="17"/>
  <c r="G91" i="17"/>
  <c r="D91" i="17"/>
  <c r="G90" i="17"/>
  <c r="D90" i="17"/>
  <c r="G89" i="17"/>
  <c r="D89" i="17"/>
  <c r="G88" i="17"/>
  <c r="D88" i="17"/>
  <c r="G87" i="17"/>
  <c r="D87" i="17"/>
  <c r="G86" i="17"/>
  <c r="D86" i="17"/>
  <c r="G85" i="17"/>
  <c r="D85" i="17"/>
  <c r="G84" i="17"/>
  <c r="D84" i="17"/>
  <c r="G83" i="17"/>
  <c r="D83" i="17"/>
  <c r="G82" i="17"/>
  <c r="D82" i="17"/>
  <c r="G81" i="17"/>
  <c r="D81" i="17"/>
  <c r="G80" i="17"/>
  <c r="D80" i="17"/>
  <c r="G79" i="17"/>
  <c r="D79" i="17"/>
  <c r="G78" i="17"/>
  <c r="D78" i="17"/>
  <c r="G77" i="17"/>
  <c r="D77" i="17"/>
  <c r="G76" i="17"/>
  <c r="D76" i="17"/>
  <c r="G75" i="17"/>
  <c r="D75" i="17"/>
  <c r="G74" i="17"/>
  <c r="D74" i="17"/>
  <c r="G73" i="17"/>
  <c r="D73" i="17"/>
  <c r="G72" i="17"/>
  <c r="D72" i="17"/>
  <c r="G71" i="17"/>
  <c r="D71" i="17"/>
  <c r="G70" i="17"/>
  <c r="D70" i="17"/>
  <c r="G69" i="17"/>
  <c r="D69" i="17"/>
  <c r="G68" i="17"/>
  <c r="D68" i="17"/>
  <c r="G67" i="17"/>
  <c r="D67" i="17"/>
  <c r="G66" i="17"/>
  <c r="D66" i="17"/>
  <c r="G65" i="17"/>
  <c r="D65" i="17"/>
  <c r="G64" i="17"/>
  <c r="D64" i="17"/>
  <c r="G63" i="17"/>
  <c r="D63" i="17"/>
  <c r="G62" i="17"/>
  <c r="D62" i="17"/>
  <c r="G61" i="17"/>
  <c r="D61" i="17"/>
  <c r="G60" i="17"/>
  <c r="D60" i="17"/>
  <c r="G59" i="17"/>
  <c r="D59" i="17"/>
  <c r="G58" i="17"/>
  <c r="D58" i="17"/>
  <c r="G57" i="17"/>
  <c r="D57" i="17"/>
  <c r="G56" i="17"/>
  <c r="D56" i="17"/>
  <c r="G55" i="17"/>
  <c r="D55" i="17"/>
  <c r="G54" i="17"/>
  <c r="D54" i="17"/>
  <c r="G53" i="17"/>
  <c r="D53" i="17"/>
  <c r="G52" i="17"/>
  <c r="D52" i="17"/>
  <c r="G51" i="17"/>
  <c r="D51" i="17"/>
  <c r="G50" i="17"/>
  <c r="D50" i="17"/>
  <c r="G49" i="17"/>
  <c r="D49" i="17"/>
  <c r="G48" i="17"/>
  <c r="D48" i="17"/>
  <c r="G47" i="17"/>
  <c r="D47" i="17"/>
  <c r="G46" i="17"/>
  <c r="D46" i="17"/>
  <c r="G45" i="17"/>
  <c r="D45" i="17"/>
  <c r="G44" i="17"/>
  <c r="D44" i="17"/>
  <c r="G43" i="17"/>
  <c r="D43" i="17"/>
  <c r="G42" i="17"/>
  <c r="D42" i="17"/>
  <c r="G41" i="17"/>
  <c r="D41" i="17"/>
  <c r="G40" i="17"/>
  <c r="D40" i="17"/>
  <c r="G39" i="17"/>
  <c r="D39" i="17"/>
  <c r="G38" i="17"/>
  <c r="D38" i="17"/>
  <c r="G37" i="17"/>
  <c r="D37" i="17"/>
  <c r="G36" i="17"/>
  <c r="D36" i="17"/>
  <c r="G35" i="17"/>
  <c r="D35" i="17"/>
  <c r="G34" i="17"/>
  <c r="D34" i="17"/>
  <c r="G33" i="17"/>
  <c r="D33" i="17"/>
  <c r="G32" i="17"/>
  <c r="D32" i="17"/>
  <c r="G31" i="17"/>
  <c r="D31" i="17"/>
  <c r="G30" i="17"/>
  <c r="D30" i="17"/>
  <c r="G29" i="17"/>
  <c r="D29" i="17"/>
  <c r="G28" i="17"/>
  <c r="D28" i="17"/>
  <c r="G27" i="17"/>
  <c r="D27" i="17"/>
  <c r="G26" i="17"/>
  <c r="D26" i="17"/>
  <c r="G25" i="17"/>
  <c r="D25" i="17"/>
  <c r="G24" i="17"/>
  <c r="D24" i="17"/>
  <c r="G23" i="17"/>
  <c r="D23" i="17"/>
  <c r="G22" i="17"/>
  <c r="D22" i="17"/>
  <c r="G21" i="17"/>
  <c r="D21" i="17"/>
  <c r="G20" i="17"/>
  <c r="D20" i="17"/>
  <c r="G19" i="17"/>
  <c r="D19" i="17"/>
  <c r="G18" i="17"/>
  <c r="D18" i="17"/>
  <c r="G17" i="17"/>
  <c r="D17" i="17"/>
  <c r="G16" i="17"/>
  <c r="D16" i="17"/>
  <c r="J15" i="17"/>
  <c r="I11" i="18" s="1"/>
  <c r="G15" i="17"/>
  <c r="D15" i="17"/>
  <c r="G14" i="17"/>
  <c r="D14" i="17"/>
  <c r="G13" i="17"/>
  <c r="D13" i="17"/>
  <c r="G12" i="17"/>
  <c r="D12" i="17"/>
  <c r="G11" i="17"/>
  <c r="D11" i="17"/>
  <c r="G9" i="16"/>
  <c r="G11" i="16" s="1"/>
  <c r="I17" i="18" l="1"/>
  <c r="I18" i="18"/>
  <c r="J11" i="18"/>
  <c r="J18" i="18" l="1"/>
  <c r="J31" i="18" s="1"/>
  <c r="J34" i="18" s="1"/>
  <c r="J25" i="18" s="1"/>
  <c r="J26" i="18" s="1"/>
  <c r="J38" i="18" s="1"/>
  <c r="J17" i="18"/>
  <c r="D4" i="12" l="1" a="1"/>
  <c r="D5" i="12" s="1"/>
  <c r="D4" i="12"/>
  <c r="D8" i="12" l="1"/>
  <c r="D7" i="12"/>
  <c r="D10" i="12"/>
  <c r="D6" i="12"/>
  <c r="D12" i="12"/>
  <c r="D11" i="12"/>
  <c r="D13" i="12"/>
  <c r="D9" i="12"/>
  <c r="K77" i="6"/>
  <c r="L40" i="13" s="1"/>
  <c r="J77" i="6"/>
  <c r="K33" i="13" s="1"/>
  <c r="I77" i="6"/>
  <c r="J38" i="13" s="1"/>
  <c r="H77" i="6"/>
  <c r="I39" i="13" s="1"/>
  <c r="G77" i="6"/>
  <c r="H40" i="13" s="1"/>
  <c r="F77" i="6"/>
  <c r="G33" i="13" s="1"/>
  <c r="E77" i="6"/>
  <c r="F38" i="13" s="1"/>
  <c r="D77" i="6"/>
  <c r="E39" i="13" s="1"/>
  <c r="C77" i="6"/>
  <c r="D40" i="13" s="1"/>
  <c r="B77" i="6"/>
  <c r="C39" i="13" s="1"/>
  <c r="K75" i="6"/>
  <c r="L37" i="13" s="1"/>
  <c r="J75" i="6"/>
  <c r="K37" i="13" s="1"/>
  <c r="I75" i="6"/>
  <c r="J37" i="13" s="1"/>
  <c r="H75" i="6"/>
  <c r="I37" i="13" s="1"/>
  <c r="G75" i="6"/>
  <c r="H37" i="13" s="1"/>
  <c r="F75" i="6"/>
  <c r="G37" i="13" s="1"/>
  <c r="E75" i="6"/>
  <c r="F37" i="13" s="1"/>
  <c r="D75" i="6"/>
  <c r="E37" i="13" s="1"/>
  <c r="C75" i="6"/>
  <c r="D37" i="13" s="1"/>
  <c r="B75" i="6"/>
  <c r="C37" i="13" s="1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4" i="13"/>
  <c r="K4" i="13"/>
  <c r="J4" i="13"/>
  <c r="I4" i="13"/>
  <c r="H4" i="13"/>
  <c r="G4" i="13"/>
  <c r="F4" i="13"/>
  <c r="E4" i="13"/>
  <c r="D4" i="13"/>
  <c r="C4" i="13"/>
  <c r="B29" i="13"/>
  <c r="B30" i="13"/>
  <c r="B31" i="13"/>
  <c r="B34" i="13"/>
  <c r="B35" i="13"/>
  <c r="B36" i="13"/>
  <c r="B37" i="13"/>
  <c r="B38" i="13"/>
  <c r="B39" i="13"/>
  <c r="B40" i="13"/>
  <c r="B28" i="13"/>
  <c r="B2" i="13"/>
  <c r="B23" i="13"/>
  <c r="J21" i="13"/>
  <c r="I21" i="13"/>
  <c r="F21" i="13"/>
  <c r="E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1" i="13"/>
  <c r="K11" i="13"/>
  <c r="J11" i="13"/>
  <c r="I11" i="13"/>
  <c r="H11" i="13"/>
  <c r="G11" i="13"/>
  <c r="F11" i="13"/>
  <c r="E11" i="13"/>
  <c r="D11" i="13"/>
  <c r="C11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K33" i="6"/>
  <c r="L21" i="13" s="1"/>
  <c r="J33" i="6"/>
  <c r="K21" i="13" s="1"/>
  <c r="I33" i="6"/>
  <c r="H33" i="6"/>
  <c r="G33" i="6"/>
  <c r="H21" i="13" s="1"/>
  <c r="F33" i="6"/>
  <c r="G21" i="13" s="1"/>
  <c r="E33" i="6"/>
  <c r="D33" i="6"/>
  <c r="C33" i="6"/>
  <c r="D21" i="13" s="1"/>
  <c r="B33" i="6"/>
  <c r="C21" i="13" s="1"/>
  <c r="C33" i="13" l="1"/>
  <c r="D33" i="13"/>
  <c r="H33" i="13"/>
  <c r="L33" i="13"/>
  <c r="G34" i="13"/>
  <c r="K34" i="13"/>
  <c r="F35" i="13"/>
  <c r="J35" i="13"/>
  <c r="E36" i="13"/>
  <c r="I36" i="13"/>
  <c r="G38" i="13"/>
  <c r="K38" i="13"/>
  <c r="F39" i="13"/>
  <c r="J39" i="13"/>
  <c r="E40" i="13"/>
  <c r="I40" i="13"/>
  <c r="C34" i="13"/>
  <c r="C38" i="13"/>
  <c r="E33" i="13"/>
  <c r="I33" i="13"/>
  <c r="D34" i="13"/>
  <c r="H34" i="13"/>
  <c r="L34" i="13"/>
  <c r="G35" i="13"/>
  <c r="K35" i="13"/>
  <c r="F36" i="13"/>
  <c r="J36" i="13"/>
  <c r="D38" i="13"/>
  <c r="H38" i="13"/>
  <c r="L38" i="13"/>
  <c r="G39" i="13"/>
  <c r="K39" i="13"/>
  <c r="F40" i="13"/>
  <c r="J40" i="13"/>
  <c r="C36" i="13"/>
  <c r="C40" i="13"/>
  <c r="F33" i="13"/>
  <c r="J33" i="13"/>
  <c r="E34" i="13"/>
  <c r="I34" i="13"/>
  <c r="D35" i="13"/>
  <c r="H35" i="13"/>
  <c r="L35" i="13"/>
  <c r="G36" i="13"/>
  <c r="K36" i="13"/>
  <c r="E38" i="13"/>
  <c r="I38" i="13"/>
  <c r="D39" i="13"/>
  <c r="H39" i="13"/>
  <c r="L39" i="13"/>
  <c r="G40" i="13"/>
  <c r="K40" i="13"/>
  <c r="C35" i="13"/>
  <c r="F34" i="13"/>
  <c r="J34" i="13"/>
  <c r="E35" i="13"/>
  <c r="I35" i="13"/>
  <c r="D36" i="13"/>
  <c r="H36" i="13"/>
  <c r="L36" i="13"/>
  <c r="N3" i="12"/>
  <c r="O3" i="12" s="1"/>
  <c r="I3" i="12"/>
  <c r="J3" i="12" s="1"/>
  <c r="L2" i="12"/>
  <c r="L5" i="12"/>
  <c r="L6" i="12" s="1"/>
  <c r="L7" i="12" s="1"/>
  <c r="L8" i="12" s="1"/>
  <c r="L9" i="12" s="1"/>
  <c r="L10" i="12" s="1"/>
  <c r="L11" i="12" s="1"/>
  <c r="L12" i="12" s="1"/>
  <c r="L13" i="12" s="1"/>
  <c r="L14" i="12" s="1"/>
  <c r="G2" i="12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B2" i="12"/>
  <c r="E6" i="12"/>
  <c r="E7" i="12"/>
  <c r="E8" i="12"/>
  <c r="E9" i="12"/>
  <c r="E10" i="12"/>
  <c r="E11" i="12"/>
  <c r="E12" i="12"/>
  <c r="E13" i="12"/>
  <c r="E5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D16" i="12" s="1"/>
  <c r="B5" i="12"/>
  <c r="D14" i="12" l="1"/>
  <c r="E14" i="12" s="1"/>
  <c r="D15" i="12"/>
  <c r="L15" i="12"/>
  <c r="G15" i="12"/>
  <c r="B17" i="12"/>
  <c r="D17" i="12" s="1"/>
  <c r="E17" i="12" s="1"/>
  <c r="E15" i="12" l="1"/>
  <c r="E16" i="12"/>
  <c r="L16" i="12"/>
  <c r="G16" i="12"/>
  <c r="B18" i="12"/>
  <c r="D18" i="12" s="1"/>
  <c r="E18" i="12" s="1"/>
  <c r="L17" i="12" l="1"/>
  <c r="G17" i="12"/>
  <c r="L18" i="12" l="1"/>
  <c r="G18" i="12"/>
  <c r="B2" i="11" l="1"/>
  <c r="L3" i="11"/>
  <c r="K3" i="11"/>
  <c r="J3" i="11"/>
  <c r="I3" i="11"/>
  <c r="H3" i="11"/>
  <c r="G3" i="11"/>
  <c r="F3" i="11"/>
  <c r="E3" i="11"/>
  <c r="D3" i="11"/>
  <c r="C3" i="11"/>
  <c r="C108" i="8"/>
  <c r="D108" i="8"/>
  <c r="E108" i="8"/>
  <c r="F108" i="8"/>
  <c r="G108" i="8"/>
  <c r="H108" i="8"/>
  <c r="I108" i="8"/>
  <c r="J108" i="8"/>
  <c r="K108" i="8"/>
  <c r="L108" i="8"/>
  <c r="C109" i="8"/>
  <c r="D109" i="8"/>
  <c r="E109" i="8"/>
  <c r="F109" i="8"/>
  <c r="G109" i="8"/>
  <c r="H109" i="8"/>
  <c r="I109" i="8"/>
  <c r="J109" i="8"/>
  <c r="K109" i="8"/>
  <c r="L109" i="8"/>
  <c r="D107" i="8"/>
  <c r="E107" i="8"/>
  <c r="F107" i="8"/>
  <c r="G107" i="8"/>
  <c r="H107" i="8"/>
  <c r="I107" i="8"/>
  <c r="J107" i="8"/>
  <c r="K107" i="8"/>
  <c r="L107" i="8"/>
  <c r="C107" i="8"/>
  <c r="D93" i="8"/>
  <c r="E93" i="8"/>
  <c r="F93" i="8"/>
  <c r="G93" i="8"/>
  <c r="H93" i="8"/>
  <c r="I93" i="8"/>
  <c r="J93" i="8"/>
  <c r="K93" i="8"/>
  <c r="L93" i="8"/>
  <c r="D94" i="8"/>
  <c r="E94" i="8"/>
  <c r="F94" i="8"/>
  <c r="G94" i="8"/>
  <c r="H94" i="8"/>
  <c r="I94" i="8"/>
  <c r="J94" i="8"/>
  <c r="K94" i="8"/>
  <c r="L94" i="8"/>
  <c r="D95" i="8"/>
  <c r="E95" i="8"/>
  <c r="F95" i="8"/>
  <c r="G95" i="8"/>
  <c r="H95" i="8"/>
  <c r="I95" i="8"/>
  <c r="J95" i="8"/>
  <c r="K95" i="8"/>
  <c r="L95" i="8"/>
  <c r="D96" i="8"/>
  <c r="E96" i="8"/>
  <c r="F96" i="8"/>
  <c r="G96" i="8"/>
  <c r="H96" i="8"/>
  <c r="I96" i="8"/>
  <c r="J96" i="8"/>
  <c r="K96" i="8"/>
  <c r="L96" i="8"/>
  <c r="D97" i="8"/>
  <c r="E97" i="8"/>
  <c r="F97" i="8"/>
  <c r="G97" i="8"/>
  <c r="H97" i="8"/>
  <c r="I97" i="8"/>
  <c r="J97" i="8"/>
  <c r="K97" i="8"/>
  <c r="L97" i="8"/>
  <c r="D98" i="8"/>
  <c r="E98" i="8"/>
  <c r="F98" i="8"/>
  <c r="G98" i="8"/>
  <c r="H98" i="8"/>
  <c r="I98" i="8"/>
  <c r="J98" i="8"/>
  <c r="K98" i="8"/>
  <c r="L98" i="8"/>
  <c r="D99" i="8"/>
  <c r="E99" i="8"/>
  <c r="F99" i="8"/>
  <c r="G99" i="8"/>
  <c r="H99" i="8"/>
  <c r="I99" i="8"/>
  <c r="J99" i="8"/>
  <c r="K99" i="8"/>
  <c r="L99" i="8"/>
  <c r="D100" i="8"/>
  <c r="E100" i="8"/>
  <c r="F100" i="8"/>
  <c r="G100" i="8"/>
  <c r="H100" i="8"/>
  <c r="I100" i="8"/>
  <c r="J100" i="8"/>
  <c r="K100" i="8"/>
  <c r="L100" i="8"/>
  <c r="C94" i="8"/>
  <c r="C95" i="8"/>
  <c r="C96" i="8"/>
  <c r="C97" i="8"/>
  <c r="C98" i="8"/>
  <c r="C99" i="8"/>
  <c r="C100" i="8"/>
  <c r="C93" i="8"/>
  <c r="D70" i="8"/>
  <c r="E70" i="8"/>
  <c r="F70" i="8"/>
  <c r="G70" i="8"/>
  <c r="H70" i="8"/>
  <c r="I70" i="8"/>
  <c r="J70" i="8"/>
  <c r="K70" i="8"/>
  <c r="L70" i="8"/>
  <c r="D71" i="8"/>
  <c r="E71" i="8"/>
  <c r="F71" i="8"/>
  <c r="G71" i="8"/>
  <c r="H71" i="8"/>
  <c r="I71" i="8"/>
  <c r="J71" i="8"/>
  <c r="K71" i="8"/>
  <c r="L71" i="8"/>
  <c r="D72" i="8"/>
  <c r="E72" i="8"/>
  <c r="F72" i="8"/>
  <c r="G72" i="8"/>
  <c r="H72" i="8"/>
  <c r="I72" i="8"/>
  <c r="J72" i="8"/>
  <c r="K72" i="8"/>
  <c r="L72" i="8"/>
  <c r="D73" i="8"/>
  <c r="E73" i="8"/>
  <c r="F73" i="8"/>
  <c r="G73" i="8"/>
  <c r="H73" i="8"/>
  <c r="I73" i="8"/>
  <c r="J73" i="8"/>
  <c r="K73" i="8"/>
  <c r="L73" i="8"/>
  <c r="D74" i="8"/>
  <c r="E74" i="8"/>
  <c r="F74" i="8"/>
  <c r="G74" i="8"/>
  <c r="H74" i="8"/>
  <c r="I74" i="8"/>
  <c r="J74" i="8"/>
  <c r="K74" i="8"/>
  <c r="L74" i="8"/>
  <c r="D75" i="8"/>
  <c r="E75" i="8"/>
  <c r="F75" i="8"/>
  <c r="G75" i="8"/>
  <c r="H75" i="8"/>
  <c r="I75" i="8"/>
  <c r="J75" i="8"/>
  <c r="K75" i="8"/>
  <c r="L75" i="8"/>
  <c r="D76" i="8"/>
  <c r="E76" i="8"/>
  <c r="F76" i="8"/>
  <c r="G76" i="8"/>
  <c r="H76" i="8"/>
  <c r="I76" i="8"/>
  <c r="J76" i="8"/>
  <c r="K76" i="8"/>
  <c r="L76" i="8"/>
  <c r="D77" i="8"/>
  <c r="E77" i="8"/>
  <c r="F77" i="8"/>
  <c r="G77" i="8"/>
  <c r="H77" i="8"/>
  <c r="I77" i="8"/>
  <c r="J77" i="8"/>
  <c r="K77" i="8"/>
  <c r="L77" i="8"/>
  <c r="C71" i="8"/>
  <c r="C72" i="8"/>
  <c r="C73" i="8"/>
  <c r="C74" i="8"/>
  <c r="C75" i="8"/>
  <c r="C76" i="8"/>
  <c r="C77" i="8"/>
  <c r="C70" i="8"/>
  <c r="M66" i="8"/>
  <c r="D56" i="8"/>
  <c r="E56" i="8"/>
  <c r="F56" i="8"/>
  <c r="G56" i="8"/>
  <c r="H56" i="8"/>
  <c r="I56" i="8"/>
  <c r="J56" i="8"/>
  <c r="K56" i="8"/>
  <c r="L56" i="8"/>
  <c r="C56" i="8"/>
  <c r="D59" i="8"/>
  <c r="E59" i="8"/>
  <c r="F59" i="8"/>
  <c r="G59" i="8"/>
  <c r="H59" i="8"/>
  <c r="I59" i="8"/>
  <c r="J59" i="8"/>
  <c r="K59" i="8"/>
  <c r="L59" i="8"/>
  <c r="D60" i="8"/>
  <c r="E60" i="8"/>
  <c r="F60" i="8"/>
  <c r="G60" i="8"/>
  <c r="H60" i="8"/>
  <c r="I60" i="8"/>
  <c r="J60" i="8"/>
  <c r="K60" i="8"/>
  <c r="L60" i="8"/>
  <c r="D61" i="8"/>
  <c r="E61" i="8"/>
  <c r="F61" i="8"/>
  <c r="G61" i="8"/>
  <c r="H61" i="8"/>
  <c r="I61" i="8"/>
  <c r="J61" i="8"/>
  <c r="K61" i="8"/>
  <c r="L61" i="8"/>
  <c r="C60" i="8"/>
  <c r="C61" i="8"/>
  <c r="C59" i="8"/>
  <c r="D53" i="8"/>
  <c r="E53" i="8"/>
  <c r="F53" i="8"/>
  <c r="G53" i="8"/>
  <c r="H53" i="8"/>
  <c r="I53" i="8"/>
  <c r="J53" i="8"/>
  <c r="K53" i="8"/>
  <c r="L53" i="8"/>
  <c r="D54" i="8"/>
  <c r="E54" i="8"/>
  <c r="F54" i="8"/>
  <c r="G54" i="8"/>
  <c r="H54" i="8"/>
  <c r="I54" i="8"/>
  <c r="J54" i="8"/>
  <c r="K54" i="8"/>
  <c r="L54" i="8"/>
  <c r="D55" i="8"/>
  <c r="E55" i="8"/>
  <c r="F55" i="8"/>
  <c r="G55" i="8"/>
  <c r="H55" i="8"/>
  <c r="I55" i="8"/>
  <c r="J55" i="8"/>
  <c r="K55" i="8"/>
  <c r="L55" i="8"/>
  <c r="C54" i="8"/>
  <c r="C55" i="8"/>
  <c r="C53" i="8"/>
  <c r="D47" i="8"/>
  <c r="E47" i="8"/>
  <c r="F47" i="8"/>
  <c r="G47" i="8"/>
  <c r="H47" i="8"/>
  <c r="I47" i="8"/>
  <c r="J47" i="8"/>
  <c r="K47" i="8"/>
  <c r="L47" i="8"/>
  <c r="D48" i="8"/>
  <c r="E48" i="8"/>
  <c r="F48" i="8"/>
  <c r="G48" i="8"/>
  <c r="H48" i="8"/>
  <c r="I48" i="8"/>
  <c r="J48" i="8"/>
  <c r="K48" i="8"/>
  <c r="L48" i="8"/>
  <c r="D49" i="8"/>
  <c r="E49" i="8"/>
  <c r="E41" i="11" s="1"/>
  <c r="F49" i="8"/>
  <c r="G49" i="8"/>
  <c r="H49" i="8"/>
  <c r="I49" i="8"/>
  <c r="I41" i="11" s="1"/>
  <c r="J49" i="8"/>
  <c r="K49" i="8"/>
  <c r="L49" i="8"/>
  <c r="D50" i="8"/>
  <c r="E50" i="8"/>
  <c r="F50" i="8"/>
  <c r="G50" i="8"/>
  <c r="H50" i="8"/>
  <c r="I50" i="8"/>
  <c r="J50" i="8"/>
  <c r="K50" i="8"/>
  <c r="L50" i="8"/>
  <c r="C48" i="8"/>
  <c r="C49" i="8"/>
  <c r="C41" i="11" s="1"/>
  <c r="C50" i="8"/>
  <c r="C47" i="8"/>
  <c r="D36" i="8"/>
  <c r="D41" i="8" s="1"/>
  <c r="D9" i="11" s="1"/>
  <c r="E36" i="8"/>
  <c r="E41" i="8" s="1"/>
  <c r="F36" i="8"/>
  <c r="F41" i="8" s="1"/>
  <c r="G36" i="8"/>
  <c r="G41" i="8" s="1"/>
  <c r="H36" i="8"/>
  <c r="H41" i="8" s="1"/>
  <c r="H9" i="11" s="1"/>
  <c r="I36" i="8"/>
  <c r="I41" i="8" s="1"/>
  <c r="J36" i="8"/>
  <c r="J41" i="8" s="1"/>
  <c r="K36" i="8"/>
  <c r="K41" i="8" s="1"/>
  <c r="L36" i="8"/>
  <c r="L41" i="8" s="1"/>
  <c r="L9" i="11" s="1"/>
  <c r="C36" i="8"/>
  <c r="C41" i="8" s="1"/>
  <c r="M30" i="8"/>
  <c r="L30" i="8"/>
  <c r="K30" i="8"/>
  <c r="J30" i="8"/>
  <c r="I30" i="8"/>
  <c r="H30" i="8"/>
  <c r="G30" i="8"/>
  <c r="F30" i="8"/>
  <c r="E30" i="8"/>
  <c r="D30" i="8"/>
  <c r="C30" i="8"/>
  <c r="M24" i="8"/>
  <c r="L24" i="8"/>
  <c r="K24" i="8"/>
  <c r="J24" i="8"/>
  <c r="I24" i="8"/>
  <c r="H24" i="8"/>
  <c r="G24" i="8"/>
  <c r="F24" i="8"/>
  <c r="E24" i="8"/>
  <c r="D24" i="8"/>
  <c r="C24" i="8"/>
  <c r="M21" i="8"/>
  <c r="M22" i="8" s="1"/>
  <c r="L21" i="8"/>
  <c r="K21" i="8"/>
  <c r="J21" i="8"/>
  <c r="I21" i="8"/>
  <c r="I22" i="8" s="1"/>
  <c r="H21" i="8"/>
  <c r="G21" i="8"/>
  <c r="F21" i="8"/>
  <c r="E21" i="8"/>
  <c r="E22" i="8" s="1"/>
  <c r="D21" i="8"/>
  <c r="C21" i="8"/>
  <c r="D15" i="8"/>
  <c r="E15" i="8"/>
  <c r="E16" i="8" s="1"/>
  <c r="E17" i="11" s="1"/>
  <c r="F15" i="8"/>
  <c r="G15" i="8"/>
  <c r="H15" i="8"/>
  <c r="I15" i="8"/>
  <c r="I16" i="8" s="1"/>
  <c r="I17" i="11" s="1"/>
  <c r="J15" i="8"/>
  <c r="K15" i="8"/>
  <c r="L15" i="8"/>
  <c r="M15" i="8"/>
  <c r="M16" i="8" s="1"/>
  <c r="C15" i="8"/>
  <c r="M9" i="8"/>
  <c r="D9" i="8"/>
  <c r="E9" i="8"/>
  <c r="E10" i="8" s="1"/>
  <c r="F9" i="8"/>
  <c r="G9" i="8"/>
  <c r="H9" i="8"/>
  <c r="I9" i="8"/>
  <c r="I10" i="8" s="1"/>
  <c r="J9" i="8"/>
  <c r="K9" i="8"/>
  <c r="L9" i="8"/>
  <c r="C9" i="8"/>
  <c r="M6" i="8"/>
  <c r="D6" i="8"/>
  <c r="E6" i="8"/>
  <c r="F6" i="8"/>
  <c r="G6" i="8"/>
  <c r="H6" i="8"/>
  <c r="I6" i="8"/>
  <c r="J6" i="8"/>
  <c r="K6" i="8"/>
  <c r="L6" i="8"/>
  <c r="C6" i="8"/>
  <c r="K3" i="8"/>
  <c r="L3" i="8"/>
  <c r="D3" i="8"/>
  <c r="E3" i="8"/>
  <c r="F3" i="8"/>
  <c r="G3" i="8"/>
  <c r="H3" i="8"/>
  <c r="I3" i="8"/>
  <c r="J3" i="8"/>
  <c r="C3" i="8"/>
  <c r="B2" i="8"/>
  <c r="B6" i="6"/>
  <c r="E1" i="6"/>
  <c r="H62" i="8" l="1"/>
  <c r="D62" i="8"/>
  <c r="K39" i="11"/>
  <c r="J57" i="8"/>
  <c r="F57" i="8"/>
  <c r="F27" i="11"/>
  <c r="F34" i="11" s="1"/>
  <c r="L10" i="8"/>
  <c r="H10" i="8"/>
  <c r="D10" i="8"/>
  <c r="L16" i="8"/>
  <c r="L17" i="11" s="1"/>
  <c r="H16" i="8"/>
  <c r="H17" i="11" s="1"/>
  <c r="D16" i="8"/>
  <c r="D17" i="11" s="1"/>
  <c r="N17" i="11" s="1"/>
  <c r="K9" i="11"/>
  <c r="G9" i="11"/>
  <c r="I12" i="8"/>
  <c r="I18" i="8" s="1"/>
  <c r="E29" i="11"/>
  <c r="E36" i="11" s="1"/>
  <c r="J22" i="8"/>
  <c r="C51" i="8"/>
  <c r="F51" i="8"/>
  <c r="K51" i="8"/>
  <c r="I57" i="8"/>
  <c r="L29" i="11"/>
  <c r="L36" i="11" s="1"/>
  <c r="H12" i="8"/>
  <c r="H13" i="8" s="1"/>
  <c r="H11" i="11" s="1"/>
  <c r="D29" i="11"/>
  <c r="D36" i="11" s="1"/>
  <c r="K10" i="8"/>
  <c r="G10" i="8"/>
  <c r="M10" i="8"/>
  <c r="K16" i="8"/>
  <c r="K17" i="11" s="1"/>
  <c r="G16" i="8"/>
  <c r="G17" i="11" s="1"/>
  <c r="C22" i="8"/>
  <c r="G22" i="8"/>
  <c r="K22" i="8"/>
  <c r="D25" i="8"/>
  <c r="D18" i="11" s="1"/>
  <c r="H25" i="8"/>
  <c r="H18" i="11" s="1"/>
  <c r="L25" i="8"/>
  <c r="L18" i="11" s="1"/>
  <c r="D41" i="11"/>
  <c r="L57" i="8"/>
  <c r="D57" i="8"/>
  <c r="D64" i="8" s="1"/>
  <c r="L62" i="8"/>
  <c r="J25" i="8"/>
  <c r="J18" i="11" s="1"/>
  <c r="C12" i="8"/>
  <c r="C18" i="8" s="1"/>
  <c r="F22" i="8"/>
  <c r="C25" i="8"/>
  <c r="C18" i="11" s="1"/>
  <c r="J51" i="8"/>
  <c r="G51" i="8"/>
  <c r="H57" i="8"/>
  <c r="H64" i="8" s="1"/>
  <c r="E57" i="8"/>
  <c r="M7" i="8"/>
  <c r="J10" i="8"/>
  <c r="F10" i="8"/>
  <c r="C16" i="8"/>
  <c r="C17" i="11" s="1"/>
  <c r="J16" i="8"/>
  <c r="J17" i="11" s="1"/>
  <c r="F16" i="8"/>
  <c r="F17" i="11" s="1"/>
  <c r="D22" i="8"/>
  <c r="H22" i="8"/>
  <c r="L22" i="8"/>
  <c r="E25" i="8"/>
  <c r="E18" i="11" s="1"/>
  <c r="I25" i="8"/>
  <c r="I18" i="11" s="1"/>
  <c r="M25" i="8"/>
  <c r="C62" i="8"/>
  <c r="C64" i="8" s="1"/>
  <c r="K62" i="8"/>
  <c r="G62" i="8"/>
  <c r="D101" i="8"/>
  <c r="D78" i="8"/>
  <c r="I90" i="8"/>
  <c r="D90" i="8"/>
  <c r="H101" i="8"/>
  <c r="J78" i="8"/>
  <c r="F78" i="8"/>
  <c r="J90" i="8"/>
  <c r="F90" i="8"/>
  <c r="J101" i="8"/>
  <c r="F101" i="8"/>
  <c r="H78" i="8"/>
  <c r="H90" i="8"/>
  <c r="I78" i="8"/>
  <c r="E78" i="8"/>
  <c r="L78" i="8"/>
  <c r="E90" i="8"/>
  <c r="L90" i="8"/>
  <c r="L101" i="8"/>
  <c r="C78" i="8"/>
  <c r="K78" i="8"/>
  <c r="G78" i="8"/>
  <c r="C90" i="8"/>
  <c r="K90" i="8"/>
  <c r="G90" i="8"/>
  <c r="C101" i="8"/>
  <c r="I101" i="8"/>
  <c r="E101" i="8"/>
  <c r="K101" i="8"/>
  <c r="G101" i="8"/>
  <c r="C19" i="8"/>
  <c r="C12" i="11" s="1"/>
  <c r="C21" i="11"/>
  <c r="C13" i="11"/>
  <c r="C25" i="11"/>
  <c r="I19" i="8"/>
  <c r="I12" i="11" s="1"/>
  <c r="I13" i="11"/>
  <c r="I19" i="11" s="1"/>
  <c r="I21" i="11"/>
  <c r="I25" i="11"/>
  <c r="J29" i="11"/>
  <c r="J36" i="11" s="1"/>
  <c r="J30" i="1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K28" i="11"/>
  <c r="K35" i="11" s="1"/>
  <c r="K29" i="11"/>
  <c r="K36" i="11" s="1"/>
  <c r="G28" i="11"/>
  <c r="G35" i="11" s="1"/>
  <c r="G29" i="11"/>
  <c r="G36" i="11" s="1"/>
  <c r="I9" i="11"/>
  <c r="E9" i="11"/>
  <c r="K7" i="8"/>
  <c r="K5" i="11" s="1"/>
  <c r="G7" i="8"/>
  <c r="G5" i="11" s="1"/>
  <c r="J12" i="8"/>
  <c r="J18" i="8" s="1"/>
  <c r="F12" i="8"/>
  <c r="C39" i="11"/>
  <c r="I39" i="11"/>
  <c r="E39" i="11"/>
  <c r="C30" i="11"/>
  <c r="F31" i="11"/>
  <c r="G30" i="11"/>
  <c r="H29" i="11"/>
  <c r="H36" i="11" s="1"/>
  <c r="I28" i="11"/>
  <c r="I35" i="11" s="1"/>
  <c r="J27" i="11"/>
  <c r="J34" i="11" s="1"/>
  <c r="D7" i="8"/>
  <c r="D5" i="11" s="1"/>
  <c r="J7" i="8"/>
  <c r="J5" i="11" s="1"/>
  <c r="F7" i="8"/>
  <c r="F5" i="11" s="1"/>
  <c r="M12" i="8"/>
  <c r="M18" i="8" s="1"/>
  <c r="M19" i="8" s="1"/>
  <c r="E12" i="8"/>
  <c r="E18" i="8" s="1"/>
  <c r="K31" i="11"/>
  <c r="L30" i="11"/>
  <c r="D30" i="11"/>
  <c r="F28" i="11"/>
  <c r="F35" i="11" s="1"/>
  <c r="G27" i="11"/>
  <c r="G34" i="11" s="1"/>
  <c r="F39" i="11"/>
  <c r="C57" i="8"/>
  <c r="C28" i="11"/>
  <c r="C31" i="11"/>
  <c r="C27" i="11"/>
  <c r="I30" i="11"/>
  <c r="I27" i="11"/>
  <c r="I34" i="11" s="1"/>
  <c r="I31" i="11"/>
  <c r="E30" i="11"/>
  <c r="E27" i="11"/>
  <c r="E34" i="11" s="1"/>
  <c r="E31" i="11"/>
  <c r="G25" i="8"/>
  <c r="G18" i="11" s="1"/>
  <c r="K25" i="8"/>
  <c r="K18" i="11" s="1"/>
  <c r="L51" i="8"/>
  <c r="L41" i="11"/>
  <c r="H51" i="8"/>
  <c r="D51" i="8"/>
  <c r="I51" i="8"/>
  <c r="E51" i="8"/>
  <c r="J62" i="8"/>
  <c r="F62" i="8"/>
  <c r="F64" i="8" s="1"/>
  <c r="F66" i="8" s="1"/>
  <c r="K57" i="8"/>
  <c r="G57" i="8"/>
  <c r="G64" i="8" s="1"/>
  <c r="G66" i="8" s="1"/>
  <c r="I7" i="8"/>
  <c r="I5" i="11" s="1"/>
  <c r="E7" i="8"/>
  <c r="E5" i="11" s="1"/>
  <c r="L12" i="8"/>
  <c r="L13" i="8" s="1"/>
  <c r="L11" i="11" s="1"/>
  <c r="D12" i="8"/>
  <c r="D13" i="8" s="1"/>
  <c r="D11" i="11" s="1"/>
  <c r="K41" i="11"/>
  <c r="G41" i="11"/>
  <c r="J31" i="11"/>
  <c r="K30" i="11"/>
  <c r="E28" i="11"/>
  <c r="E35" i="11" s="1"/>
  <c r="G39" i="11"/>
  <c r="F29" i="11"/>
  <c r="F36" i="11" s="1"/>
  <c r="F30" i="11"/>
  <c r="F25" i="8"/>
  <c r="F18" i="11" s="1"/>
  <c r="L27" i="11"/>
  <c r="L34" i="11" s="1"/>
  <c r="L31" i="11"/>
  <c r="L28" i="11"/>
  <c r="L35" i="11" s="1"/>
  <c r="L37" i="11" s="1"/>
  <c r="H27" i="11"/>
  <c r="H34" i="11" s="1"/>
  <c r="H31" i="11"/>
  <c r="H28" i="11"/>
  <c r="H35" i="11" s="1"/>
  <c r="D27" i="11"/>
  <c r="D34" i="11" s="1"/>
  <c r="D31" i="11"/>
  <c r="D28" i="11"/>
  <c r="D35" i="11" s="1"/>
  <c r="J9" i="11"/>
  <c r="F9" i="11"/>
  <c r="O9" i="11" s="1"/>
  <c r="I62" i="8"/>
  <c r="E62" i="8"/>
  <c r="E64" i="8" s="1"/>
  <c r="L7" i="8"/>
  <c r="L5" i="11" s="1"/>
  <c r="H7" i="8"/>
  <c r="H5" i="11" s="1"/>
  <c r="K12" i="8"/>
  <c r="G12" i="8"/>
  <c r="J41" i="11"/>
  <c r="F41" i="11"/>
  <c r="C29" i="11"/>
  <c r="G31" i="11"/>
  <c r="H30" i="11"/>
  <c r="I29" i="11"/>
  <c r="I36" i="11" s="1"/>
  <c r="J28" i="11"/>
  <c r="J35" i="11" s="1"/>
  <c r="K27" i="11"/>
  <c r="K34" i="11" s="1"/>
  <c r="J39" i="11"/>
  <c r="H41" i="11"/>
  <c r="D39" i="11"/>
  <c r="H39" i="11"/>
  <c r="L39" i="11"/>
  <c r="J13" i="8"/>
  <c r="J11" i="11" s="1"/>
  <c r="H18" i="8"/>
  <c r="I6" i="11" s="1"/>
  <c r="C13" i="8"/>
  <c r="C11" i="11" s="1"/>
  <c r="I13" i="8"/>
  <c r="I11" i="11" s="1"/>
  <c r="I64" i="8"/>
  <c r="K64" i="8"/>
  <c r="K66" i="8" s="1"/>
  <c r="M36" i="8"/>
  <c r="M41" i="8" s="1"/>
  <c r="M27" i="8" l="1"/>
  <c r="M13" i="8"/>
  <c r="H37" i="11"/>
  <c r="L66" i="8"/>
  <c r="O17" i="11"/>
  <c r="J103" i="8"/>
  <c r="H66" i="8"/>
  <c r="O41" i="11"/>
  <c r="O18" i="11"/>
  <c r="J64" i="8"/>
  <c r="L64" i="8"/>
  <c r="L40" i="11" s="1"/>
  <c r="D40" i="11"/>
  <c r="D66" i="8"/>
  <c r="D18" i="8"/>
  <c r="D21" i="11" s="1"/>
  <c r="L18" i="8"/>
  <c r="E37" i="11"/>
  <c r="N18" i="11"/>
  <c r="C103" i="8"/>
  <c r="L103" i="8"/>
  <c r="D103" i="8"/>
  <c r="I103" i="8"/>
  <c r="G103" i="8"/>
  <c r="K103" i="8"/>
  <c r="H103" i="8"/>
  <c r="E103" i="8"/>
  <c r="F103" i="8"/>
  <c r="J66" i="8"/>
  <c r="J40" i="11"/>
  <c r="N9" i="11"/>
  <c r="L19" i="8"/>
  <c r="L12" i="11" s="1"/>
  <c r="L13" i="11"/>
  <c r="L19" i="11" s="1"/>
  <c r="L25" i="11"/>
  <c r="L21" i="11"/>
  <c r="G40" i="11"/>
  <c r="E66" i="8"/>
  <c r="E40" i="11"/>
  <c r="G18" i="8"/>
  <c r="G13" i="8"/>
  <c r="G11" i="11" s="1"/>
  <c r="D37" i="11"/>
  <c r="H40" i="11"/>
  <c r="I37" i="11"/>
  <c r="O30" i="11"/>
  <c r="N30" i="11"/>
  <c r="F18" i="8"/>
  <c r="F13" i="8"/>
  <c r="F11" i="11" s="1"/>
  <c r="I66" i="8"/>
  <c r="I40" i="11"/>
  <c r="E13" i="8"/>
  <c r="E11" i="11" s="1"/>
  <c r="H19" i="8"/>
  <c r="H12" i="11" s="1"/>
  <c r="H13" i="11"/>
  <c r="H19" i="11" s="1"/>
  <c r="H25" i="11"/>
  <c r="H6" i="11"/>
  <c r="H21" i="11"/>
  <c r="J37" i="11"/>
  <c r="C36" i="11"/>
  <c r="O29" i="11"/>
  <c r="N29" i="11"/>
  <c r="K18" i="8"/>
  <c r="K13" i="8"/>
  <c r="K11" i="11" s="1"/>
  <c r="K40" i="11"/>
  <c r="N27" i="11"/>
  <c r="O27" i="11"/>
  <c r="C34" i="11"/>
  <c r="J19" i="8"/>
  <c r="J12" i="11" s="1"/>
  <c r="J21" i="11"/>
  <c r="J6" i="11"/>
  <c r="J25" i="11"/>
  <c r="J13" i="11"/>
  <c r="J19" i="11" s="1"/>
  <c r="K37" i="11"/>
  <c r="C19" i="11"/>
  <c r="N41" i="11"/>
  <c r="D25" i="11"/>
  <c r="N31" i="11"/>
  <c r="O31" i="11"/>
  <c r="O5" i="11"/>
  <c r="N5" i="11"/>
  <c r="E19" i="8"/>
  <c r="E12" i="11" s="1"/>
  <c r="E6" i="11"/>
  <c r="E13" i="11"/>
  <c r="E19" i="11" s="1"/>
  <c r="E21" i="11"/>
  <c r="E25" i="11"/>
  <c r="C66" i="8"/>
  <c r="C40" i="11"/>
  <c r="N28" i="11"/>
  <c r="O28" i="11"/>
  <c r="C35" i="11"/>
  <c r="F37" i="11"/>
  <c r="N39" i="11"/>
  <c r="O39" i="11"/>
  <c r="G37" i="11"/>
  <c r="F40" i="11"/>
  <c r="M33" i="8"/>
  <c r="M34" i="8" s="1"/>
  <c r="M31" i="8"/>
  <c r="M28" i="8"/>
  <c r="G27" i="8"/>
  <c r="D13" i="11" l="1"/>
  <c r="D19" i="11" s="1"/>
  <c r="I4" i="12" a="1"/>
  <c r="D6" i="11"/>
  <c r="D19" i="8"/>
  <c r="D12" i="11" s="1"/>
  <c r="N11" i="11"/>
  <c r="O11" i="11"/>
  <c r="N34" i="11"/>
  <c r="O34" i="11"/>
  <c r="O35" i="11"/>
  <c r="N35" i="11"/>
  <c r="C37" i="11"/>
  <c r="K19" i="8"/>
  <c r="K12" i="11" s="1"/>
  <c r="K25" i="11"/>
  <c r="K21" i="11"/>
  <c r="K13" i="11"/>
  <c r="K19" i="11" s="1"/>
  <c r="K6" i="11"/>
  <c r="K27" i="8"/>
  <c r="J36" i="20" s="1"/>
  <c r="L6" i="11"/>
  <c r="O40" i="11"/>
  <c r="N40" i="11"/>
  <c r="O36" i="11"/>
  <c r="N36" i="11"/>
  <c r="G19" i="8"/>
  <c r="G12" i="11" s="1"/>
  <c r="G25" i="11"/>
  <c r="G21" i="11"/>
  <c r="G6" i="11"/>
  <c r="G13" i="11"/>
  <c r="G19" i="11" s="1"/>
  <c r="O13" i="11"/>
  <c r="F19" i="8"/>
  <c r="F12" i="11" s="1"/>
  <c r="F21" i="11"/>
  <c r="F6" i="11"/>
  <c r="F25" i="11"/>
  <c r="F13" i="11"/>
  <c r="F19" i="11" s="1"/>
  <c r="G28" i="8"/>
  <c r="G14" i="11" s="1"/>
  <c r="G31" i="8"/>
  <c r="M38" i="8"/>
  <c r="M42" i="8" s="1"/>
  <c r="M44" i="8" s="1"/>
  <c r="G33" i="8"/>
  <c r="L27" i="8"/>
  <c r="H27" i="8"/>
  <c r="J27" i="8"/>
  <c r="I36" i="20" s="1"/>
  <c r="C27" i="8"/>
  <c r="G38" i="8"/>
  <c r="I27" i="8"/>
  <c r="H36" i="20" s="1"/>
  <c r="E27" i="8"/>
  <c r="F27" i="8"/>
  <c r="D27" i="8"/>
  <c r="D7" i="11" s="1"/>
  <c r="I46" i="20" l="1"/>
  <c r="I48" i="20" s="1"/>
  <c r="I52" i="20" s="1"/>
  <c r="I59" i="20" s="1"/>
  <c r="I38" i="20"/>
  <c r="I60" i="20" s="1"/>
  <c r="H46" i="20"/>
  <c r="H48" i="20" s="1"/>
  <c r="H52" i="20" s="1"/>
  <c r="H38" i="20"/>
  <c r="H60" i="20" s="1"/>
  <c r="H7" i="11"/>
  <c r="G36" i="20"/>
  <c r="N6" i="11"/>
  <c r="J46" i="20"/>
  <c r="J48" i="20" s="1"/>
  <c r="J52" i="20" s="1"/>
  <c r="J59" i="20" s="1"/>
  <c r="J62" i="20" s="1"/>
  <c r="J38" i="20"/>
  <c r="J60" i="20" s="1"/>
  <c r="O6" i="11"/>
  <c r="I4" i="12"/>
  <c r="I11" i="12"/>
  <c r="J11" i="12" s="1"/>
  <c r="I13" i="12"/>
  <c r="I8" i="12"/>
  <c r="J8" i="12" s="1"/>
  <c r="I10" i="12"/>
  <c r="I12" i="12"/>
  <c r="J12" i="12" s="1"/>
  <c r="I7" i="12"/>
  <c r="I9" i="12"/>
  <c r="J9" i="12" s="1"/>
  <c r="I5" i="12"/>
  <c r="J5" i="12" s="1"/>
  <c r="I6" i="12"/>
  <c r="J6" i="12" s="1"/>
  <c r="L7" i="11"/>
  <c r="K36" i="20"/>
  <c r="F7" i="11"/>
  <c r="O19" i="11"/>
  <c r="G7" i="11"/>
  <c r="N19" i="11"/>
  <c r="N37" i="11"/>
  <c r="O37" i="11"/>
  <c r="E7" i="11"/>
  <c r="O21" i="11"/>
  <c r="N13" i="11"/>
  <c r="N25" i="11"/>
  <c r="O25" i="11"/>
  <c r="I7" i="11"/>
  <c r="J7" i="11"/>
  <c r="G34" i="8"/>
  <c r="G15" i="11" s="1"/>
  <c r="G23" i="11"/>
  <c r="N12" i="11"/>
  <c r="O12" i="11"/>
  <c r="K7" i="11"/>
  <c r="K33" i="8"/>
  <c r="K28" i="8"/>
  <c r="K14" i="11" s="1"/>
  <c r="K31" i="8"/>
  <c r="N21" i="11"/>
  <c r="C28" i="8"/>
  <c r="C14" i="11" s="1"/>
  <c r="C31" i="8"/>
  <c r="D28" i="8"/>
  <c r="D14" i="11" s="1"/>
  <c r="D31" i="8"/>
  <c r="H28" i="8"/>
  <c r="H14" i="11" s="1"/>
  <c r="H31" i="8"/>
  <c r="E31" i="8"/>
  <c r="E28" i="8"/>
  <c r="E14" i="11" s="1"/>
  <c r="I31" i="8"/>
  <c r="I28" i="8"/>
  <c r="I14" i="11" s="1"/>
  <c r="J28" i="8"/>
  <c r="J14" i="11" s="1"/>
  <c r="J31" i="8"/>
  <c r="F28" i="8"/>
  <c r="F14" i="11" s="1"/>
  <c r="F31" i="8"/>
  <c r="L28" i="8"/>
  <c r="L14" i="11" s="1"/>
  <c r="L31" i="8"/>
  <c r="G42" i="8"/>
  <c r="G44" i="8" s="1"/>
  <c r="G22" i="11" s="1"/>
  <c r="G24" i="11" s="1"/>
  <c r="E33" i="8"/>
  <c r="D33" i="8"/>
  <c r="H33" i="8"/>
  <c r="I33" i="8"/>
  <c r="L33" i="8"/>
  <c r="C33" i="8"/>
  <c r="F33" i="8"/>
  <c r="G8" i="11" s="1"/>
  <c r="J33" i="8"/>
  <c r="J10" i="12" l="1"/>
  <c r="I16" i="12"/>
  <c r="J16" i="12" s="1"/>
  <c r="I14" i="12"/>
  <c r="J14" i="12" s="1"/>
  <c r="I17" i="12"/>
  <c r="I15" i="12"/>
  <c r="I18" i="12"/>
  <c r="H59" i="20"/>
  <c r="H62" i="20" s="1"/>
  <c r="K46" i="20"/>
  <c r="K48" i="20" s="1"/>
  <c r="K52" i="20" s="1"/>
  <c r="K59" i="20" s="1"/>
  <c r="K62" i="20" s="1"/>
  <c r="K38" i="20"/>
  <c r="K60" i="20" s="1"/>
  <c r="G46" i="20"/>
  <c r="G48" i="20" s="1"/>
  <c r="G38" i="20"/>
  <c r="N7" i="11"/>
  <c r="J7" i="12"/>
  <c r="J13" i="12"/>
  <c r="I62" i="20"/>
  <c r="C34" i="8"/>
  <c r="C15" i="11" s="1"/>
  <c r="C23" i="11"/>
  <c r="L34" i="8"/>
  <c r="L15" i="11" s="1"/>
  <c r="L23" i="11"/>
  <c r="L8" i="11"/>
  <c r="E34" i="8"/>
  <c r="E15" i="11" s="1"/>
  <c r="E8" i="11"/>
  <c r="E23" i="11"/>
  <c r="D34" i="8"/>
  <c r="D15" i="11" s="1"/>
  <c r="D23" i="11"/>
  <c r="D8" i="11"/>
  <c r="K34" i="8"/>
  <c r="K15" i="11" s="1"/>
  <c r="K23" i="11"/>
  <c r="K8" i="11"/>
  <c r="K38" i="8"/>
  <c r="J34" i="8"/>
  <c r="J15" i="11" s="1"/>
  <c r="J8" i="11"/>
  <c r="J23" i="11"/>
  <c r="I34" i="8"/>
  <c r="I15" i="11" s="1"/>
  <c r="I8" i="11"/>
  <c r="I23" i="11"/>
  <c r="O7" i="11"/>
  <c r="O14" i="11"/>
  <c r="N14" i="11"/>
  <c r="F34" i="8"/>
  <c r="F15" i="11" s="1"/>
  <c r="F8" i="11"/>
  <c r="F23" i="11"/>
  <c r="H34" i="8"/>
  <c r="H15" i="11" s="1"/>
  <c r="H23" i="11"/>
  <c r="H8" i="11"/>
  <c r="J38" i="8"/>
  <c r="H38" i="8"/>
  <c r="F38" i="8"/>
  <c r="I38" i="8"/>
  <c r="C38" i="8"/>
  <c r="L38" i="8"/>
  <c r="D38" i="8"/>
  <c r="E38" i="8"/>
  <c r="N4" i="12" l="1" a="1"/>
  <c r="N13" i="12" s="1"/>
  <c r="J18" i="12"/>
  <c r="N4" i="12"/>
  <c r="N14" i="12" s="1"/>
  <c r="O14" i="12" s="1"/>
  <c r="N5" i="12"/>
  <c r="O5" i="12" s="1"/>
  <c r="N9" i="12"/>
  <c r="N10" i="12"/>
  <c r="N6" i="12"/>
  <c r="O6" i="12" s="1"/>
  <c r="N7" i="12"/>
  <c r="N11" i="12"/>
  <c r="N8" i="12"/>
  <c r="N12" i="12"/>
  <c r="K55" i="20"/>
  <c r="J17" i="12"/>
  <c r="K64" i="20"/>
  <c r="K65" i="20"/>
  <c r="K54" i="20"/>
  <c r="J15" i="12"/>
  <c r="K42" i="8"/>
  <c r="K44" i="8"/>
  <c r="K22" i="11" s="1"/>
  <c r="K24" i="11" s="1"/>
  <c r="N8" i="11"/>
  <c r="O8" i="11"/>
  <c r="N23" i="11"/>
  <c r="O23" i="11"/>
  <c r="O15" i="11"/>
  <c r="N15" i="11"/>
  <c r="E39" i="8"/>
  <c r="E42" i="8"/>
  <c r="E44" i="8" s="1"/>
  <c r="E22" i="11" s="1"/>
  <c r="E24" i="11" s="1"/>
  <c r="L39" i="8"/>
  <c r="L42" i="8"/>
  <c r="L44" i="8" s="1"/>
  <c r="L22" i="11" s="1"/>
  <c r="L24" i="11" s="1"/>
  <c r="M39" i="8"/>
  <c r="H39" i="8"/>
  <c r="H42" i="8"/>
  <c r="H44" i="8" s="1"/>
  <c r="H22" i="11" s="1"/>
  <c r="H24" i="11" s="1"/>
  <c r="C42" i="8"/>
  <c r="C44" i="8" s="1"/>
  <c r="C22" i="11" s="1"/>
  <c r="F39" i="8"/>
  <c r="F42" i="8"/>
  <c r="F44" i="8" s="1"/>
  <c r="F22" i="11" s="1"/>
  <c r="F24" i="11" s="1"/>
  <c r="G39" i="8"/>
  <c r="J39" i="8"/>
  <c r="J42" i="8"/>
  <c r="J44" i="8" s="1"/>
  <c r="J22" i="11" s="1"/>
  <c r="J24" i="11" s="1"/>
  <c r="K39" i="8"/>
  <c r="I39" i="8"/>
  <c r="I42" i="8"/>
  <c r="I44" i="8" s="1"/>
  <c r="I22" i="11" s="1"/>
  <c r="I24" i="11" s="1"/>
  <c r="D39" i="8"/>
  <c r="D42" i="8"/>
  <c r="D44" i="8" s="1"/>
  <c r="D22" i="11" s="1"/>
  <c r="D24" i="11" s="1"/>
  <c r="O13" i="12" l="1"/>
  <c r="N16" i="12"/>
  <c r="O17" i="12" s="1"/>
  <c r="N18" i="12"/>
  <c r="N15" i="12"/>
  <c r="O15" i="12" s="1"/>
  <c r="O11" i="12"/>
  <c r="N17" i="12"/>
  <c r="O7" i="12"/>
  <c r="O9" i="12"/>
  <c r="O12" i="12"/>
  <c r="O8" i="12"/>
  <c r="O10" i="12"/>
  <c r="N22" i="11"/>
  <c r="O22" i="11"/>
  <c r="C24" i="11"/>
  <c r="O16" i="12" l="1"/>
  <c r="O18" i="12"/>
  <c r="O24" i="11"/>
  <c r="N24" i="11"/>
  <c r="J44" i="18" l="1"/>
  <c r="D19" i="21" s="1"/>
  <c r="J13" i="21" l="1"/>
  <c r="J15" i="21" s="1"/>
  <c r="I13" i="21"/>
  <c r="I15" i="21" s="1"/>
  <c r="F13" i="21"/>
  <c r="F15" i="21" s="1"/>
  <c r="H13" i="21"/>
  <c r="H15" i="21" s="1"/>
  <c r="G13" i="21"/>
  <c r="G15" i="21" s="1"/>
  <c r="D24" i="21"/>
  <c r="D27" i="21" s="1"/>
  <c r="D32" i="21" s="1"/>
  <c r="D33" i="21" s="1"/>
  <c r="D37" i="21" s="1"/>
  <c r="D40" i="21" s="1"/>
  <c r="D43" i="21" s="1"/>
  <c r="D31" i="21" l="1"/>
</calcChain>
</file>

<file path=xl/sharedStrings.xml><?xml version="1.0" encoding="utf-8"?>
<sst xmlns="http://schemas.openxmlformats.org/spreadsheetml/2006/main" count="837" uniqueCount="506">
  <si>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</si>
  <si>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</si>
  <si>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</si>
  <si>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</si>
  <si>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</si>
  <si>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</si>
  <si>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</si>
  <si>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</si>
  <si>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</si>
  <si>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</si>
  <si>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</si>
  <si>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</si>
  <si>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</si>
  <si>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</si>
  <si>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</si>
  <si>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</si>
  <si>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</si>
  <si>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</si>
  <si>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</si>
  <si>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</si>
  <si>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</si>
  <si>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</si>
  <si>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</si>
  <si>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</si>
  <si>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</si>
  <si>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</si>
  <si>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</si>
  <si>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</si>
  <si>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</si>
  <si>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</si>
  <si>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</si>
  <si>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EPS</t>
  </si>
  <si>
    <t>LATEST VERSION</t>
  </si>
  <si>
    <t>CURRENT VERSION</t>
  </si>
  <si>
    <t>AVENUE SUPERMARTS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</si>
  <si>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</si>
  <si>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</si>
  <si>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</si>
  <si>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</si>
  <si>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</si>
  <si>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</si>
  <si>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</si>
  <si>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</si>
  <si>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</si>
  <si>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</si>
  <si>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</si>
  <si>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</si>
  <si>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</si>
  <si>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</si>
  <si>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</si>
  <si>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</si>
  <si>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</si>
  <si>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</si>
  <si>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</si>
  <si>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</si>
  <si>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</si>
  <si>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</si>
  <si>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</si>
  <si>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</si>
  <si>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</si>
  <si>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</si>
  <si>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COGS</t>
  </si>
  <si>
    <t>Gross Margins</t>
  </si>
  <si>
    <t>COGS % Sales</t>
  </si>
  <si>
    <t>Gross Profit</t>
  </si>
  <si>
    <t>Selling &amp; General Epenses</t>
  </si>
  <si>
    <t>S&amp;GA Exp % Sales</t>
  </si>
  <si>
    <t>EBITDA</t>
  </si>
  <si>
    <t>EBITDA Margins</t>
  </si>
  <si>
    <t>Interest % Sales</t>
  </si>
  <si>
    <t>Depreciation % Sales</t>
  </si>
  <si>
    <t>Earnings Before Tax</t>
  </si>
  <si>
    <t>EBT % Sales</t>
  </si>
  <si>
    <t>Effective Tax Rate</t>
  </si>
  <si>
    <t>Net Profit</t>
  </si>
  <si>
    <t>Net Margins</t>
  </si>
  <si>
    <t>No. Equity Shares</t>
  </si>
  <si>
    <t>Dividend per Share</t>
  </si>
  <si>
    <t>EPS Growth</t>
  </si>
  <si>
    <t>Dividend Payout Ratio</t>
  </si>
  <si>
    <t>Retained Earnings</t>
  </si>
  <si>
    <t>Balance Statement</t>
  </si>
  <si>
    <t>Total Liabilities</t>
  </si>
  <si>
    <t>Fixed Asset Net Block</t>
  </si>
  <si>
    <t>Total Non-Current Asset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</si>
  <si>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</si>
  <si>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</si>
  <si>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</si>
  <si>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</si>
  <si>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</si>
  <si>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</si>
  <si>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</si>
  <si>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</si>
  <si>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</si>
  <si>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</si>
  <si>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</si>
  <si>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</si>
  <si>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</si>
  <si>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</si>
  <si>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</si>
  <si>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</si>
  <si>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</si>
  <si>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</si>
  <si>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</si>
  <si>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</si>
  <si>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</si>
  <si>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</si>
  <si>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</si>
  <si>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</si>
  <si>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</si>
  <si>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</si>
  <si>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</si>
  <si>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Cash Flow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</si>
  <si>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</si>
  <si>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</si>
  <si>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</si>
  <si>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</si>
  <si>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</si>
  <si>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Cash Flow Statement (Abridged)</t>
  </si>
  <si>
    <t>Cash from Operating Activities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</si>
  <si>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</si>
  <si>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</si>
  <si>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</si>
  <si>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</si>
  <si>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</si>
  <si>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</si>
  <si>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</si>
  <si>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</si>
  <si>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</si>
  <si>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</si>
  <si>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</si>
  <si>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</si>
  <si>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</si>
  <si>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</si>
  <si>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</si>
  <si>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</si>
  <si>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</si>
  <si>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</si>
  <si>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</si>
  <si>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Days</t>
  </si>
  <si>
    <t>Cash Conversion Cycle</t>
  </si>
  <si>
    <t>CFO/Sales</t>
  </si>
  <si>
    <t>CFO/Total Assets</t>
  </si>
  <si>
    <t>CFO/Total Debt</t>
  </si>
  <si>
    <t>EBT Margin</t>
  </si>
  <si>
    <t>Fixed Assets Turnover</t>
  </si>
  <si>
    <t>Inventory Turnover</t>
  </si>
  <si>
    <t>Debtor Days</t>
  </si>
  <si>
    <t>Payabble Days</t>
  </si>
  <si>
    <t>Capital Turnover Ratio</t>
  </si>
  <si>
    <t>(in days)</t>
  </si>
  <si>
    <t>Trend</t>
  </si>
  <si>
    <t>Mean</t>
  </si>
  <si>
    <t>Median</t>
  </si>
  <si>
    <t>Year Weight</t>
  </si>
  <si>
    <t>Year</t>
  </si>
  <si>
    <t>Particulars</t>
  </si>
  <si>
    <t>Revenue</t>
  </si>
  <si>
    <t>S.No.</t>
  </si>
  <si>
    <t>Name</t>
  </si>
  <si>
    <t>CMP Rs.</t>
  </si>
  <si>
    <t xml:space="preserve">Mar Cap Rs.Cr. </t>
  </si>
  <si>
    <t>Debt Rs.Cr.</t>
  </si>
  <si>
    <t>Debt / Eq</t>
  </si>
  <si>
    <t>Avenue Super.</t>
  </si>
  <si>
    <t>Trent</t>
  </si>
  <si>
    <t>Vedant Fashions</t>
  </si>
  <si>
    <t>Aditya Bir. Fas.</t>
  </si>
  <si>
    <t>Metro Brands</t>
  </si>
  <si>
    <t>Returns on Market</t>
  </si>
  <si>
    <t>Annual</t>
  </si>
  <si>
    <t>Average Return</t>
  </si>
  <si>
    <t>Dividend Yield</t>
  </si>
  <si>
    <r>
      <t xml:space="preserve">1.23% </t>
    </r>
    <r>
      <rPr>
        <vertAlign val="superscript"/>
        <sz val="11"/>
        <color theme="1"/>
        <rFont val="Calibri"/>
        <family val="2"/>
      </rPr>
      <t>1</t>
    </r>
  </si>
  <si>
    <t>Total Market Return</t>
  </si>
  <si>
    <t>Yearly Returns of Nifty 50 Index</t>
  </si>
  <si>
    <t>Regression Beta</t>
  </si>
  <si>
    <t>Avenue Supermart Weekly Returns</t>
  </si>
  <si>
    <t>Nifty 50 Weekly Returns</t>
  </si>
  <si>
    <t>Beta Drifting</t>
  </si>
  <si>
    <t>Date</t>
  </si>
  <si>
    <t>Closing Price</t>
  </si>
  <si>
    <t>Return</t>
  </si>
  <si>
    <t>Levered Raw Beta</t>
  </si>
  <si>
    <t>Raw Beta Weight</t>
  </si>
  <si>
    <t>Market Beta</t>
  </si>
  <si>
    <t>Market Beta Weight</t>
  </si>
  <si>
    <t>Adjusted 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</si>
  <si>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</si>
  <si>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</si>
  <si>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</si>
  <si>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</si>
  <si>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</si>
  <si>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</si>
  <si>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</si>
  <si>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</si>
  <si>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</si>
  <si>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</si>
  <si>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</si>
  <si>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</si>
  <si>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</si>
  <si>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</si>
  <si>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</si>
  <si>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</si>
  <si>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</si>
  <si>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</si>
  <si>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</si>
  <si>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</si>
  <si>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</si>
  <si>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</si>
  <si>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</si>
  <si>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</si>
  <si>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Metro Brand Weekly Returns</t>
  </si>
  <si>
    <t>Regression Beta - Metro Brands</t>
  </si>
  <si>
    <t>Aditya Birla Fashion Weekly Returns</t>
  </si>
  <si>
    <t xml:space="preserve">Regression Beta - Aditya Birla Fashions &amp; Retail Ltd. </t>
  </si>
  <si>
    <t>Regression Beta - Vedant Fashions</t>
  </si>
  <si>
    <t>Vedant Fashion Weekly Returns</t>
  </si>
  <si>
    <t>Regression Beta - Trent</t>
  </si>
  <si>
    <t>Trent Weekly Returns</t>
  </si>
  <si>
    <t>Weighted Average Cost of Capital</t>
  </si>
  <si>
    <t>All figures are in INR unless stated otherwise.</t>
  </si>
  <si>
    <t>Peer Comps</t>
  </si>
  <si>
    <t>Debt /</t>
  </si>
  <si>
    <t>Levered</t>
  </si>
  <si>
    <t>Unlevered</t>
  </si>
  <si>
    <t>Name of the Company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</si>
  <si>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</si>
  <si>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</si>
  <si>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</si>
  <si>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</si>
  <si>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</si>
  <si>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</si>
  <si>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</si>
  <si>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</si>
  <si>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</si>
  <si>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Average</t>
  </si>
  <si>
    <t>Cost of Debt</t>
  </si>
  <si>
    <t>Cost of Equity</t>
  </si>
  <si>
    <t>Pre-Tax Cost of Debt</t>
  </si>
  <si>
    <t>Risk Free Rate</t>
  </si>
  <si>
    <t>Tax Rate</t>
  </si>
  <si>
    <t>Equity Risk Premium</t>
  </si>
  <si>
    <t>Post Tax Cost of Debt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</si>
  <si>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</si>
  <si>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</si>
  <si>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>Levered Beta</t>
  </si>
  <si>
    <t>Current</t>
  </si>
  <si>
    <t>Target</t>
  </si>
  <si>
    <t>Comps Median Unlevered Beta</t>
  </si>
  <si>
    <t>Target Debt / Equity</t>
  </si>
  <si>
    <t>Total Capital</t>
  </si>
  <si>
    <t>Debt / Equity</t>
  </si>
  <si>
    <t>Notes:</t>
  </si>
  <si>
    <t>1. Tax Rate considered as marginal tax rate of the country.</t>
  </si>
  <si>
    <t>Equity Weight</t>
  </si>
  <si>
    <t>2.Levered Beta is based in 5 year monthly data</t>
  </si>
  <si>
    <t>3. Unlevered Beta = Levered Beta/(1+(1- Tax Rate)*Debt /Equity)</t>
  </si>
  <si>
    <t>4. Levered Beta = Unlevered Beta*(1+(1- Tax Rate)*Debt /Equity)</t>
  </si>
  <si>
    <t>Debt Weight</t>
  </si>
  <si>
    <t>WACC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</si>
  <si>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</si>
  <si>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</si>
  <si>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</si>
  <si>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</si>
  <si>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</si>
  <si>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</si>
  <si>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</si>
  <si>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Other liability items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</si>
  <si>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</si>
  <si>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</si>
  <si>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</si>
  <si>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</si>
  <si>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</si>
  <si>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</si>
  <si>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</si>
  <si>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</si>
  <si>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</si>
  <si>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</si>
  <si>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</si>
  <si>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</si>
  <si>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</si>
  <si>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</t>
  </si>
  <si>
    <t>Cash Equivalents</t>
  </si>
  <si>
    <t>Short term loans</t>
  </si>
  <si>
    <t>Other asset items</t>
  </si>
  <si>
    <t>In 10 Million  ₹(Rs)</t>
  </si>
  <si>
    <t>Fixed Assets</t>
  </si>
  <si>
    <t>Calulation of ROIC</t>
  </si>
  <si>
    <t>Current Assets</t>
  </si>
  <si>
    <t>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</si>
  <si>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</si>
  <si>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</si>
  <si>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</si>
  <si>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</si>
  <si>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</si>
  <si>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</si>
  <si>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Rate of Investment</t>
  </si>
  <si>
    <t>Net Capex</t>
  </si>
  <si>
    <t>Operating investments</t>
  </si>
  <si>
    <t>Investment income</t>
  </si>
  <si>
    <t>Proceeds from debentures</t>
  </si>
  <si>
    <t>Application money refund</t>
  </si>
  <si>
    <t>Change in Working Capital</t>
  </si>
  <si>
    <t>Marginal Tax Rate</t>
  </si>
  <si>
    <t>EBIT*(1-t)</t>
  </si>
  <si>
    <t>Reinvestment</t>
  </si>
  <si>
    <t>Reinvestment Rate</t>
  </si>
  <si>
    <t>4 Year Average</t>
  </si>
  <si>
    <t>4 Year Median</t>
  </si>
  <si>
    <t>Calculation of Growth Rate</t>
  </si>
  <si>
    <t>Intrinsic Growth</t>
  </si>
  <si>
    <t>Intrinsic Growth Rate</t>
  </si>
  <si>
    <t>Calculation of Beta for Comparable Companies</t>
  </si>
  <si>
    <t>Calculation of FCFF</t>
  </si>
  <si>
    <t>EBIT(1-T)</t>
  </si>
  <si>
    <t>Free Cash Flow to Firm (FCFF)</t>
  </si>
  <si>
    <t>Less: Reinvestment Rate</t>
  </si>
  <si>
    <t>India - Sector Data</t>
  </si>
  <si>
    <t>Figures in $mn</t>
  </si>
  <si>
    <t>Industry Name</t>
  </si>
  <si>
    <t>Number of Firms</t>
  </si>
  <si>
    <t>Capital Expenditures</t>
  </si>
  <si>
    <t xml:space="preserve">Depreciation &amp; Amort </t>
  </si>
  <si>
    <t>CapEx/Deprecn</t>
  </si>
  <si>
    <t>Acquisitions</t>
  </si>
  <si>
    <t xml:space="preserve">Net R&amp;D </t>
  </si>
  <si>
    <t>Net Cap Ex/Sales</t>
  </si>
  <si>
    <t>Net Cap Ex/ EBIT (1-t)</t>
  </si>
  <si>
    <t>Sales/ Invested Capital</t>
  </si>
  <si>
    <t>Expected EBIT Growth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</si>
  <si>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</si>
  <si>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</si>
  <si>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</si>
  <si>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</si>
  <si>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</si>
  <si>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</si>
  <si>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</si>
  <si>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</si>
  <si>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</si>
  <si>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</si>
  <si>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</si>
  <si>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</si>
  <si>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</si>
  <si>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</si>
  <si>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</si>
  <si>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</si>
  <si>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</si>
  <si>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</si>
  <si>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</si>
  <si>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</si>
  <si>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</si>
  <si>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</si>
  <si>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</si>
  <si>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</si>
  <si>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</si>
  <si>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</si>
  <si>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</si>
  <si>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</si>
  <si>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</si>
  <si>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</si>
  <si>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</si>
  <si>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</si>
  <si>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</si>
  <si>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</si>
  <si>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</si>
  <si>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</si>
  <si>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</si>
  <si>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</si>
  <si>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</si>
  <si>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</si>
  <si>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</si>
  <si>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</si>
  <si>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</si>
  <si>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</si>
  <si>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</si>
  <si>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</si>
  <si>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</si>
  <si>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</si>
  <si>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</si>
  <si>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</si>
  <si>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</si>
  <si>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</si>
  <si>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</si>
  <si>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</si>
  <si>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</si>
  <si>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</si>
  <si>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</si>
  <si>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</si>
  <si>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</si>
  <si>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</si>
  <si>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</si>
  <si>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</si>
  <si>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</si>
  <si>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</si>
  <si>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</si>
  <si>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</si>
  <si>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</si>
  <si>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</si>
  <si>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</si>
  <si>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</si>
  <si>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</si>
  <si>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</si>
  <si>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</si>
  <si>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</si>
  <si>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</si>
  <si>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</si>
  <si>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</si>
  <si>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</si>
  <si>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</si>
  <si>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</si>
  <si>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</si>
  <si>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</si>
  <si>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</si>
  <si>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</si>
  <si>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</si>
  <si>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</si>
  <si>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</si>
  <si>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</si>
  <si>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</si>
  <si>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</si>
  <si>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</si>
  <si>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</si>
  <si>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</si>
  <si>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</si>
  <si>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</si>
  <si>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</si>
  <si>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</si>
  <si>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Mid Year Convention</t>
  </si>
  <si>
    <t>Discounting Factor</t>
  </si>
  <si>
    <t>PV of FCFF</t>
  </si>
  <si>
    <t>Expected Growth</t>
  </si>
  <si>
    <t>Terminal Growth</t>
  </si>
  <si>
    <t>1. GDP growth rate as per Reserve Bank of India for Q3:2023-24</t>
  </si>
  <si>
    <t>Calculation of Terminal Value</t>
  </si>
  <si>
    <t>FCFF(n+1)</t>
  </si>
  <si>
    <t>Terminal Growth Rate</t>
  </si>
  <si>
    <t>Terminal Value</t>
  </si>
  <si>
    <t>PV of Terminal Value</t>
  </si>
  <si>
    <t>Value of Operating Assets (EV)</t>
  </si>
  <si>
    <t>Add: Cash</t>
  </si>
  <si>
    <t>Less: Debt</t>
  </si>
  <si>
    <t>Calculation of Equity Value per Share</t>
  </si>
  <si>
    <t>Value of Equity</t>
  </si>
  <si>
    <t>Number of Shares</t>
  </si>
  <si>
    <r>
      <t>Share Price</t>
    </r>
    <r>
      <rPr>
        <vertAlign val="superscript"/>
        <sz val="11"/>
        <color theme="1"/>
        <rFont val="Calibri"/>
        <family val="2"/>
        <scheme val="minor"/>
      </rPr>
      <t>2</t>
    </r>
  </si>
  <si>
    <t>2. Closing Price as of 22nd March 2024</t>
  </si>
  <si>
    <t>Premium/Discount</t>
  </si>
  <si>
    <t>Company</t>
  </si>
  <si>
    <t>Ticker</t>
  </si>
  <si>
    <t>Share Price</t>
  </si>
  <si>
    <t>Shares Outstanding</t>
  </si>
  <si>
    <t>Comparable Company Valuation</t>
  </si>
  <si>
    <t>Net Debt</t>
  </si>
  <si>
    <t>Equity Value</t>
  </si>
  <si>
    <t>Enterprise Value</t>
  </si>
  <si>
    <t>Market Data</t>
  </si>
  <si>
    <t>Net Income</t>
  </si>
  <si>
    <t>Valuation</t>
  </si>
  <si>
    <t>Financials</t>
  </si>
  <si>
    <t>No. Eq. Shares Cr.</t>
  </si>
  <si>
    <t>Cash End Rs.Cr.</t>
  </si>
  <si>
    <t>Sales Rs.Cr.</t>
  </si>
  <si>
    <t>NP 12M Rs.Cr.</t>
  </si>
  <si>
    <t>Redtape</t>
  </si>
  <si>
    <t>Medplus Health</t>
  </si>
  <si>
    <t>Electronics Mart</t>
  </si>
  <si>
    <t>Ethos Ltd</t>
  </si>
  <si>
    <t>Entero Healthcar</t>
  </si>
  <si>
    <t>V-Mart Retail</t>
  </si>
  <si>
    <t>Sai Silks</t>
  </si>
  <si>
    <t>Allcargo Gati</t>
  </si>
  <si>
    <t>Credo Brands</t>
  </si>
  <si>
    <t>Spencer's Retail</t>
  </si>
  <si>
    <t>Brand Concepts</t>
  </si>
  <si>
    <t>Yamuna Syndicate</t>
  </si>
  <si>
    <t>Osia Hyper Reta.</t>
  </si>
  <si>
    <t>Eastern Logica</t>
  </si>
  <si>
    <t>Praxis Home</t>
  </si>
  <si>
    <t>On Door Concepts</t>
  </si>
  <si>
    <t>Rajnish Retail</t>
  </si>
  <si>
    <t>Fonebox</t>
  </si>
  <si>
    <t>Future Retail</t>
  </si>
  <si>
    <t>Archies</t>
  </si>
  <si>
    <t>Binny Mills</t>
  </si>
  <si>
    <t>Magson Retail</t>
  </si>
  <si>
    <t>Goblin India</t>
  </si>
  <si>
    <t>Cell Point</t>
  </si>
  <si>
    <t>Archana Software</t>
  </si>
  <si>
    <t>Salora Intl.</t>
  </si>
  <si>
    <t>Future Enterp.</t>
  </si>
  <si>
    <t>Market Cap</t>
  </si>
  <si>
    <t>EV</t>
  </si>
  <si>
    <t>EV/Revenue</t>
  </si>
  <si>
    <t>EV/EBITDA</t>
  </si>
  <si>
    <t>P/E</t>
  </si>
  <si>
    <t>High</t>
  </si>
  <si>
    <t>Low</t>
  </si>
  <si>
    <t>75th Percentile</t>
  </si>
  <si>
    <t>25th Percentile</t>
  </si>
  <si>
    <t>Avenue Super. Comparable Valuation</t>
  </si>
  <si>
    <t>Implied Enterprise Value</t>
  </si>
  <si>
    <t>Implied Market Value</t>
  </si>
  <si>
    <t>Implied Value per Share</t>
  </si>
  <si>
    <t>Source: The Valuation School, Screener.in</t>
  </si>
  <si>
    <t>Amount in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</si>
</sst>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₹-44F]\ #,##0.0;\([$₹-44F]\ #,##0.0\);\-"/>
    <numFmt numFmtId="167" formatCode="[$₹-44F]\ #,##0.00;\([$₹-44F]\ #,##0.00\);\-"/>
    <numFmt numFmtId="168" formatCode="0.00&quot;x&quot;"/>
    <numFmt numFmtId="169" formatCode="yyyy&quot;A&quot;"/>
    <numFmt numFmtId="170" formatCode="yyyy&quot;E&quot;"/>
    <numFmt numFmtId="171" formatCode="d\-mm\-yy"/>
    <numFmt numFmtId="172" formatCode="#,##0.0;\(#,##0.0\);\-"/>
    <numFmt numFmtId="173" formatCode="mmm\-yy&quot;A&quot;"/>
    <numFmt numFmtId="174" formatCode="mmm\-yy&quot;E&quot;"/>
    <numFmt numFmtId="175" formatCode="&quot;$&quot;#,##0.00"/>
    <numFmt numFmtId="176" formatCode="0.000"/>
    <numFmt numFmtId="177" formatCode="0.0"/>
    <numFmt numFmtId="178" formatCode="0.00\x"/>
    <numFmt numFmtId="179" formatCode="[$₹-44F]\ #,##0.0;[$₹-44F]\ \-#,##0.0"/>
    <numFmt numFmtId="185" formatCode="#,##0;\(#,##0\)"/>
    <numFmt numFmtId="186" formatCode="0.0\x"/>
    <numFmt numFmtId="187" formatCode="0.0\x;\-"/>
    <numFmt numFmtId="188" formatCode="#,##0.0;\(#,##0.0\)"/>
    <numFmt numFmtId="189" formatCode="#,##0.00;\(#,##0.00\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</font>
    <font>
      <sz val="11"/>
      <color rgb="FF3333FF"/>
      <name val="calibri"/>
      <family val="2"/>
    </font>
    <font>
      <sz val="11"/>
      <name val="calibri"/>
      <family val="2"/>
    </font>
    <font>
      <i/>
      <sz val="9"/>
      <color theme="1"/>
      <name val="calibri"/>
      <family val="2"/>
    </font>
    <font>
      <i/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0000FF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1"/>
      <color rgb="FF3333FF"/>
      <name val="Calibri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 "/>
    </font>
    <font>
      <sz val="11"/>
      <name val="Calibri "/>
    </font>
    <font>
      <sz val="11"/>
      <color theme="1"/>
      <name val="Calibri "/>
    </font>
    <font>
      <b/>
      <sz val="11"/>
      <name val="Calibri "/>
    </font>
    <font>
      <b/>
      <sz val="11"/>
      <color theme="1"/>
      <name val="Calibri 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3333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8" tint="-0.24994659260841701"/>
      </top>
      <bottom style="hair">
        <color theme="8" tint="-0.24994659260841701"/>
      </bottom>
      <diagonal/>
    </border>
    <border>
      <left/>
      <right/>
      <top style="thin">
        <color theme="8" tint="-0.24994659260841701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  <xf numFmtId="0" fontId="27" fillId="0" borderId="0"/>
  </cellStyleXfs>
  <cellXfs count="277">
    <xf numFmtId="0" fontId="0" fillId="0" borderId="0" xfId="0"/>
    <xf numFmtId="164" fontId="2" fillId="0" borderId="0" xfId="1" applyFont="1" applyBorder="1"/>
    <xf numFmtId="164" fontId="0" fillId="0" borderId="0" xfId="1" applyFont="1" applyBorder="1"/>
    <xf numFmtId="164" fontId="4" fillId="0" borderId="0" xfId="1" applyFont="1" applyBorder="1"/>
    <xf numFmtId="0" fontId="0" fillId="0" borderId="0" xfId="0" applyBorder="1"/>
    <xf numFmtId="165" fontId="3" fillId="3" borderId="0" xfId="0" applyNumberFormat="1" applyFont="1" applyFill="1" applyBorder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43" fontId="0" fillId="0" borderId="0" xfId="1" applyNumberFormat="1" applyFont="1" applyBorder="1"/>
    <xf numFmtId="0" fontId="2" fillId="0" borderId="0" xfId="0" applyFont="1"/>
    <xf numFmtId="166" fontId="0" fillId="0" borderId="0" xfId="0" applyNumberFormat="1"/>
    <xf numFmtId="0" fontId="9" fillId="0" borderId="0" xfId="0" applyFont="1" applyAlignment="1">
      <alignment horizontal="right"/>
    </xf>
    <xf numFmtId="10" fontId="10" fillId="0" borderId="0" xfId="4" applyNumberFormat="1" applyFont="1"/>
    <xf numFmtId="0" fontId="2" fillId="4" borderId="0" xfId="0" applyFont="1" applyFill="1"/>
    <xf numFmtId="0" fontId="0" fillId="4" borderId="0" xfId="0" applyFill="1"/>
    <xf numFmtId="167" fontId="0" fillId="0" borderId="0" xfId="0" applyNumberFormat="1"/>
    <xf numFmtId="166" fontId="2" fillId="0" borderId="0" xfId="0" applyNumberFormat="1" applyFont="1"/>
    <xf numFmtId="0" fontId="11" fillId="0" borderId="0" xfId="0" applyFont="1"/>
    <xf numFmtId="0" fontId="8" fillId="0" borderId="0" xfId="0" applyFont="1"/>
    <xf numFmtId="3" fontId="0" fillId="0" borderId="0" xfId="0" applyNumberFormat="1"/>
    <xf numFmtId="0" fontId="2" fillId="0" borderId="1" xfId="0" applyFont="1" applyBorder="1"/>
    <xf numFmtId="0" fontId="0" fillId="0" borderId="1" xfId="0" applyBorder="1"/>
    <xf numFmtId="168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right"/>
    </xf>
    <xf numFmtId="10" fontId="0" fillId="0" borderId="2" xfId="4" applyNumberFormat="1" applyFont="1" applyBorder="1"/>
    <xf numFmtId="0" fontId="0" fillId="0" borderId="0" xfId="0" applyBorder="1" applyAlignment="1">
      <alignment horizontal="right"/>
    </xf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0" fontId="0" fillId="0" borderId="2" xfId="0" applyNumberFormat="1" applyBorder="1"/>
    <xf numFmtId="10" fontId="0" fillId="0" borderId="0" xfId="0" applyNumberFormat="1" applyBorder="1"/>
    <xf numFmtId="10" fontId="0" fillId="0" borderId="3" xfId="0" applyNumberForma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0" fontId="0" fillId="0" borderId="4" xfId="4" applyNumberFormat="1" applyFont="1" applyBorder="1"/>
    <xf numFmtId="0" fontId="0" fillId="0" borderId="4" xfId="0" applyBorder="1"/>
    <xf numFmtId="10" fontId="0" fillId="0" borderId="5" xfId="4" applyNumberFormat="1" applyFont="1" applyBorder="1"/>
    <xf numFmtId="0" fontId="0" fillId="0" borderId="5" xfId="0" applyBorder="1"/>
    <xf numFmtId="1" fontId="0" fillId="0" borderId="4" xfId="0" applyNumberFormat="1" applyBorder="1"/>
    <xf numFmtId="1" fontId="0" fillId="0" borderId="5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4" applyNumberFormat="1" applyFont="1"/>
    <xf numFmtId="169" fontId="0" fillId="0" borderId="0" xfId="0" applyNumberFormat="1"/>
    <xf numFmtId="0" fontId="0" fillId="5" borderId="0" xfId="0" applyFill="1" applyAlignment="1">
      <alignment horizontal="left"/>
    </xf>
    <xf numFmtId="170" fontId="0" fillId="5" borderId="0" xfId="0" applyNumberFormat="1" applyFill="1"/>
    <xf numFmtId="10" fontId="0" fillId="5" borderId="0" xfId="4" applyNumberFormat="1" applyFont="1" applyFill="1"/>
    <xf numFmtId="0" fontId="3" fillId="6" borderId="0" xfId="0" applyFont="1" applyFill="1" applyAlignment="1">
      <alignment horizontal="center"/>
    </xf>
    <xf numFmtId="0" fontId="7" fillId="6" borderId="6" xfId="0" applyFont="1" applyFill="1" applyBorder="1"/>
    <xf numFmtId="17" fontId="7" fillId="6" borderId="6" xfId="0" applyNumberFormat="1" applyFont="1" applyFill="1" applyBorder="1"/>
    <xf numFmtId="0" fontId="7" fillId="6" borderId="0" xfId="0" applyFont="1" applyFill="1" applyBorder="1"/>
    <xf numFmtId="17" fontId="7" fillId="6" borderId="0" xfId="0" applyNumberFormat="1" applyFont="1" applyFill="1" applyBorder="1"/>
    <xf numFmtId="0" fontId="12" fillId="6" borderId="0" xfId="0" applyFont="1" applyFill="1" applyBorder="1"/>
    <xf numFmtId="10" fontId="12" fillId="6" borderId="0" xfId="4" applyNumberFormat="1" applyFont="1" applyFill="1" applyBorder="1"/>
    <xf numFmtId="10" fontId="2" fillId="0" borderId="0" xfId="4" applyNumberFormat="1" applyFont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10" fontId="14" fillId="0" borderId="0" xfId="0" applyNumberFormat="1" applyFont="1" applyAlignment="1">
      <alignment horizontal="right"/>
    </xf>
    <xf numFmtId="0" fontId="0" fillId="0" borderId="0" xfId="0" applyFill="1"/>
    <xf numFmtId="0" fontId="14" fillId="0" borderId="0" xfId="0" applyFont="1"/>
    <xf numFmtId="0" fontId="13" fillId="6" borderId="0" xfId="0" applyFont="1" applyFill="1" applyAlignment="1">
      <alignment horizontal="center"/>
    </xf>
    <xf numFmtId="0" fontId="14" fillId="0" borderId="19" xfId="0" applyFont="1" applyBorder="1" applyAlignment="1">
      <alignment horizontal="left"/>
    </xf>
    <xf numFmtId="0" fontId="14" fillId="0" borderId="19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2" fontId="0" fillId="0" borderId="0" xfId="0" applyNumberFormat="1"/>
    <xf numFmtId="17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10" fontId="0" fillId="0" borderId="0" xfId="4" applyNumberFormat="1" applyFont="1" applyAlignment="1">
      <alignment horizontal="right"/>
    </xf>
    <xf numFmtId="10" fontId="1" fillId="0" borderId="0" xfId="4" applyNumberFormat="1" applyFont="1" applyAlignment="1">
      <alignment horizontal="left"/>
    </xf>
    <xf numFmtId="10" fontId="14" fillId="5" borderId="0" xfId="4" applyNumberFormat="1" applyFont="1" applyFill="1" applyAlignment="1">
      <alignment horizontal="left"/>
    </xf>
    <xf numFmtId="2" fontId="14" fillId="5" borderId="0" xfId="0" applyNumberFormat="1" applyFont="1" applyFill="1"/>
    <xf numFmtId="0" fontId="0" fillId="0" borderId="0" xfId="0" applyFill="1" applyBorder="1" applyAlignment="1"/>
    <xf numFmtId="0" fontId="0" fillId="0" borderId="20" xfId="0" applyFill="1" applyBorder="1" applyAlignment="1"/>
    <xf numFmtId="0" fontId="8" fillId="0" borderId="21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Continuous"/>
    </xf>
    <xf numFmtId="0" fontId="16" fillId="0" borderId="0" xfId="0" applyFont="1"/>
    <xf numFmtId="0" fontId="0" fillId="0" borderId="22" xfId="0" applyBorder="1"/>
    <xf numFmtId="0" fontId="0" fillId="0" borderId="22" xfId="0" applyBorder="1" applyAlignment="1"/>
    <xf numFmtId="0" fontId="0" fillId="0" borderId="23" xfId="0" applyBorder="1"/>
    <xf numFmtId="0" fontId="0" fillId="0" borderId="23" xfId="0" applyBorder="1" applyAlignment="1">
      <alignment vertical="center"/>
    </xf>
    <xf numFmtId="0" fontId="17" fillId="0" borderId="0" xfId="0" applyFont="1"/>
    <xf numFmtId="10" fontId="17" fillId="0" borderId="0" xfId="4" applyNumberFormat="1" applyFont="1"/>
    <xf numFmtId="10" fontId="0" fillId="7" borderId="0" xfId="4" applyNumberFormat="1" applyFont="1" applyFill="1"/>
    <xf numFmtId="2" fontId="0" fillId="7" borderId="0" xfId="0" applyNumberFormat="1" applyFill="1"/>
    <xf numFmtId="0" fontId="14" fillId="0" borderId="22" xfId="0" applyFont="1" applyBorder="1"/>
    <xf numFmtId="10" fontId="0" fillId="0" borderId="22" xfId="0" applyNumberFormat="1" applyBorder="1"/>
    <xf numFmtId="10" fontId="0" fillId="0" borderId="22" xfId="4" applyNumberFormat="1" applyFont="1" applyBorder="1"/>
    <xf numFmtId="2" fontId="0" fillId="0" borderId="22" xfId="0" applyNumberFormat="1" applyBorder="1"/>
    <xf numFmtId="0" fontId="14" fillId="0" borderId="23" xfId="0" applyFont="1" applyBorder="1"/>
    <xf numFmtId="10" fontId="0" fillId="0" borderId="23" xfId="0" applyNumberFormat="1" applyBorder="1"/>
    <xf numFmtId="10" fontId="0" fillId="0" borderId="23" xfId="4" applyNumberFormat="1" applyFont="1" applyBorder="1"/>
    <xf numFmtId="2" fontId="0" fillId="0" borderId="23" xfId="0" applyNumberFormat="1" applyBorder="1"/>
    <xf numFmtId="10" fontId="18" fillId="0" borderId="0" xfId="4" applyNumberFormat="1" applyFont="1"/>
    <xf numFmtId="10" fontId="18" fillId="7" borderId="2" xfId="4" applyNumberFormat="1" applyFont="1" applyFill="1" applyBorder="1"/>
    <xf numFmtId="10" fontId="0" fillId="5" borderId="2" xfId="4" applyNumberFormat="1" applyFont="1" applyFill="1" applyBorder="1"/>
    <xf numFmtId="0" fontId="14" fillId="0" borderId="23" xfId="0" applyFont="1" applyBorder="1" applyAlignment="1">
      <alignment horizontal="right"/>
    </xf>
    <xf numFmtId="10" fontId="0" fillId="0" borderId="0" xfId="0" applyNumberFormat="1"/>
    <xf numFmtId="2" fontId="0" fillId="5" borderId="2" xfId="0" applyNumberFormat="1" applyFill="1" applyBorder="1"/>
    <xf numFmtId="10" fontId="0" fillId="7" borderId="0" xfId="0" applyNumberFormat="1" applyFill="1"/>
    <xf numFmtId="0" fontId="19" fillId="0" borderId="0" xfId="0" applyFont="1"/>
    <xf numFmtId="0" fontId="0" fillId="0" borderId="0" xfId="0" applyFill="1" applyBorder="1"/>
    <xf numFmtId="10" fontId="0" fillId="0" borderId="0" xfId="0" applyNumberFormat="1" applyFont="1" applyFill="1" applyBorder="1" applyAlignment="1">
      <alignment horizontal="right"/>
    </xf>
    <xf numFmtId="0" fontId="19" fillId="0" borderId="0" xfId="0" applyFont="1" applyAlignment="1">
      <alignment vertical="top"/>
    </xf>
    <xf numFmtId="10" fontId="0" fillId="0" borderId="0" xfId="0" applyNumberFormat="1" applyFill="1" applyBorder="1"/>
    <xf numFmtId="10" fontId="0" fillId="0" borderId="0" xfId="4" applyNumberFormat="1" applyFont="1" applyFill="1" applyBorder="1"/>
    <xf numFmtId="0" fontId="14" fillId="5" borderId="0" xfId="0" applyFont="1" applyFill="1"/>
    <xf numFmtId="10" fontId="14" fillId="5" borderId="0" xfId="0" applyNumberFormat="1" applyFont="1" applyFill="1" applyBorder="1"/>
    <xf numFmtId="2" fontId="1" fillId="0" borderId="0" xfId="0" applyNumberFormat="1" applyFont="1"/>
    <xf numFmtId="0" fontId="3" fillId="0" borderId="0" xfId="0" applyFont="1" applyFill="1"/>
    <xf numFmtId="17" fontId="3" fillId="0" borderId="0" xfId="0" applyNumberFormat="1" applyFont="1" applyFill="1"/>
    <xf numFmtId="0" fontId="20" fillId="0" borderId="0" xfId="0" applyFont="1"/>
    <xf numFmtId="0" fontId="2" fillId="0" borderId="24" xfId="0" applyFont="1" applyBorder="1"/>
    <xf numFmtId="172" fontId="0" fillId="0" borderId="0" xfId="0" applyNumberFormat="1"/>
    <xf numFmtId="172" fontId="2" fillId="0" borderId="24" xfId="0" applyNumberFormat="1" applyFont="1" applyBorder="1"/>
    <xf numFmtId="172" fontId="2" fillId="0" borderId="0" xfId="0" applyNumberFormat="1" applyFont="1"/>
    <xf numFmtId="172" fontId="0" fillId="0" borderId="24" xfId="0" applyNumberFormat="1" applyBorder="1"/>
    <xf numFmtId="0" fontId="2" fillId="0" borderId="25" xfId="0" applyFont="1" applyBorder="1"/>
    <xf numFmtId="172" fontId="2" fillId="0" borderId="25" xfId="0" applyNumberFormat="1" applyFont="1" applyBorder="1"/>
    <xf numFmtId="0" fontId="2" fillId="0" borderId="0" xfId="0" applyFont="1" applyBorder="1"/>
    <xf numFmtId="172" fontId="2" fillId="0" borderId="0" xfId="0" applyNumberFormat="1" applyFont="1" applyBorder="1"/>
    <xf numFmtId="172" fontId="0" fillId="0" borderId="1" xfId="0" applyNumberFormat="1" applyBorder="1"/>
    <xf numFmtId="0" fontId="2" fillId="0" borderId="26" xfId="0" applyFont="1" applyBorder="1"/>
    <xf numFmtId="172" fontId="2" fillId="0" borderId="26" xfId="0" applyNumberFormat="1" applyFont="1" applyBorder="1"/>
    <xf numFmtId="0" fontId="3" fillId="8" borderId="0" xfId="0" applyFont="1" applyFill="1"/>
    <xf numFmtId="17" fontId="3" fillId="8" borderId="0" xfId="0" applyNumberFormat="1" applyFont="1" applyFill="1"/>
    <xf numFmtId="0" fontId="2" fillId="0" borderId="27" xfId="0" applyFont="1" applyBorder="1"/>
    <xf numFmtId="0" fontId="0" fillId="0" borderId="27" xfId="0" applyBorder="1"/>
    <xf numFmtId="0" fontId="0" fillId="0" borderId="26" xfId="0" applyBorder="1"/>
    <xf numFmtId="0" fontId="2" fillId="0" borderId="28" xfId="0" applyFont="1" applyBorder="1"/>
    <xf numFmtId="0" fontId="0" fillId="0" borderId="28" xfId="0" applyBorder="1"/>
    <xf numFmtId="10" fontId="0" fillId="0" borderId="28" xfId="0" applyNumberFormat="1" applyBorder="1"/>
    <xf numFmtId="0" fontId="2" fillId="0" borderId="29" xfId="0" applyFont="1" applyBorder="1"/>
    <xf numFmtId="10" fontId="22" fillId="0" borderId="4" xfId="0" applyNumberFormat="1" applyFont="1" applyBorder="1"/>
    <xf numFmtId="0" fontId="2" fillId="0" borderId="29" xfId="0" applyFont="1" applyBorder="1" applyAlignment="1">
      <alignment horizontal="right"/>
    </xf>
    <xf numFmtId="10" fontId="2" fillId="0" borderId="29" xfId="0" applyNumberFormat="1" applyFont="1" applyBorder="1"/>
    <xf numFmtId="0" fontId="0" fillId="0" borderId="29" xfId="0" applyBorder="1"/>
    <xf numFmtId="0" fontId="2" fillId="5" borderId="0" xfId="0" applyFont="1" applyFill="1"/>
    <xf numFmtId="10" fontId="2" fillId="5" borderId="0" xfId="0" applyNumberFormat="1" applyFont="1" applyFill="1"/>
    <xf numFmtId="0" fontId="2" fillId="0" borderId="1" xfId="0" applyFont="1" applyFill="1" applyBorder="1"/>
    <xf numFmtId="0" fontId="13" fillId="0" borderId="0" xfId="0" applyFont="1" applyFill="1" applyAlignment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8" borderId="0" xfId="0" applyFont="1" applyFill="1" applyAlignment="1">
      <alignment horizontal="right"/>
    </xf>
    <xf numFmtId="17" fontId="3" fillId="8" borderId="0" xfId="0" applyNumberFormat="1" applyFont="1" applyFill="1" applyAlignment="1">
      <alignment horizontal="right"/>
    </xf>
    <xf numFmtId="0" fontId="24" fillId="8" borderId="0" xfId="0" applyFont="1" applyFill="1"/>
    <xf numFmtId="0" fontId="21" fillId="8" borderId="0" xfId="0" applyFont="1" applyFill="1"/>
    <xf numFmtId="17" fontId="3" fillId="8" borderId="0" xfId="0" applyNumberFormat="1" applyFont="1" applyFill="1" applyAlignment="1">
      <alignment horizontal="center"/>
    </xf>
    <xf numFmtId="166" fontId="2" fillId="0" borderId="26" xfId="0" applyNumberFormat="1" applyFont="1" applyBorder="1"/>
    <xf numFmtId="166" fontId="0" fillId="0" borderId="26" xfId="0" applyNumberFormat="1" applyBorder="1"/>
    <xf numFmtId="166" fontId="2" fillId="0" borderId="29" xfId="0" applyNumberFormat="1" applyFont="1" applyBorder="1"/>
    <xf numFmtId="166" fontId="0" fillId="0" borderId="29" xfId="0" applyNumberFormat="1" applyBorder="1"/>
    <xf numFmtId="0" fontId="0" fillId="8" borderId="0" xfId="0" applyFill="1"/>
    <xf numFmtId="0" fontId="6" fillId="8" borderId="0" xfId="0" applyFont="1" applyFill="1"/>
    <xf numFmtId="173" fontId="3" fillId="8" borderId="0" xfId="0" applyNumberFormat="1" applyFont="1" applyFill="1"/>
    <xf numFmtId="174" fontId="3" fillId="8" borderId="0" xfId="0" applyNumberFormat="1" applyFont="1" applyFill="1"/>
    <xf numFmtId="0" fontId="26" fillId="0" borderId="0" xfId="0" applyFont="1"/>
    <xf numFmtId="0" fontId="29" fillId="0" borderId="1" xfId="5" applyFont="1" applyFill="1" applyBorder="1"/>
    <xf numFmtId="0" fontId="29" fillId="0" borderId="1" xfId="5" applyFont="1" applyFill="1" applyBorder="1" applyAlignment="1">
      <alignment horizontal="center"/>
    </xf>
    <xf numFmtId="175" fontId="29" fillId="0" borderId="1" xfId="5" applyNumberFormat="1" applyFont="1" applyFill="1" applyBorder="1" applyAlignment="1">
      <alignment horizontal="left"/>
    </xf>
    <xf numFmtId="10" fontId="29" fillId="0" borderId="1" xfId="5" applyNumberFormat="1" applyFont="1" applyFill="1" applyBorder="1" applyAlignment="1">
      <alignment horizontal="left"/>
    </xf>
    <xf numFmtId="2" fontId="29" fillId="0" borderId="1" xfId="5" applyNumberFormat="1" applyFont="1" applyFill="1" applyBorder="1" applyAlignment="1">
      <alignment horizontal="left"/>
    </xf>
    <xf numFmtId="10" fontId="30" fillId="0" borderId="1" xfId="4" applyNumberFormat="1" applyFont="1" applyFill="1" applyBorder="1" applyAlignment="1">
      <alignment horizontal="left"/>
    </xf>
    <xf numFmtId="10" fontId="30" fillId="0" borderId="1" xfId="4" applyNumberFormat="1" applyFont="1" applyBorder="1" applyAlignment="1">
      <alignment horizontal="left"/>
    </xf>
    <xf numFmtId="0" fontId="29" fillId="0" borderId="4" xfId="5" applyFont="1" applyFill="1" applyBorder="1"/>
    <xf numFmtId="0" fontId="29" fillId="0" borderId="4" xfId="5" applyFont="1" applyFill="1" applyBorder="1" applyAlignment="1">
      <alignment horizontal="center"/>
    </xf>
    <xf numFmtId="175" fontId="29" fillId="0" borderId="4" xfId="5" applyNumberFormat="1" applyFont="1" applyFill="1" applyBorder="1" applyAlignment="1">
      <alignment horizontal="left"/>
    </xf>
    <xf numFmtId="10" fontId="29" fillId="0" borderId="4" xfId="5" applyNumberFormat="1" applyFont="1" applyFill="1" applyBorder="1" applyAlignment="1">
      <alignment horizontal="left"/>
    </xf>
    <xf numFmtId="2" fontId="29" fillId="0" borderId="4" xfId="5" applyNumberFormat="1" applyFont="1" applyFill="1" applyBorder="1" applyAlignment="1">
      <alignment horizontal="left"/>
    </xf>
    <xf numFmtId="10" fontId="30" fillId="0" borderId="4" xfId="4" applyNumberFormat="1" applyFont="1" applyFill="1" applyBorder="1" applyAlignment="1">
      <alignment horizontal="left"/>
    </xf>
    <xf numFmtId="10" fontId="30" fillId="0" borderId="4" xfId="4" applyNumberFormat="1" applyFont="1" applyBorder="1" applyAlignment="1">
      <alignment horizontal="left"/>
    </xf>
    <xf numFmtId="0" fontId="31" fillId="0" borderId="30" xfId="5" applyFont="1" applyFill="1" applyBorder="1"/>
    <xf numFmtId="0" fontId="31" fillId="0" borderId="30" xfId="5" applyFont="1" applyFill="1" applyBorder="1" applyAlignment="1">
      <alignment horizontal="center"/>
    </xf>
    <xf numFmtId="175" fontId="31" fillId="0" borderId="30" xfId="5" applyNumberFormat="1" applyFont="1" applyFill="1" applyBorder="1" applyAlignment="1">
      <alignment horizontal="left"/>
    </xf>
    <xf numFmtId="10" fontId="31" fillId="0" borderId="30" xfId="5" applyNumberFormat="1" applyFont="1" applyFill="1" applyBorder="1" applyAlignment="1">
      <alignment horizontal="left"/>
    </xf>
    <xf numFmtId="2" fontId="31" fillId="0" borderId="30" xfId="5" applyNumberFormat="1" applyFont="1" applyFill="1" applyBorder="1" applyAlignment="1">
      <alignment horizontal="left"/>
    </xf>
    <xf numFmtId="10" fontId="32" fillId="0" borderId="30" xfId="4" applyNumberFormat="1" applyFont="1" applyFill="1" applyBorder="1" applyAlignment="1">
      <alignment horizontal="left"/>
    </xf>
    <xf numFmtId="10" fontId="32" fillId="0" borderId="30" xfId="4" applyNumberFormat="1" applyFont="1" applyBorder="1" applyAlignment="1">
      <alignment horizontal="left"/>
    </xf>
    <xf numFmtId="0" fontId="31" fillId="0" borderId="31" xfId="5" applyFont="1" applyFill="1" applyBorder="1"/>
    <xf numFmtId="0" fontId="31" fillId="0" borderId="31" xfId="5" applyFont="1" applyFill="1" applyBorder="1" applyAlignment="1">
      <alignment horizontal="center"/>
    </xf>
    <xf numFmtId="175" fontId="31" fillId="0" borderId="31" xfId="5" applyNumberFormat="1" applyFont="1" applyFill="1" applyBorder="1" applyAlignment="1">
      <alignment horizontal="left"/>
    </xf>
    <xf numFmtId="10" fontId="31" fillId="0" borderId="31" xfId="5" applyNumberFormat="1" applyFont="1" applyFill="1" applyBorder="1" applyAlignment="1">
      <alignment horizontal="left"/>
    </xf>
    <xf numFmtId="2" fontId="31" fillId="0" borderId="31" xfId="5" applyNumberFormat="1" applyFont="1" applyFill="1" applyBorder="1" applyAlignment="1">
      <alignment horizontal="left"/>
    </xf>
    <xf numFmtId="10" fontId="32" fillId="0" borderId="31" xfId="4" applyNumberFormat="1" applyFont="1" applyFill="1" applyBorder="1" applyAlignment="1">
      <alignment horizontal="left"/>
    </xf>
    <xf numFmtId="10" fontId="32" fillId="0" borderId="31" xfId="4" applyNumberFormat="1" applyFont="1" applyBorder="1" applyAlignment="1">
      <alignment horizontal="left"/>
    </xf>
    <xf numFmtId="0" fontId="28" fillId="8" borderId="0" xfId="5" applyFont="1" applyFill="1" applyBorder="1" applyAlignment="1">
      <alignment horizontal="left" vertical="center" wrapText="1"/>
    </xf>
    <xf numFmtId="0" fontId="28" fillId="8" borderId="0" xfId="0" applyFont="1" applyFill="1" applyBorder="1" applyAlignment="1">
      <alignment horizontal="left" vertical="center" wrapText="1"/>
    </xf>
    <xf numFmtId="0" fontId="0" fillId="7" borderId="0" xfId="0" applyFill="1"/>
    <xf numFmtId="0" fontId="0" fillId="5" borderId="0" xfId="0" applyFill="1"/>
    <xf numFmtId="10" fontId="0" fillId="5" borderId="0" xfId="0" applyNumberFormat="1" applyFill="1"/>
    <xf numFmtId="10" fontId="25" fillId="5" borderId="0" xfId="0" applyNumberFormat="1" applyFont="1" applyFill="1" applyAlignment="1">
      <alignment horizontal="right"/>
    </xf>
    <xf numFmtId="0" fontId="0" fillId="0" borderId="32" xfId="0" applyBorder="1"/>
    <xf numFmtId="10" fontId="0" fillId="0" borderId="26" xfId="0" applyNumberFormat="1" applyBorder="1"/>
    <xf numFmtId="0" fontId="25" fillId="0" borderId="26" xfId="0" applyFont="1" applyBorder="1"/>
    <xf numFmtId="0" fontId="0" fillId="7" borderId="26" xfId="0" applyFill="1" applyBorder="1"/>
    <xf numFmtId="10" fontId="25" fillId="7" borderId="26" xfId="4" applyNumberFormat="1" applyFont="1" applyFill="1" applyBorder="1"/>
    <xf numFmtId="10" fontId="0" fillId="7" borderId="26" xfId="0" applyNumberFormat="1" applyFill="1" applyBorder="1"/>
    <xf numFmtId="0" fontId="0" fillId="7" borderId="29" xfId="0" applyFill="1" applyBorder="1"/>
    <xf numFmtId="176" fontId="0" fillId="0" borderId="26" xfId="0" applyNumberFormat="1" applyBorder="1"/>
    <xf numFmtId="0" fontId="34" fillId="0" borderId="0" xfId="0" applyFont="1" applyAlignment="1">
      <alignment horizontal="left" vertical="top"/>
    </xf>
    <xf numFmtId="10" fontId="0" fillId="0" borderId="32" xfId="0" applyNumberFormat="1" applyBorder="1"/>
    <xf numFmtId="177" fontId="0" fillId="0" borderId="0" xfId="0" applyNumberFormat="1"/>
    <xf numFmtId="0" fontId="2" fillId="0" borderId="0" xfId="0" applyFont="1" applyFill="1" applyBorder="1"/>
    <xf numFmtId="177" fontId="2" fillId="0" borderId="29" xfId="0" applyNumberFormat="1" applyFont="1" applyBorder="1"/>
    <xf numFmtId="178" fontId="0" fillId="0" borderId="0" xfId="0" applyNumberFormat="1"/>
    <xf numFmtId="166" fontId="0" fillId="5" borderId="0" xfId="0" applyNumberFormat="1" applyFill="1"/>
    <xf numFmtId="179" fontId="0" fillId="7" borderId="26" xfId="0" applyNumberFormat="1" applyFill="1" applyBorder="1"/>
    <xf numFmtId="179" fontId="0" fillId="0" borderId="26" xfId="0" applyNumberFormat="1" applyBorder="1"/>
    <xf numFmtId="179" fontId="0" fillId="0" borderId="29" xfId="0" applyNumberFormat="1" applyBorder="1"/>
    <xf numFmtId="179" fontId="0" fillId="0" borderId="0" xfId="0" applyNumberFormat="1"/>
    <xf numFmtId="179" fontId="2" fillId="0" borderId="29" xfId="0" applyNumberFormat="1" applyFont="1" applyBorder="1"/>
    <xf numFmtId="179" fontId="2" fillId="0" borderId="0" xfId="0" applyNumberFormat="1" applyFont="1"/>
    <xf numFmtId="179" fontId="17" fillId="0" borderId="0" xfId="0" applyNumberFormat="1" applyFont="1"/>
    <xf numFmtId="166" fontId="18" fillId="0" borderId="0" xfId="0" applyNumberFormat="1" applyFont="1"/>
    <xf numFmtId="166" fontId="0" fillId="0" borderId="2" xfId="0" applyNumberFormat="1" applyBorder="1"/>
    <xf numFmtId="166" fontId="0" fillId="0" borderId="0" xfId="0" applyNumberFormat="1" applyAlignment="1">
      <alignment horizontal="right"/>
    </xf>
    <xf numFmtId="166" fontId="0" fillId="0" borderId="1" xfId="0" applyNumberFormat="1" applyBorder="1"/>
    <xf numFmtId="166" fontId="2" fillId="0" borderId="0" xfId="0" applyNumberFormat="1" applyFont="1" applyBorder="1"/>
    <xf numFmtId="166" fontId="2" fillId="0" borderId="27" xfId="0" applyNumberFormat="1" applyFont="1" applyBorder="1"/>
    <xf numFmtId="166" fontId="2" fillId="0" borderId="28" xfId="0" applyNumberFormat="1" applyFont="1" applyBorder="1"/>
    <xf numFmtId="166" fontId="0" fillId="0" borderId="1" xfId="0" applyNumberFormat="1" applyBorder="1" applyAlignment="1">
      <alignment horizontal="right"/>
    </xf>
    <xf numFmtId="166" fontId="0" fillId="0" borderId="26" xfId="0" applyNumberFormat="1" applyBorder="1" applyAlignment="1">
      <alignment horizontal="right"/>
    </xf>
    <xf numFmtId="0" fontId="3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5" fillId="0" borderId="0" xfId="2" applyNumberFormat="1" applyBorder="1" applyAlignment="1" applyProtection="1">
      <alignment horizontal="center"/>
    </xf>
    <xf numFmtId="164" fontId="3" fillId="2" borderId="0" xfId="3" applyNumberFormat="1" applyFont="1" applyBorder="1" applyAlignment="1">
      <alignment horizontal="center"/>
    </xf>
    <xf numFmtId="0" fontId="3" fillId="8" borderId="33" xfId="0" applyFont="1" applyFill="1" applyBorder="1" applyAlignment="1">
      <alignment horizontal="center"/>
    </xf>
    <xf numFmtId="0" fontId="35" fillId="0" borderId="32" xfId="0" applyFont="1" applyBorder="1"/>
    <xf numFmtId="0" fontId="3" fillId="8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0" fillId="0" borderId="1" xfId="0" applyBorder="1" applyAlignment="1">
      <alignment horizontal="left"/>
    </xf>
    <xf numFmtId="185" fontId="0" fillId="0" borderId="1" xfId="0" applyNumberFormat="1" applyBorder="1" applyAlignment="1">
      <alignment horizontal="right"/>
    </xf>
    <xf numFmtId="186" fontId="0" fillId="0" borderId="1" xfId="0" applyNumberFormat="1" applyBorder="1" applyAlignment="1">
      <alignment horizontal="right"/>
    </xf>
    <xf numFmtId="0" fontId="0" fillId="5" borderId="1" xfId="0" applyFill="1" applyBorder="1" applyAlignment="1">
      <alignment horizontal="left"/>
    </xf>
    <xf numFmtId="185" fontId="0" fillId="5" borderId="1" xfId="0" applyNumberFormat="1" applyFill="1" applyBorder="1" applyAlignment="1">
      <alignment horizontal="right"/>
    </xf>
    <xf numFmtId="186" fontId="0" fillId="5" borderId="1" xfId="0" applyNumberFormat="1" applyFill="1" applyBorder="1" applyAlignment="1">
      <alignment horizontal="right"/>
    </xf>
    <xf numFmtId="187" fontId="0" fillId="5" borderId="1" xfId="0" applyNumberFormat="1" applyFill="1" applyBorder="1" applyAlignment="1">
      <alignment horizontal="right"/>
    </xf>
    <xf numFmtId="187" fontId="0" fillId="0" borderId="1" xfId="0" applyNumberFormat="1" applyBorder="1" applyAlignment="1">
      <alignment horizontal="right"/>
    </xf>
    <xf numFmtId="189" fontId="0" fillId="5" borderId="1" xfId="0" applyNumberFormat="1" applyFill="1" applyBorder="1" applyAlignment="1">
      <alignment horizontal="right"/>
    </xf>
    <xf numFmtId="189" fontId="0" fillId="0" borderId="1" xfId="0" applyNumberFormat="1" applyBorder="1" applyAlignment="1">
      <alignment horizontal="right"/>
    </xf>
    <xf numFmtId="185" fontId="0" fillId="0" borderId="1" xfId="0" applyNumberFormat="1" applyFill="1" applyBorder="1" applyAlignment="1">
      <alignment horizontal="right"/>
    </xf>
    <xf numFmtId="185" fontId="0" fillId="0" borderId="0" xfId="0" applyNumberFormat="1" applyFill="1" applyBorder="1" applyAlignment="1">
      <alignment horizontal="right"/>
    </xf>
    <xf numFmtId="188" fontId="2" fillId="0" borderId="0" xfId="0" applyNumberFormat="1" applyFont="1" applyFill="1" applyBorder="1" applyAlignment="1">
      <alignment horizontal="right"/>
    </xf>
    <xf numFmtId="0" fontId="0" fillId="5" borderId="1" xfId="0" applyFill="1" applyBorder="1"/>
    <xf numFmtId="186" fontId="0" fillId="5" borderId="1" xfId="0" applyNumberFormat="1" applyFill="1" applyBorder="1"/>
    <xf numFmtId="0" fontId="2" fillId="5" borderId="1" xfId="0" applyFont="1" applyFill="1" applyBorder="1"/>
    <xf numFmtId="186" fontId="2" fillId="5" borderId="1" xfId="0" applyNumberFormat="1" applyFont="1" applyFill="1" applyBorder="1"/>
    <xf numFmtId="0" fontId="36" fillId="0" borderId="0" xfId="0" applyFont="1"/>
    <xf numFmtId="0" fontId="2" fillId="5" borderId="26" xfId="0" applyFont="1" applyFill="1" applyBorder="1"/>
    <xf numFmtId="188" fontId="2" fillId="5" borderId="26" xfId="0" applyNumberFormat="1" applyFont="1" applyFill="1" applyBorder="1" applyAlignment="1">
      <alignment horizontal="right"/>
    </xf>
  </cellXfs>
  <cellStyles count="6">
    <cellStyle name="Accent6" xfId="3" builtinId="49"/>
    <cellStyle name="Comma" xfId="1" builtinId="3"/>
    <cellStyle name="Hyperlink" xfId="2" builtinId="8"/>
    <cellStyle name="Normal" xfId="0" builtinId="0"/>
    <cellStyle name="Normal 2" xfId="5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ta%20of%20Comp%20compan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wnloads/fundgrEBInd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t"/>
      <sheetName val="Vedant Fashions"/>
      <sheetName val="ABFRL"/>
      <sheetName val="Metro Brand"/>
    </sheetNames>
    <sheetDataSet>
      <sheetData sheetId="0">
        <row r="16">
          <cell r="J16">
            <v>1.0917343948732072</v>
          </cell>
        </row>
      </sheetData>
      <sheetData sheetId="1">
        <row r="16">
          <cell r="J16">
            <v>0.85984303085531599</v>
          </cell>
        </row>
      </sheetData>
      <sheetData sheetId="2">
        <row r="16">
          <cell r="J16">
            <v>1.114381267415689</v>
          </cell>
        </row>
      </sheetData>
      <sheetData sheetId="3">
        <row r="11">
          <cell r="J11">
            <v>0.75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 &amp; FAQ"/>
      <sheetName val="Industry Averages"/>
    </sheetNames>
    <sheetDataSet>
      <sheetData sheetId="0" refreshError="1"/>
      <sheetData sheetId="1" refreshError="1">
        <row r="9">
          <cell r="A9" t="str">
            <v>Advertising</v>
          </cell>
          <cell r="B9">
            <v>13</v>
          </cell>
          <cell r="C9">
            <v>0.5481964403891354</v>
          </cell>
          <cell r="D9">
            <v>1.0688904870530047</v>
          </cell>
          <cell r="E9">
            <v>0.5859619601682664</v>
          </cell>
        </row>
        <row r="10">
          <cell r="A10" t="str">
            <v>Aerospace/Defense</v>
          </cell>
          <cell r="B10">
            <v>13</v>
          </cell>
          <cell r="C10">
            <v>0.32757262775191348</v>
          </cell>
          <cell r="D10">
            <v>0.10374535866880351</v>
          </cell>
          <cell r="E10">
            <v>3.398413975620472E-2</v>
          </cell>
        </row>
        <row r="11">
          <cell r="A11" t="str">
            <v>Air Transport</v>
          </cell>
          <cell r="B11">
            <v>6</v>
          </cell>
          <cell r="C11">
            <v>9.4355938161953916E-3</v>
          </cell>
          <cell r="D11">
            <v>-63.388464512121203</v>
          </cell>
          <cell r="E11">
            <v>-0.59810780376869188</v>
          </cell>
        </row>
        <row r="12">
          <cell r="A12" t="str">
            <v>Apparel</v>
          </cell>
          <cell r="B12">
            <v>323</v>
          </cell>
          <cell r="C12">
            <v>0.10388355683297126</v>
          </cell>
          <cell r="D12">
            <v>0.91596690132646497</v>
          </cell>
          <cell r="E12">
            <v>9.5153899651068408E-2</v>
          </cell>
        </row>
        <row r="13">
          <cell r="A13" t="str">
            <v>Auto &amp; Truck</v>
          </cell>
          <cell r="B13">
            <v>12</v>
          </cell>
          <cell r="C13">
            <v>6.2256581950835124E-2</v>
          </cell>
          <cell r="D13">
            <v>-0.56249703944561291</v>
          </cell>
          <cell r="E13">
            <v>-3.5019143033347938E-2</v>
          </cell>
        </row>
        <row r="14">
          <cell r="A14" t="str">
            <v>Auto Parts</v>
          </cell>
          <cell r="B14">
            <v>107</v>
          </cell>
          <cell r="C14">
            <v>0.10468095423115484</v>
          </cell>
          <cell r="D14">
            <v>0.56606925401020902</v>
          </cell>
          <cell r="E14">
            <v>5.9256669670706655E-2</v>
          </cell>
        </row>
        <row r="15">
          <cell r="A15" t="str">
            <v>Bank (Money Center)</v>
          </cell>
          <cell r="B15">
            <v>32</v>
          </cell>
          <cell r="C15">
            <v>1.2337163217722785E-4</v>
          </cell>
          <cell r="D15">
            <v>95.33594666973957</v>
          </cell>
          <cell r="E15">
            <v>1.176175134580692E-2</v>
          </cell>
        </row>
        <row r="16">
          <cell r="A16" t="str">
            <v>Banks (Regional)</v>
          </cell>
          <cell r="B16">
            <v>5</v>
          </cell>
          <cell r="C16">
            <v>1.5031497250924336E-3</v>
          </cell>
          <cell r="D16">
            <v>14.611621092579158</v>
          </cell>
          <cell r="E16">
            <v>2.1963454228465167E-2</v>
          </cell>
        </row>
        <row r="17">
          <cell r="A17" t="str">
            <v>Beverage (Alcoholic)</v>
          </cell>
          <cell r="B17">
            <v>19</v>
          </cell>
          <cell r="C17">
            <v>0.17381666670255763</v>
          </cell>
          <cell r="D17">
            <v>0.24779292770549396</v>
          </cell>
          <cell r="E17">
            <v>4.3070540726236804E-2</v>
          </cell>
        </row>
        <row r="18">
          <cell r="A18" t="str">
            <v>Beverage (Soft)</v>
          </cell>
          <cell r="B18">
            <v>5</v>
          </cell>
          <cell r="C18">
            <v>0.30811573142810772</v>
          </cell>
          <cell r="D18">
            <v>-0.33803035048388758</v>
          </cell>
          <cell r="E18">
            <v>-0.10415246868424263</v>
          </cell>
        </row>
        <row r="19">
          <cell r="A19" t="str">
            <v>Broadcasting</v>
          </cell>
          <cell r="B19">
            <v>17</v>
          </cell>
          <cell r="C19">
            <v>0.16837757333734121</v>
          </cell>
          <cell r="D19">
            <v>1.034445825626654</v>
          </cell>
          <cell r="E19">
            <v>0.17417747786795842</v>
          </cell>
        </row>
        <row r="20">
          <cell r="A20" t="str">
            <v>Brokerage &amp; Investment Banking</v>
          </cell>
          <cell r="B20">
            <v>174</v>
          </cell>
          <cell r="C20">
            <v>1.9606827671580264E-3</v>
          </cell>
          <cell r="D20">
            <v>5.7275406547151411</v>
          </cell>
          <cell r="E20">
            <v>1.1229890259896977E-2</v>
          </cell>
        </row>
        <row r="21">
          <cell r="A21" t="str">
            <v>Building Materials</v>
          </cell>
          <cell r="B21">
            <v>48</v>
          </cell>
          <cell r="C21">
            <v>0.12764745181169843</v>
          </cell>
          <cell r="D21">
            <v>1.3441071637796804</v>
          </cell>
          <cell r="E21">
            <v>0.1715718544183254</v>
          </cell>
        </row>
        <row r="22">
          <cell r="A22" t="str">
            <v>Business &amp; Consumer Services</v>
          </cell>
          <cell r="B22">
            <v>58</v>
          </cell>
          <cell r="C22">
            <v>0.32829293910402418</v>
          </cell>
          <cell r="D22">
            <v>0.41066112391739112</v>
          </cell>
          <cell r="E22">
            <v>0.13481714734660222</v>
          </cell>
        </row>
        <row r="23">
          <cell r="A23" t="str">
            <v>Cable TV</v>
          </cell>
          <cell r="B23">
            <v>8</v>
          </cell>
          <cell r="C23">
            <v>5.7708734855127036E-2</v>
          </cell>
          <cell r="D23">
            <v>-6.1109338190461444E-2</v>
          </cell>
          <cell r="E23">
            <v>-3.5265425948056281E-3</v>
          </cell>
        </row>
        <row r="24">
          <cell r="A24" t="str">
            <v>Chemical (Basic)</v>
          </cell>
          <cell r="B24">
            <v>128</v>
          </cell>
          <cell r="C24">
            <v>0.15954216904347984</v>
          </cell>
          <cell r="D24">
            <v>0.74643329367882461</v>
          </cell>
          <cell r="E24">
            <v>0.11908758671978847</v>
          </cell>
        </row>
        <row r="25">
          <cell r="A25" t="str">
            <v>Chemical (Diversified)</v>
          </cell>
          <cell r="B25">
            <v>10</v>
          </cell>
          <cell r="C25">
            <v>0.19416394175951318</v>
          </cell>
          <cell r="D25">
            <v>1.1401458666663713</v>
          </cell>
          <cell r="E25">
            <v>0.221375215652759</v>
          </cell>
        </row>
        <row r="26">
          <cell r="A26" t="str">
            <v>Chemical (Specialty)</v>
          </cell>
          <cell r="B26">
            <v>167</v>
          </cell>
          <cell r="C26">
            <v>0.19880313878490141</v>
          </cell>
          <cell r="D26">
            <v>1.0439432416321388</v>
          </cell>
          <cell r="E26">
            <v>0.20753919314975397</v>
          </cell>
        </row>
        <row r="27">
          <cell r="A27" t="str">
            <v>Coal &amp; Related Energy</v>
          </cell>
          <cell r="B27">
            <v>2</v>
          </cell>
          <cell r="C27">
            <v>0.71837339712575421</v>
          </cell>
          <cell r="D27">
            <v>0.41353881262033443</v>
          </cell>
          <cell r="E27">
            <v>0.29707528166542035</v>
          </cell>
        </row>
        <row r="28">
          <cell r="A28" t="str">
            <v>Computer Services</v>
          </cell>
          <cell r="B28">
            <v>132</v>
          </cell>
          <cell r="C28">
            <v>0.34660583553728053</v>
          </cell>
          <cell r="D28">
            <v>0.40001646110603395</v>
          </cell>
          <cell r="E28">
            <v>0.13864803973032297</v>
          </cell>
        </row>
        <row r="29">
          <cell r="A29" t="str">
            <v>Computers/Peripherals</v>
          </cell>
          <cell r="B29">
            <v>6</v>
          </cell>
          <cell r="C29">
            <v>7.3694701090308817E-2</v>
          </cell>
          <cell r="D29">
            <v>1.0856706093494659</v>
          </cell>
          <cell r="E29">
            <v>8.0008171038542325E-2</v>
          </cell>
        </row>
        <row r="30">
          <cell r="A30" t="str">
            <v>Construction Supplies</v>
          </cell>
          <cell r="B30">
            <v>92</v>
          </cell>
          <cell r="C30">
            <v>8.4197292708314359E-2</v>
          </cell>
          <cell r="D30">
            <v>0.63262552870081923</v>
          </cell>
          <cell r="E30">
            <v>5.3265356814775004E-2</v>
          </cell>
        </row>
        <row r="31">
          <cell r="A31" t="str">
            <v>Diversified</v>
          </cell>
          <cell r="B31">
            <v>13</v>
          </cell>
          <cell r="C31">
            <v>4.6292250889799005E-2</v>
          </cell>
          <cell r="D31">
            <v>0.4658713714491578</v>
          </cell>
          <cell r="E31">
            <v>2.1566234409499157E-2</v>
          </cell>
        </row>
        <row r="32">
          <cell r="A32" t="str">
            <v>Drugs (Biotechnology)</v>
          </cell>
          <cell r="B32">
            <v>8</v>
          </cell>
          <cell r="C32">
            <v>7.1127434674824125E-3</v>
          </cell>
          <cell r="D32">
            <v>0.78430757039309884</v>
          </cell>
          <cell r="E32">
            <v>5.5785785478105164E-3</v>
          </cell>
        </row>
        <row r="33">
          <cell r="A33" t="str">
            <v>Drugs (Pharmaceutical)</v>
          </cell>
          <cell r="B33">
            <v>156</v>
          </cell>
          <cell r="C33">
            <v>0.10918096599071117</v>
          </cell>
          <cell r="D33">
            <v>0.50322141597600012</v>
          </cell>
          <cell r="E33">
            <v>5.4942200303473188E-2</v>
          </cell>
        </row>
        <row r="34">
          <cell r="A34" t="str">
            <v>Education</v>
          </cell>
          <cell r="B34">
            <v>26</v>
          </cell>
          <cell r="C34">
            <v>-4.4265499648040384E-4</v>
          </cell>
          <cell r="D34" t="str">
            <v>NA</v>
          </cell>
          <cell r="E34" t="str">
            <v>NA</v>
          </cell>
        </row>
        <row r="35">
          <cell r="A35" t="str">
            <v>Electrical Equipment</v>
          </cell>
          <cell r="B35">
            <v>102</v>
          </cell>
          <cell r="C35">
            <v>8.1961759076178392E-2</v>
          </cell>
          <cell r="D35">
            <v>0.66835194622801919</v>
          </cell>
          <cell r="E35">
            <v>5.4779301194835844E-2</v>
          </cell>
        </row>
        <row r="36">
          <cell r="A36" t="str">
            <v>Electronics (Consumer &amp; Office)</v>
          </cell>
          <cell r="B36">
            <v>8</v>
          </cell>
          <cell r="C36">
            <v>0.18315465983616155</v>
          </cell>
          <cell r="D36">
            <v>1.7809276807530692</v>
          </cell>
          <cell r="E36">
            <v>0.32618520356113251</v>
          </cell>
        </row>
        <row r="37">
          <cell r="A37" t="str">
            <v>Electronics (General)</v>
          </cell>
          <cell r="B37">
            <v>27</v>
          </cell>
          <cell r="C37">
            <v>0.18003386840290664</v>
          </cell>
          <cell r="D37">
            <v>1.5063476318378461</v>
          </cell>
          <cell r="E37">
            <v>0.27119359131932486</v>
          </cell>
        </row>
        <row r="38">
          <cell r="A38" t="str">
            <v>Engineering/Construction</v>
          </cell>
          <cell r="B38">
            <v>144</v>
          </cell>
          <cell r="C38">
            <v>7.575925611051422E-2</v>
          </cell>
          <cell r="D38">
            <v>0.64237266221006528</v>
          </cell>
          <cell r="E38">
            <v>4.8665675034765175E-2</v>
          </cell>
        </row>
        <row r="39">
          <cell r="A39" t="str">
            <v>Entertainment</v>
          </cell>
          <cell r="B39">
            <v>60</v>
          </cell>
          <cell r="C39">
            <v>4.8154167015314088E-2</v>
          </cell>
          <cell r="D39">
            <v>0.13714125017733084</v>
          </cell>
          <cell r="E39">
            <v>6.6039226657281618E-3</v>
          </cell>
        </row>
        <row r="40">
          <cell r="A40" t="str">
            <v>Environmental &amp; Waste Services</v>
          </cell>
          <cell r="B40">
            <v>10</v>
          </cell>
          <cell r="C40">
            <v>0.83833105454766255</v>
          </cell>
          <cell r="D40">
            <v>1.006117767994249</v>
          </cell>
          <cell r="E40">
            <v>0.84345976944175927</v>
          </cell>
        </row>
        <row r="41">
          <cell r="A41" t="str">
            <v>Farming/Agriculture</v>
          </cell>
          <cell r="B41">
            <v>57</v>
          </cell>
          <cell r="C41">
            <v>9.3950548573033893E-2</v>
          </cell>
          <cell r="D41">
            <v>0.43828774850654295</v>
          </cell>
          <cell r="E41">
            <v>4.1177374405029624E-2</v>
          </cell>
        </row>
        <row r="42">
          <cell r="A42" t="str">
            <v>Financial Svcs. (Non-bank &amp; Insurance)</v>
          </cell>
          <cell r="B42">
            <v>254</v>
          </cell>
          <cell r="C42">
            <v>6.7123619413060462E-3</v>
          </cell>
          <cell r="D42">
            <v>0.24313309520786455</v>
          </cell>
          <cell r="E42">
            <v>1.6319973349452094E-3</v>
          </cell>
        </row>
        <row r="43">
          <cell r="A43" t="str">
            <v>Food Processing</v>
          </cell>
          <cell r="B43">
            <v>185</v>
          </cell>
          <cell r="C43">
            <v>0.13447533438704362</v>
          </cell>
          <cell r="D43">
            <v>0.40733985303797321</v>
          </cell>
          <cell r="E43">
            <v>5.4777162946450651E-2</v>
          </cell>
        </row>
        <row r="44">
          <cell r="A44" t="str">
            <v>Food Wholesalers</v>
          </cell>
          <cell r="B44">
            <v>32</v>
          </cell>
          <cell r="C44">
            <v>4.9477152626834789E-2</v>
          </cell>
          <cell r="D44">
            <v>-2.6033413336889013</v>
          </cell>
          <cell r="E44">
            <v>-0.12880591650667342</v>
          </cell>
        </row>
        <row r="45">
          <cell r="A45" t="str">
            <v>Furn/Home Furnishings</v>
          </cell>
          <cell r="B45">
            <v>38</v>
          </cell>
          <cell r="C45">
            <v>0.14085458661753514</v>
          </cell>
          <cell r="D45">
            <v>1.1398352147209652</v>
          </cell>
          <cell r="E45">
            <v>0.16055101798163096</v>
          </cell>
        </row>
        <row r="46">
          <cell r="A46" t="str">
            <v>Green &amp; Renewable Energy</v>
          </cell>
          <cell r="B46">
            <v>18</v>
          </cell>
          <cell r="C46">
            <v>6.280103442734887E-2</v>
          </cell>
          <cell r="D46">
            <v>1.9161914314730939</v>
          </cell>
          <cell r="E46">
            <v>0.12033880405733269</v>
          </cell>
        </row>
        <row r="47">
          <cell r="A47" t="str">
            <v>Healthcare Products</v>
          </cell>
          <cell r="B47">
            <v>13</v>
          </cell>
          <cell r="C47">
            <v>9.8987765742727538E-2</v>
          </cell>
          <cell r="D47">
            <v>1.3246637864868804</v>
          </cell>
          <cell r="E47">
            <v>0.13112550858463776</v>
          </cell>
        </row>
        <row r="48">
          <cell r="A48" t="str">
            <v>Healthcare Support Services</v>
          </cell>
          <cell r="B48">
            <v>30</v>
          </cell>
          <cell r="C48">
            <v>0.33640326513740809</v>
          </cell>
          <cell r="D48">
            <v>1.667038978369614</v>
          </cell>
          <cell r="E48">
            <v>0.5607973554348672</v>
          </cell>
        </row>
        <row r="49">
          <cell r="A49" t="str">
            <v>Heathcare Information and Technology</v>
          </cell>
          <cell r="B49">
            <v>14</v>
          </cell>
          <cell r="C49">
            <v>0.16053382318406825</v>
          </cell>
          <cell r="D49">
            <v>0.42935080078534632</v>
          </cell>
          <cell r="E49">
            <v>6.8925325537212895E-2</v>
          </cell>
        </row>
        <row r="50">
          <cell r="A50" t="str">
            <v>Homebuilding</v>
          </cell>
          <cell r="B50">
            <v>1</v>
          </cell>
          <cell r="C50">
            <v>1.9351717464925013E-2</v>
          </cell>
          <cell r="D50">
            <v>-4.5449999999999999</v>
          </cell>
          <cell r="E50">
            <v>-8.7953555878084178E-2</v>
          </cell>
        </row>
        <row r="51">
          <cell r="A51" t="str">
            <v>Hospitals/Healthcare Facilities</v>
          </cell>
          <cell r="B51">
            <v>24</v>
          </cell>
          <cell r="C51">
            <v>0.16937347750385306</v>
          </cell>
          <cell r="D51">
            <v>0.36507853871185425</v>
          </cell>
          <cell r="E51">
            <v>6.18346216636518E-2</v>
          </cell>
        </row>
        <row r="52">
          <cell r="A52" t="str">
            <v>Hotel/Gaming</v>
          </cell>
          <cell r="B52">
            <v>57</v>
          </cell>
          <cell r="C52">
            <v>5.2289718750837939E-2</v>
          </cell>
          <cell r="D52">
            <v>-0.32336280770495851</v>
          </cell>
          <cell r="E52">
            <v>-1.6908550269373573E-2</v>
          </cell>
        </row>
        <row r="53">
          <cell r="A53" t="str">
            <v>Household Products</v>
          </cell>
          <cell r="B53">
            <v>36</v>
          </cell>
          <cell r="C53">
            <v>0.31665482696145375</v>
          </cell>
          <cell r="D53">
            <v>0.15515145241323383</v>
          </cell>
          <cell r="E53">
            <v>4.9129456316730782E-2</v>
          </cell>
        </row>
        <row r="54">
          <cell r="A54" t="str">
            <v>Information Services</v>
          </cell>
          <cell r="B54">
            <v>24</v>
          </cell>
          <cell r="C54">
            <v>-7.5610892662758599E-3</v>
          </cell>
          <cell r="D54" t="str">
            <v>NA</v>
          </cell>
          <cell r="E54" t="str">
            <v>NA</v>
          </cell>
        </row>
        <row r="55">
          <cell r="A55" t="str">
            <v>Insurance (General)</v>
          </cell>
          <cell r="B55">
            <v>2</v>
          </cell>
          <cell r="C55">
            <v>-0.74265306122448982</v>
          </cell>
          <cell r="D55" t="str">
            <v>NA</v>
          </cell>
          <cell r="E55" t="str">
            <v>NA</v>
          </cell>
        </row>
        <row r="56">
          <cell r="A56" t="str">
            <v>Insurance (Life)</v>
          </cell>
          <cell r="B56">
            <v>7</v>
          </cell>
          <cell r="C56">
            <v>0.48503918606217</v>
          </cell>
          <cell r="D56">
            <v>1.0776730504031691</v>
          </cell>
          <cell r="E56">
            <v>0.52271365920868906</v>
          </cell>
        </row>
        <row r="57">
          <cell r="A57" t="str">
            <v>Insurance (Prop/Cas.)</v>
          </cell>
          <cell r="B57">
            <v>2</v>
          </cell>
          <cell r="C57">
            <v>8.8956498322610267E-2</v>
          </cell>
          <cell r="D57">
            <v>2.3687101478835789E-2</v>
          </cell>
          <cell r="E57">
            <v>2.1071216029695549E-3</v>
          </cell>
        </row>
        <row r="58">
          <cell r="A58" t="str">
            <v>Investments &amp; Asset Management</v>
          </cell>
          <cell r="B58">
            <v>96</v>
          </cell>
          <cell r="C58">
            <v>5.1542131316036174E-2</v>
          </cell>
          <cell r="D58">
            <v>-0.17828198421375291</v>
          </cell>
          <cell r="E58">
            <v>-9.1890334416287415E-3</v>
          </cell>
        </row>
        <row r="59">
          <cell r="A59" t="str">
            <v>Machinery</v>
          </cell>
          <cell r="B59">
            <v>149</v>
          </cell>
          <cell r="C59">
            <v>0.1225804883727552</v>
          </cell>
          <cell r="D59">
            <v>0.46595877840159922</v>
          </cell>
          <cell r="E59">
            <v>5.711745461804045E-2</v>
          </cell>
        </row>
        <row r="60">
          <cell r="A60" t="str">
            <v>Metals &amp; Mining</v>
          </cell>
          <cell r="B60">
            <v>39</v>
          </cell>
          <cell r="C60">
            <v>0.21046688920661849</v>
          </cell>
          <cell r="D60">
            <v>0.22562602282707303</v>
          </cell>
          <cell r="E60">
            <v>4.7486807148475557E-2</v>
          </cell>
        </row>
        <row r="61">
          <cell r="A61" t="str">
            <v>Office Equipment &amp; Services</v>
          </cell>
          <cell r="B61">
            <v>13</v>
          </cell>
          <cell r="C61">
            <v>0.12559802166988535</v>
          </cell>
          <cell r="D61">
            <v>0.75326490938605206</v>
          </cell>
          <cell r="E61">
            <v>9.4608582412233591E-2</v>
          </cell>
        </row>
        <row r="62">
          <cell r="A62" t="str">
            <v>Oil/Gas (Integrated)</v>
          </cell>
          <cell r="B62">
            <v>1</v>
          </cell>
          <cell r="C62">
            <v>0.1098848595789933</v>
          </cell>
          <cell r="D62">
            <v>0.35866953954765568</v>
          </cell>
          <cell r="E62">
            <v>3.9412351988456329E-2</v>
          </cell>
        </row>
        <row r="63">
          <cell r="A63" t="str">
            <v>Oil/Gas (Production and Exploration)</v>
          </cell>
          <cell r="B63">
            <v>6</v>
          </cell>
          <cell r="C63">
            <v>0.20978430327175271</v>
          </cell>
          <cell r="D63">
            <v>0.6485171790246389</v>
          </cell>
          <cell r="E63">
            <v>0.1360487245614464</v>
          </cell>
        </row>
        <row r="64">
          <cell r="A64" t="str">
            <v>Oil/Gas Distribution</v>
          </cell>
          <cell r="B64">
            <v>11</v>
          </cell>
          <cell r="C64">
            <v>0.23549888380661438</v>
          </cell>
          <cell r="D64">
            <v>0.21689389969830022</v>
          </cell>
          <cell r="E64">
            <v>5.1078271283413475E-2</v>
          </cell>
        </row>
        <row r="65">
          <cell r="A65" t="str">
            <v>Oilfield Svcs/Equip.</v>
          </cell>
          <cell r="B65">
            <v>22</v>
          </cell>
          <cell r="C65">
            <v>6.6068807295048201E-2</v>
          </cell>
          <cell r="D65">
            <v>2.1740987584722715</v>
          </cell>
          <cell r="E65">
            <v>0.14364011191390805</v>
          </cell>
        </row>
        <row r="66">
          <cell r="A66" t="str">
            <v>Packaging &amp; Container</v>
          </cell>
          <cell r="B66">
            <v>79</v>
          </cell>
          <cell r="C66">
            <v>9.5540606616498963E-2</v>
          </cell>
          <cell r="D66">
            <v>1.3528022752537048</v>
          </cell>
          <cell r="E66">
            <v>0.12924755000991897</v>
          </cell>
        </row>
        <row r="67">
          <cell r="A67" t="str">
            <v>Paper/Forest Products</v>
          </cell>
          <cell r="B67">
            <v>50</v>
          </cell>
          <cell r="C67">
            <v>0.13374994533427095</v>
          </cell>
          <cell r="D67">
            <v>0.43220992638850314</v>
          </cell>
          <cell r="E67">
            <v>5.7808054027391566E-2</v>
          </cell>
        </row>
        <row r="68">
          <cell r="A68" t="str">
            <v>Power</v>
          </cell>
          <cell r="B68">
            <v>30</v>
          </cell>
          <cell r="C68">
            <v>8.2696670363050673E-2</v>
          </cell>
          <cell r="D68">
            <v>0.6322700593381404</v>
          </cell>
          <cell r="E68">
            <v>5.2286628677512687E-2</v>
          </cell>
        </row>
        <row r="69">
          <cell r="A69" t="str">
            <v>Precious Metals</v>
          </cell>
          <cell r="B69">
            <v>1</v>
          </cell>
          <cell r="C69">
            <v>-5.301080802882141E-2</v>
          </cell>
          <cell r="D69" t="str">
            <v>NA</v>
          </cell>
          <cell r="E69" t="str">
            <v>NA</v>
          </cell>
        </row>
        <row r="70">
          <cell r="A70" t="str">
            <v>Publishing &amp; Newspapers</v>
          </cell>
          <cell r="B70">
            <v>25</v>
          </cell>
          <cell r="C70">
            <v>6.4218423869389196E-2</v>
          </cell>
          <cell r="D70">
            <v>-3.2501892284095488E-2</v>
          </cell>
          <cell r="E70">
            <v>-2.0872202952572742E-3</v>
          </cell>
        </row>
        <row r="71">
          <cell r="A71" t="str">
            <v>R.E.I.T.</v>
          </cell>
          <cell r="B71">
            <v>4</v>
          </cell>
          <cell r="C71">
            <v>4.9187493346518604E-2</v>
          </cell>
          <cell r="D71">
            <v>-0.10685055156666216</v>
          </cell>
          <cell r="E71">
            <v>-5.255710794257038E-3</v>
          </cell>
        </row>
        <row r="72">
          <cell r="A72" t="str">
            <v>Real Estate (Development)</v>
          </cell>
          <cell r="B72">
            <v>137</v>
          </cell>
          <cell r="C72">
            <v>6.3861936512702833E-2</v>
          </cell>
          <cell r="D72">
            <v>0.72178315612017108</v>
          </cell>
          <cell r="E72">
            <v>4.6094470092084644E-2</v>
          </cell>
        </row>
        <row r="73">
          <cell r="A73" t="str">
            <v>Real Estate (General/Diversified)</v>
          </cell>
          <cell r="B73">
            <v>15</v>
          </cell>
          <cell r="C73">
            <v>3.6929998901734373E-2</v>
          </cell>
          <cell r="D73">
            <v>-0.14936515695097619</v>
          </cell>
          <cell r="E73">
            <v>-5.5160550821569329E-3</v>
          </cell>
        </row>
        <row r="74">
          <cell r="A74" t="str">
            <v>Real Estate (Operations &amp; Services)</v>
          </cell>
          <cell r="B74">
            <v>30</v>
          </cell>
          <cell r="C74">
            <v>9.1777448388906585E-2</v>
          </cell>
          <cell r="D74">
            <v>-0.3569986867135469</v>
          </cell>
          <cell r="E74">
            <v>-3.2764428544759978E-2</v>
          </cell>
        </row>
        <row r="75">
          <cell r="A75" t="str">
            <v>Recreation</v>
          </cell>
          <cell r="B75">
            <v>11</v>
          </cell>
          <cell r="C75">
            <v>7.3415578016866628E-2</v>
          </cell>
          <cell r="D75">
            <v>-0.65787781065201723</v>
          </cell>
          <cell r="E75">
            <v>-4.8298479733488581E-2</v>
          </cell>
        </row>
        <row r="76">
          <cell r="A76" t="str">
            <v>Reinsurance</v>
          </cell>
          <cell r="B76">
            <v>1</v>
          </cell>
          <cell r="C76">
            <v>9.1727675389693633E-2</v>
          </cell>
          <cell r="D76">
            <v>3.4129116353550874E-3</v>
          </cell>
          <cell r="E76">
            <v>3.1305845062155988E-4</v>
          </cell>
        </row>
        <row r="77">
          <cell r="A77" t="str">
            <v>Restaurant/Dining</v>
          </cell>
          <cell r="B77">
            <v>13</v>
          </cell>
          <cell r="C77">
            <v>9.0956170319139482E-2</v>
          </cell>
          <cell r="D77">
            <v>0.98617973819658045</v>
          </cell>
          <cell r="E77">
            <v>8.9699132232692561E-2</v>
          </cell>
        </row>
        <row r="78">
          <cell r="A78" t="str">
            <v>Retail (Automotive)</v>
          </cell>
          <cell r="B78">
            <v>4</v>
          </cell>
          <cell r="C78">
            <v>6.4365407710470612E-2</v>
          </cell>
          <cell r="D78">
            <v>1.7932131286483788</v>
          </cell>
          <cell r="E78">
            <v>0.11542089413722149</v>
          </cell>
        </row>
        <row r="79">
          <cell r="A79" t="str">
            <v>Retail (Building Supply)</v>
          </cell>
          <cell r="B79">
            <v>2</v>
          </cell>
          <cell r="C79">
            <v>3.9370986195435213E-2</v>
          </cell>
          <cell r="D79">
            <v>-1.7995437643397778</v>
          </cell>
          <cell r="E79">
            <v>-7.0849812703902906E-2</v>
          </cell>
        </row>
        <row r="80">
          <cell r="A80" t="str">
            <v>Retail (Distributors)</v>
          </cell>
          <cell r="B80">
            <v>239</v>
          </cell>
          <cell r="C80">
            <v>6.8689261905288748E-2</v>
          </cell>
          <cell r="D80">
            <v>1.9151495352569474</v>
          </cell>
          <cell r="E80">
            <v>0.13155020801505649</v>
          </cell>
        </row>
        <row r="81">
          <cell r="A81" t="str">
            <v>Retail (General)</v>
          </cell>
          <cell r="B81">
            <v>5</v>
          </cell>
          <cell r="C81">
            <v>-0.12605658632200917</v>
          </cell>
          <cell r="D81" t="str">
            <v>NA</v>
          </cell>
          <cell r="E81" t="str">
            <v>NA</v>
          </cell>
        </row>
        <row r="82">
          <cell r="A82" t="str">
            <v>Retail (Grocery and Food)</v>
          </cell>
          <cell r="B82">
            <v>5</v>
          </cell>
          <cell r="C82">
            <v>0.19057485838656057</v>
          </cell>
          <cell r="D82">
            <v>1.1102348044084014</v>
          </cell>
          <cell r="E82">
            <v>0.21158284062596186</v>
          </cell>
        </row>
        <row r="83">
          <cell r="A83" t="str">
            <v>Retail (Online)</v>
          </cell>
          <cell r="B83">
            <v>13</v>
          </cell>
          <cell r="C83">
            <v>-0.10306384077234169</v>
          </cell>
          <cell r="D83" t="str">
            <v>NA</v>
          </cell>
          <cell r="E83" t="str">
            <v>NA</v>
          </cell>
        </row>
        <row r="84">
          <cell r="A84" t="str">
            <v>Retail (Special Lines)</v>
          </cell>
          <cell r="B84">
            <v>28</v>
          </cell>
          <cell r="C84">
            <v>4.8689052892431646E-2</v>
          </cell>
          <cell r="D84">
            <v>1.417208206218072</v>
          </cell>
          <cell r="E84">
            <v>6.9002525312139878E-2</v>
          </cell>
        </row>
        <row r="85">
          <cell r="A85" t="str">
            <v>Rubber&amp; Tires</v>
          </cell>
          <cell r="B85">
            <v>16</v>
          </cell>
          <cell r="C85">
            <v>5.9135143065335551E-2</v>
          </cell>
          <cell r="D85">
            <v>1.7097166082735096</v>
          </cell>
          <cell r="E85">
            <v>0.10110433623143425</v>
          </cell>
        </row>
        <row r="86">
          <cell r="A86" t="str">
            <v>Semiconductor</v>
          </cell>
          <cell r="B86">
            <v>8</v>
          </cell>
          <cell r="C86">
            <v>1.8926200126029642E-2</v>
          </cell>
          <cell r="D86">
            <v>8.3739406014669324</v>
          </cell>
          <cell r="E86">
            <v>0.15848687566684819</v>
          </cell>
        </row>
        <row r="87">
          <cell r="A87" t="str">
            <v>Semiconductor Equip</v>
          </cell>
          <cell r="B87">
            <v>1</v>
          </cell>
          <cell r="C87">
            <v>0.17067050953161006</v>
          </cell>
          <cell r="D87">
            <v>3.7305189660419686</v>
          </cell>
          <cell r="E87">
            <v>0.63668957275171789</v>
          </cell>
        </row>
        <row r="88">
          <cell r="A88" t="str">
            <v>Shipbuilding &amp; Marine</v>
          </cell>
          <cell r="B88">
            <v>20</v>
          </cell>
          <cell r="C88">
            <v>0.10065339468144859</v>
          </cell>
          <cell r="D88">
            <v>0.53399783294381487</v>
          </cell>
          <cell r="E88">
            <v>5.3748694638332047E-2</v>
          </cell>
        </row>
        <row r="89">
          <cell r="A89" t="str">
            <v>Shoe</v>
          </cell>
          <cell r="B89">
            <v>12</v>
          </cell>
          <cell r="C89">
            <v>0.15648092232285932</v>
          </cell>
          <cell r="D89">
            <v>0.72860315716744573</v>
          </cell>
          <cell r="E89">
            <v>0.11401249404090913</v>
          </cell>
        </row>
        <row r="90">
          <cell r="A90" t="str">
            <v>Software (Entertainment)</v>
          </cell>
          <cell r="B90">
            <v>7</v>
          </cell>
          <cell r="C90">
            <v>5.9984733530836193E-2</v>
          </cell>
          <cell r="D90">
            <v>0.40206530841180615</v>
          </cell>
          <cell r="E90">
            <v>2.4117780387075665E-2</v>
          </cell>
        </row>
        <row r="91">
          <cell r="A91" t="str">
            <v>Software (Internet)</v>
          </cell>
          <cell r="B91">
            <v>7</v>
          </cell>
          <cell r="C91">
            <v>0.56789025146568062</v>
          </cell>
          <cell r="D91">
            <v>-6.4910136117351636E-2</v>
          </cell>
          <cell r="E91">
            <v>-3.6861833522354379E-2</v>
          </cell>
        </row>
        <row r="92">
          <cell r="A92" t="str">
            <v>Software (System &amp; Application)</v>
          </cell>
          <cell r="B92">
            <v>74</v>
          </cell>
          <cell r="C92">
            <v>0.25609235400320413</v>
          </cell>
          <cell r="D92">
            <v>0.64765322082496157</v>
          </cell>
          <cell r="E92">
            <v>0.16585903789882139</v>
          </cell>
        </row>
        <row r="93">
          <cell r="A93" t="str">
            <v>Steel</v>
          </cell>
          <cell r="B93">
            <v>157</v>
          </cell>
          <cell r="C93">
            <v>0.14882106776599549</v>
          </cell>
          <cell r="D93">
            <v>0.70318179051250562</v>
          </cell>
          <cell r="E93">
            <v>0.10464826489767565</v>
          </cell>
        </row>
        <row r="94">
          <cell r="A94" t="str">
            <v>Telecom (Wireless)</v>
          </cell>
          <cell r="B94">
            <v>3</v>
          </cell>
          <cell r="C94">
            <v>5.1824329356923132E-2</v>
          </cell>
          <cell r="D94">
            <v>-2.3517457986135066</v>
          </cell>
          <cell r="E94">
            <v>-0.12187764883110659</v>
          </cell>
        </row>
        <row r="95">
          <cell r="A95" t="str">
            <v>Telecom. Equipment</v>
          </cell>
          <cell r="B95">
            <v>20</v>
          </cell>
          <cell r="C95">
            <v>1.450058269482798E-2</v>
          </cell>
          <cell r="D95">
            <v>28.45881005219238</v>
          </cell>
          <cell r="E95">
            <v>0.41266932855821736</v>
          </cell>
        </row>
        <row r="96">
          <cell r="A96" t="str">
            <v>Telecom. Services</v>
          </cell>
          <cell r="B96">
            <v>13</v>
          </cell>
          <cell r="C96">
            <v>0.32090346766296463</v>
          </cell>
          <cell r="D96">
            <v>6.8645420617679684E-2</v>
          </cell>
          <cell r="E96">
            <v>2.2028553515396176E-2</v>
          </cell>
        </row>
        <row r="97">
          <cell r="A97" t="str">
            <v>Tobacco</v>
          </cell>
          <cell r="B97">
            <v>5</v>
          </cell>
          <cell r="C97">
            <v>0.26418872028879609</v>
          </cell>
          <cell r="D97">
            <v>0.13033908033352262</v>
          </cell>
          <cell r="E97">
            <v>3.4434114836931928E-2</v>
          </cell>
        </row>
        <row r="98">
          <cell r="A98" t="str">
            <v>Transportation</v>
          </cell>
          <cell r="B98">
            <v>38</v>
          </cell>
          <cell r="C98">
            <v>7.0164053490356385E-2</v>
          </cell>
          <cell r="D98">
            <v>0.35104671237328089</v>
          </cell>
          <cell r="E98">
            <v>2.4630860304572632E-2</v>
          </cell>
        </row>
        <row r="99">
          <cell r="A99" t="str">
            <v>Transportation (Railroads)</v>
          </cell>
          <cell r="B99">
            <v>1</v>
          </cell>
          <cell r="C99">
            <v>0.10595896968298314</v>
          </cell>
          <cell r="D99">
            <v>4.8611039557436616E-3</v>
          </cell>
          <cell r="E99">
            <v>5.1507756667247204E-4</v>
          </cell>
        </row>
        <row r="100">
          <cell r="A100" t="str">
            <v>Trucking</v>
          </cell>
          <cell r="B100">
            <v>12</v>
          </cell>
          <cell r="C100">
            <v>0.15991983580506577</v>
          </cell>
          <cell r="D100">
            <v>0.62135436003497624</v>
          </cell>
          <cell r="E100">
            <v>9.9366887233555121E-2</v>
          </cell>
        </row>
        <row r="101">
          <cell r="A101" t="str">
            <v>Utility (General)</v>
          </cell>
          <cell r="B101">
            <v>0</v>
          </cell>
          <cell r="C101" t="str">
            <v>NA</v>
          </cell>
          <cell r="D101" t="str">
            <v>NA</v>
          </cell>
          <cell r="E101" t="str">
            <v>NA</v>
          </cell>
        </row>
        <row r="102">
          <cell r="A102" t="str">
            <v>Utility (Water)</v>
          </cell>
          <cell r="B102">
            <v>1</v>
          </cell>
          <cell r="C102">
            <v>6.9675444864296276E-2</v>
          </cell>
          <cell r="D102">
            <v>2.2068538367665012</v>
          </cell>
          <cell r="E102">
            <v>0.15376352282718506</v>
          </cell>
        </row>
        <row r="103">
          <cell r="A103" t="str">
            <v>Total Market</v>
          </cell>
          <cell r="B103">
            <v>4149</v>
          </cell>
          <cell r="C103">
            <v>6.9675444864296276E-2</v>
          </cell>
          <cell r="D103">
            <v>0.65584879328164536</v>
          </cell>
          <cell r="E103">
            <v>4.5696556435610526E-2</v>
          </cell>
        </row>
        <row r="104">
          <cell r="A104" t="str">
            <v>Total Market (without financials)</v>
          </cell>
          <cell r="B104">
            <v>3577</v>
          </cell>
          <cell r="C104">
            <v>0.1108387439979267</v>
          </cell>
          <cell r="D104">
            <v>0.63841266876545721</v>
          </cell>
          <cell r="E104">
            <v>7.0760858358327683E-2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"/>
  <sheetViews>
    <sheetView workbookViewId="0">
      <selection activeCell="I10" sqref="I1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5" outlineLevelRow="1"/>
  <cols>
    <col min="1" max="1" width="1.85546875" customWidth="1"/>
    <col min="2" max="2" width="25.7109375" customWidth="1"/>
    <col min="3" max="13" width="13.7109375" customWidth="1"/>
  </cols>
  <sheetData>
    <row r="2" spans="1:13">
      <c r="B2" s="244" t="str">
        <f>"Historical Financial Statement - "&amp;'Data Sheet'!B1</f>
        <v>Historical Financial Statement - AVENUE SUPERMARTS LTD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</row>
    <row r="3" spans="1:13">
      <c r="B3" s="145" t="s">
        <v>56</v>
      </c>
      <c r="C3" s="146">
        <f>'Data Sheet'!B16</f>
        <v>41729</v>
      </c>
      <c r="D3" s="146">
        <f>'Data Sheet'!C16</f>
        <v>42094</v>
      </c>
      <c r="E3" s="146">
        <f>'Data Sheet'!D16</f>
        <v>42460</v>
      </c>
      <c r="F3" s="146">
        <f>'Data Sheet'!E16</f>
        <v>42825</v>
      </c>
      <c r="G3" s="146">
        <f>'Data Sheet'!F16</f>
        <v>43190</v>
      </c>
      <c r="H3" s="146">
        <f>'Data Sheet'!G16</f>
        <v>43555</v>
      </c>
      <c r="I3" s="146">
        <f>'Data Sheet'!H16</f>
        <v>43921</v>
      </c>
      <c r="J3" s="146">
        <f>'Data Sheet'!I16</f>
        <v>44286</v>
      </c>
      <c r="K3" s="146">
        <f>'Data Sheet'!J16</f>
        <v>44651</v>
      </c>
      <c r="L3" s="146">
        <f>'Data Sheet'!K16</f>
        <v>45016</v>
      </c>
      <c r="M3" s="166" t="s">
        <v>57</v>
      </c>
    </row>
    <row r="4" spans="1:13">
      <c r="B4" s="132" t="s">
        <v>286</v>
      </c>
    </row>
    <row r="5" spans="1:13">
      <c r="A5" s="9" t="s">
        <v>59</v>
      </c>
      <c r="B5" s="13" t="s">
        <v>58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outlineLevel="1">
      <c r="B6" t="s">
        <v>1</v>
      </c>
      <c r="C6" s="10">
        <f>IFERROR('Data Sheet'!B17,0)</f>
        <v>4686.4799999999996</v>
      </c>
      <c r="D6" s="10">
        <f>IFERROR('Data Sheet'!C17,0)</f>
        <v>6439.43</v>
      </c>
      <c r="E6" s="10">
        <f>IFERROR('Data Sheet'!D17,0)</f>
        <v>8583.76</v>
      </c>
      <c r="F6" s="10">
        <f>IFERROR('Data Sheet'!E17,0)</f>
        <v>11897.7</v>
      </c>
      <c r="G6" s="10">
        <f>IFERROR('Data Sheet'!F17,0)</f>
        <v>15033.2</v>
      </c>
      <c r="H6" s="10">
        <f>IFERROR('Data Sheet'!G17,0)</f>
        <v>20004.52</v>
      </c>
      <c r="I6" s="10">
        <f>IFERROR('Data Sheet'!H17,0)</f>
        <v>24870.2</v>
      </c>
      <c r="J6" s="10">
        <f>IFERROR('Data Sheet'!I17,0)</f>
        <v>24143.06</v>
      </c>
      <c r="K6" s="10">
        <f>IFERROR('Data Sheet'!J17,0)</f>
        <v>30976.27</v>
      </c>
      <c r="L6" s="10">
        <f>IFERROR('Data Sheet'!K17,0)</f>
        <v>42839.56</v>
      </c>
      <c r="M6" s="10">
        <f>IFERROR(SUM('Data Sheet'!H42:K42),0)</f>
        <v>48656.390000000007</v>
      </c>
    </row>
    <row r="7" spans="1:13" outlineLevel="1">
      <c r="B7" s="12" t="s">
        <v>10</v>
      </c>
      <c r="C7" s="11" t="s">
        <v>60</v>
      </c>
      <c r="D7" s="12">
        <f>IFERROR(D6/C6-1,0)</f>
        <v>0.37404405865382984</v>
      </c>
      <c r="E7" s="12">
        <f t="shared" ref="E7:M7" si="0">IFERROR(E6/D6-1,0)</f>
        <v>0.33299997049428276</v>
      </c>
      <c r="F7" s="12">
        <f t="shared" si="0"/>
        <v>0.38607090598991589</v>
      </c>
      <c r="G7" s="12">
        <f t="shared" si="0"/>
        <v>0.26353833093791246</v>
      </c>
      <c r="H7" s="12">
        <f t="shared" si="0"/>
        <v>0.33068940744485542</v>
      </c>
      <c r="I7" s="12">
        <f t="shared" si="0"/>
        <v>0.24322903023916598</v>
      </c>
      <c r="J7" s="12">
        <f t="shared" si="0"/>
        <v>-2.9237400583831175E-2</v>
      </c>
      <c r="K7" s="12">
        <f t="shared" si="0"/>
        <v>0.28302998874210639</v>
      </c>
      <c r="L7" s="12">
        <f t="shared" si="0"/>
        <v>0.38297993915987938</v>
      </c>
      <c r="M7" s="12">
        <f t="shared" si="0"/>
        <v>0.13578174005522015</v>
      </c>
    </row>
    <row r="8" spans="1:13" outlineLevel="1"/>
    <row r="9" spans="1:13" outlineLevel="1">
      <c r="B9" t="s">
        <v>61</v>
      </c>
      <c r="C9" s="10">
        <f>IFERROR(SUM('Data Sheet'!B18,'Data Sheet'!B20:B22)-1*'Data Sheet'!B19,0)</f>
        <v>4240.6099999999997</v>
      </c>
      <c r="D9" s="10">
        <f>IFERROR(SUM('Data Sheet'!C18,'Data Sheet'!C20:C22)-1*'Data Sheet'!C19,0)</f>
        <v>5835.9300000000012</v>
      </c>
      <c r="E9" s="10">
        <f>IFERROR(SUM('Data Sheet'!D18,'Data Sheet'!D20:D22)-1*'Data Sheet'!D19,0)</f>
        <v>7773.1799999999994</v>
      </c>
      <c r="F9" s="10">
        <f>IFERROR(SUM('Data Sheet'!E18,'Data Sheet'!E20:E22)-1*'Data Sheet'!E19,0)</f>
        <v>10706.01</v>
      </c>
      <c r="G9" s="10">
        <f>IFERROR(SUM('Data Sheet'!F18,'Data Sheet'!F20:F22)-1*'Data Sheet'!F19,0)</f>
        <v>13413.76</v>
      </c>
      <c r="H9" s="10">
        <f>IFERROR(SUM('Data Sheet'!G18,'Data Sheet'!G20:G22)-1*'Data Sheet'!G19,0)</f>
        <v>18009.53</v>
      </c>
      <c r="I9" s="10">
        <f>IFERROR(SUM('Data Sheet'!H18,'Data Sheet'!H20:H22)-1*'Data Sheet'!H19,0)</f>
        <v>22394.27</v>
      </c>
      <c r="J9" s="10">
        <f>IFERROR(SUM('Data Sheet'!I18,'Data Sheet'!I20:I22)-1*'Data Sheet'!I19,0)</f>
        <v>22012.890000000003</v>
      </c>
      <c r="K9" s="10">
        <f>IFERROR(SUM('Data Sheet'!J18,'Data Sheet'!J20:J22)-1*'Data Sheet'!J19,0)</f>
        <v>28028.46</v>
      </c>
      <c r="L9" s="10">
        <f>IFERROR(SUM('Data Sheet'!K18,'Data Sheet'!K20:K22)-1*'Data Sheet'!K19,0)</f>
        <v>38563.29</v>
      </c>
      <c r="M9" s="10">
        <f>IFERROR(SUM('Data Sheet'!H43:K43),0)</f>
        <v>44724.75</v>
      </c>
    </row>
    <row r="10" spans="1:13" outlineLevel="1">
      <c r="B10" s="12" t="s">
        <v>63</v>
      </c>
      <c r="C10" s="11" t="s">
        <v>60</v>
      </c>
      <c r="D10" s="12">
        <f>IFERROR(D9/D6,0)</f>
        <v>0.90628052482906107</v>
      </c>
      <c r="E10" s="12">
        <f t="shared" ref="E10:M10" si="1">IFERROR(E9/E6,0)</f>
        <v>0.90556818923175852</v>
      </c>
      <c r="F10" s="12">
        <f t="shared" si="1"/>
        <v>0.89983862427191807</v>
      </c>
      <c r="G10" s="12">
        <f t="shared" si="1"/>
        <v>0.89227576297794209</v>
      </c>
      <c r="H10" s="12">
        <f t="shared" si="1"/>
        <v>0.9002730382933456</v>
      </c>
      <c r="I10" s="12">
        <f t="shared" si="1"/>
        <v>0.90044591519167516</v>
      </c>
      <c r="J10" s="12">
        <f t="shared" si="1"/>
        <v>0.91176884785938495</v>
      </c>
      <c r="K10" s="12">
        <f t="shared" si="1"/>
        <v>0.90483650872103061</v>
      </c>
      <c r="L10" s="12">
        <f t="shared" si="1"/>
        <v>0.90017941360742271</v>
      </c>
      <c r="M10" s="12">
        <f t="shared" si="1"/>
        <v>0.91919581374614912</v>
      </c>
    </row>
    <row r="11" spans="1:13" outlineLevel="1"/>
    <row r="12" spans="1:13" outlineLevel="1">
      <c r="B12" s="143" t="s">
        <v>64</v>
      </c>
      <c r="C12" s="170">
        <f>IFERROR(C6-C9,0)</f>
        <v>445.86999999999989</v>
      </c>
      <c r="D12" s="170">
        <f t="shared" ref="D12:M12" si="2">IFERROR(D6-D9,0)</f>
        <v>603.49999999999909</v>
      </c>
      <c r="E12" s="170">
        <f t="shared" si="2"/>
        <v>810.58000000000084</v>
      </c>
      <c r="F12" s="170">
        <f t="shared" si="2"/>
        <v>1191.6900000000005</v>
      </c>
      <c r="G12" s="170">
        <f t="shared" si="2"/>
        <v>1619.4400000000005</v>
      </c>
      <c r="H12" s="170">
        <f t="shared" si="2"/>
        <v>1994.9900000000016</v>
      </c>
      <c r="I12" s="170">
        <f t="shared" si="2"/>
        <v>2475.9300000000003</v>
      </c>
      <c r="J12" s="170">
        <f t="shared" si="2"/>
        <v>2130.1699999999983</v>
      </c>
      <c r="K12" s="170">
        <f t="shared" si="2"/>
        <v>2947.8100000000013</v>
      </c>
      <c r="L12" s="170">
        <f t="shared" si="2"/>
        <v>4276.2699999999968</v>
      </c>
      <c r="M12" s="170">
        <f t="shared" si="2"/>
        <v>3931.6400000000067</v>
      </c>
    </row>
    <row r="13" spans="1:13" outlineLevel="1">
      <c r="B13" s="12" t="s">
        <v>62</v>
      </c>
      <c r="C13" s="12">
        <f>IFERROR(C12/C6,0)</f>
        <v>9.5139635718065566E-2</v>
      </c>
      <c r="D13" s="12">
        <f t="shared" ref="D13:M13" si="3">IFERROR(D12/D6,0)</f>
        <v>9.3719475170938898E-2</v>
      </c>
      <c r="E13" s="12">
        <f t="shared" si="3"/>
        <v>9.4431810768241517E-2</v>
      </c>
      <c r="F13" s="12">
        <f t="shared" si="3"/>
        <v>0.10016137572808194</v>
      </c>
      <c r="G13" s="12">
        <f t="shared" si="3"/>
        <v>0.10772423702205787</v>
      </c>
      <c r="H13" s="12">
        <f t="shared" si="3"/>
        <v>9.9726961706654377E-2</v>
      </c>
      <c r="I13" s="12">
        <f t="shared" si="3"/>
        <v>9.9554084808324825E-2</v>
      </c>
      <c r="J13" s="12">
        <f t="shared" si="3"/>
        <v>8.8231152140615068E-2</v>
      </c>
      <c r="K13" s="12">
        <f t="shared" si="3"/>
        <v>9.5163491278969392E-2</v>
      </c>
      <c r="L13" s="12">
        <f t="shared" si="3"/>
        <v>9.9820586392577265E-2</v>
      </c>
      <c r="M13" s="12">
        <f t="shared" si="3"/>
        <v>8.0804186253850857E-2</v>
      </c>
    </row>
    <row r="14" spans="1:13" outlineLevel="1"/>
    <row r="15" spans="1:13" outlineLevel="1">
      <c r="B15" t="s">
        <v>65</v>
      </c>
      <c r="C15" s="10">
        <f>IFERROR(SUM('Data Sheet'!B23:B24),0)</f>
        <v>104.59000000000003</v>
      </c>
      <c r="D15" s="10">
        <f>IFERROR(SUM('Data Sheet'!C23:C24),0)</f>
        <v>147.23999999999995</v>
      </c>
      <c r="E15" s="10">
        <f>IFERROR(SUM('Data Sheet'!D23:D24),0)</f>
        <v>146.12</v>
      </c>
      <c r="F15" s="10">
        <f>IFERROR(SUM('Data Sheet'!E23:E24),0)</f>
        <v>222.51</v>
      </c>
      <c r="G15" s="10">
        <f>IFERROR(SUM('Data Sheet'!F23:F24),0)</f>
        <v>266.58000000000004</v>
      </c>
      <c r="H15" s="10">
        <f>IFERROR(SUM('Data Sheet'!G23:G24),0)</f>
        <v>361.68</v>
      </c>
      <c r="I15" s="10">
        <f>IFERROR(SUM('Data Sheet'!H23:H24),0)</f>
        <v>347.62</v>
      </c>
      <c r="J15" s="10">
        <f>IFERROR(SUM('Data Sheet'!I23:I24),0)</f>
        <v>385.34</v>
      </c>
      <c r="K15" s="10">
        <f>IFERROR(SUM('Data Sheet'!J23:J24),0)</f>
        <v>445.46000000000004</v>
      </c>
      <c r="L15" s="10">
        <f>IFERROR(SUM('Data Sheet'!K23:K24),0)</f>
        <v>637.5</v>
      </c>
      <c r="M15" s="10">
        <f>IFERROR(SUM('Data Sheet'!L23:L24),0)</f>
        <v>0</v>
      </c>
    </row>
    <row r="16" spans="1:13" outlineLevel="1">
      <c r="B16" s="12" t="s">
        <v>66</v>
      </c>
      <c r="C16" s="12">
        <f>IFERROR(C15/C6,0)</f>
        <v>2.2317389597309716E-2</v>
      </c>
      <c r="D16" s="12">
        <f t="shared" ref="D16:M16" si="4">IFERROR(D15/D6,0)</f>
        <v>2.2865377836237051E-2</v>
      </c>
      <c r="E16" s="12">
        <f t="shared" si="4"/>
        <v>1.7022843136341184E-2</v>
      </c>
      <c r="F16" s="12">
        <f t="shared" si="4"/>
        <v>1.870193398724123E-2</v>
      </c>
      <c r="G16" s="12">
        <f t="shared" si="4"/>
        <v>1.7732751509991221E-2</v>
      </c>
      <c r="H16" s="12">
        <f t="shared" si="4"/>
        <v>1.8079913939449684E-2</v>
      </c>
      <c r="I16" s="12">
        <f t="shared" si="4"/>
        <v>1.3977370507675852E-2</v>
      </c>
      <c r="J16" s="12">
        <f t="shared" si="4"/>
        <v>1.5960694294757993E-2</v>
      </c>
      <c r="K16" s="12">
        <f t="shared" si="4"/>
        <v>1.438068560223681E-2</v>
      </c>
      <c r="L16" s="12">
        <f t="shared" si="4"/>
        <v>1.4881105221435514E-2</v>
      </c>
      <c r="M16" s="12">
        <f t="shared" si="4"/>
        <v>0</v>
      </c>
    </row>
    <row r="17" spans="2:13" outlineLevel="1"/>
    <row r="18" spans="2:13" outlineLevel="1">
      <c r="B18" s="149" t="s">
        <v>67</v>
      </c>
      <c r="C18" s="171">
        <f>IFERROR(C12-C15,0)</f>
        <v>341.27999999999986</v>
      </c>
      <c r="D18" s="171">
        <f t="shared" ref="D18:M18" si="5">IFERROR(D12-D15,0)</f>
        <v>456.25999999999914</v>
      </c>
      <c r="E18" s="171">
        <f t="shared" si="5"/>
        <v>664.46000000000083</v>
      </c>
      <c r="F18" s="171">
        <f t="shared" si="5"/>
        <v>969.18000000000052</v>
      </c>
      <c r="G18" s="171">
        <f t="shared" si="5"/>
        <v>1352.8600000000006</v>
      </c>
      <c r="H18" s="171">
        <f t="shared" si="5"/>
        <v>1633.3100000000015</v>
      </c>
      <c r="I18" s="171">
        <f t="shared" si="5"/>
        <v>2128.3100000000004</v>
      </c>
      <c r="J18" s="171">
        <f t="shared" si="5"/>
        <v>1744.8299999999983</v>
      </c>
      <c r="K18" s="171">
        <f t="shared" si="5"/>
        <v>2502.3500000000013</v>
      </c>
      <c r="L18" s="171">
        <f t="shared" si="5"/>
        <v>3638.7699999999968</v>
      </c>
      <c r="M18" s="171">
        <f t="shared" si="5"/>
        <v>3931.6400000000067</v>
      </c>
    </row>
    <row r="19" spans="2:13" outlineLevel="1">
      <c r="B19" s="12" t="s">
        <v>68</v>
      </c>
      <c r="C19" s="12">
        <f>IFERROR(C18/C6,0)</f>
        <v>7.2822246120755857E-2</v>
      </c>
      <c r="D19" s="12">
        <f t="shared" ref="D19:M19" si="6">IFERROR(D18/D6,0)</f>
        <v>7.0854097334701854E-2</v>
      </c>
      <c r="E19" s="12">
        <f t="shared" si="6"/>
        <v>7.7408967631900333E-2</v>
      </c>
      <c r="F19" s="12">
        <f t="shared" si="6"/>
        <v>8.1459441740840702E-2</v>
      </c>
      <c r="G19" s="12">
        <f t="shared" si="6"/>
        <v>8.9991485512066663E-2</v>
      </c>
      <c r="H19" s="12">
        <f t="shared" si="6"/>
        <v>8.1647047767204689E-2</v>
      </c>
      <c r="I19" s="12">
        <f t="shared" si="6"/>
        <v>8.5576714300648976E-2</v>
      </c>
      <c r="J19" s="12">
        <f t="shared" si="6"/>
        <v>7.2270457845857075E-2</v>
      </c>
      <c r="K19" s="12">
        <f t="shared" si="6"/>
        <v>8.0782805676732586E-2</v>
      </c>
      <c r="L19" s="12">
        <f t="shared" si="6"/>
        <v>8.4939481171141737E-2</v>
      </c>
      <c r="M19" s="12">
        <f t="shared" si="6"/>
        <v>8.0804186253850857E-2</v>
      </c>
    </row>
    <row r="20" spans="2:13" outlineLevel="1"/>
    <row r="21" spans="2:13" outlineLevel="1">
      <c r="B21" s="10" t="s">
        <v>6</v>
      </c>
      <c r="C21" s="10">
        <f>IFERROR('Data Sheet'!B27,0)</f>
        <v>55.68</v>
      </c>
      <c r="D21" s="10">
        <f>IFERROR('Data Sheet'!C27,0)</f>
        <v>72.36</v>
      </c>
      <c r="E21" s="10">
        <f>IFERROR('Data Sheet'!D27,0)</f>
        <v>91.34</v>
      </c>
      <c r="F21" s="10">
        <f>IFERROR('Data Sheet'!E27,0)</f>
        <v>121.98</v>
      </c>
      <c r="G21" s="10">
        <f>IFERROR('Data Sheet'!F27,0)</f>
        <v>59.54</v>
      </c>
      <c r="H21" s="10">
        <f>IFERROR('Data Sheet'!G27,0)</f>
        <v>47.21</v>
      </c>
      <c r="I21" s="10">
        <f>IFERROR('Data Sheet'!H27,0)</f>
        <v>69.12</v>
      </c>
      <c r="J21" s="10">
        <f>IFERROR('Data Sheet'!I27,0)</f>
        <v>41.65</v>
      </c>
      <c r="K21" s="10">
        <f>IFERROR('Data Sheet'!J27,0)</f>
        <v>53.79</v>
      </c>
      <c r="L21" s="10">
        <f>IFERROR('Data Sheet'!K27,0)</f>
        <v>67.41</v>
      </c>
      <c r="M21" s="10">
        <f>IFERROR(SUM('Data Sheet'!H46:K46),0)</f>
        <v>60.239999999999995</v>
      </c>
    </row>
    <row r="22" spans="2:13" outlineLevel="1">
      <c r="B22" s="12" t="s">
        <v>69</v>
      </c>
      <c r="C22" s="12">
        <f>IFERROR(C21/C6,0)</f>
        <v>1.1880985302401803E-2</v>
      </c>
      <c r="D22" s="12">
        <f t="shared" ref="D22:M22" si="7">IFERROR(D21/D6,0)</f>
        <v>1.1237019425632393E-2</v>
      </c>
      <c r="E22" s="12">
        <f t="shared" si="7"/>
        <v>1.0641024446163452E-2</v>
      </c>
      <c r="F22" s="12">
        <f t="shared" si="7"/>
        <v>1.0252401724703094E-2</v>
      </c>
      <c r="G22" s="12">
        <f t="shared" si="7"/>
        <v>3.9605672777585609E-3</v>
      </c>
      <c r="H22" s="12">
        <f t="shared" si="7"/>
        <v>2.3599666475376565E-3</v>
      </c>
      <c r="I22" s="12">
        <f t="shared" si="7"/>
        <v>2.7792297609186899E-3</v>
      </c>
      <c r="J22" s="12">
        <f t="shared" si="7"/>
        <v>1.7251334337900829E-3</v>
      </c>
      <c r="K22" s="12">
        <f t="shared" si="7"/>
        <v>1.7364905458274996E-3</v>
      </c>
      <c r="L22" s="12">
        <f t="shared" si="7"/>
        <v>1.5735455732972048E-3</v>
      </c>
      <c r="M22" s="12">
        <f t="shared" si="7"/>
        <v>1.2380696553936695E-3</v>
      </c>
    </row>
    <row r="23" spans="2:13" outlineLevel="1"/>
    <row r="24" spans="2:13" outlineLevel="1">
      <c r="B24" t="s">
        <v>5</v>
      </c>
      <c r="C24" s="10">
        <f>IFERROR('Data Sheet'!B26,0)</f>
        <v>57.01</v>
      </c>
      <c r="D24" s="10">
        <f>IFERROR('Data Sheet'!C26,0)</f>
        <v>81.540000000000006</v>
      </c>
      <c r="E24" s="10">
        <f>IFERROR('Data Sheet'!D26,0)</f>
        <v>98.43</v>
      </c>
      <c r="F24" s="10">
        <f>IFERROR('Data Sheet'!E26,0)</f>
        <v>127.82</v>
      </c>
      <c r="G24" s="10">
        <f>IFERROR('Data Sheet'!F26,0)</f>
        <v>159</v>
      </c>
      <c r="H24" s="10">
        <f>IFERROR('Data Sheet'!G26,0)</f>
        <v>212.49</v>
      </c>
      <c r="I24" s="10">
        <f>IFERROR('Data Sheet'!H26,0)</f>
        <v>374.41</v>
      </c>
      <c r="J24" s="10">
        <f>IFERROR('Data Sheet'!I26,0)</f>
        <v>414.16</v>
      </c>
      <c r="K24" s="10">
        <f>IFERROR('Data Sheet'!J26,0)</f>
        <v>498.08</v>
      </c>
      <c r="L24" s="10">
        <f>IFERROR('Data Sheet'!K26,0)</f>
        <v>638.87</v>
      </c>
      <c r="M24" s="10">
        <f>IFERROR(SUM('Data Sheet'!H45:K45),0)</f>
        <v>689.95</v>
      </c>
    </row>
    <row r="25" spans="2:13" outlineLevel="1">
      <c r="B25" s="12" t="s">
        <v>70</v>
      </c>
      <c r="C25" s="12">
        <f>IFERROR(C24/C6,0)</f>
        <v>1.2164780389546099E-2</v>
      </c>
      <c r="D25" s="12">
        <f t="shared" ref="D25:M25" si="8">IFERROR(D24/D6,0)</f>
        <v>1.26626114423171E-2</v>
      </c>
      <c r="E25" s="12">
        <f t="shared" si="8"/>
        <v>1.1467002805297445E-2</v>
      </c>
      <c r="F25" s="12">
        <f t="shared" si="8"/>
        <v>1.0743252897618866E-2</v>
      </c>
      <c r="G25" s="12">
        <f t="shared" si="8"/>
        <v>1.0576590479738178E-2</v>
      </c>
      <c r="H25" s="12">
        <f t="shared" si="8"/>
        <v>1.062209940553435E-2</v>
      </c>
      <c r="I25" s="12">
        <f t="shared" si="8"/>
        <v>1.5054563292615258E-2</v>
      </c>
      <c r="J25" s="12">
        <f t="shared" si="8"/>
        <v>1.7154412075354161E-2</v>
      </c>
      <c r="K25" s="12">
        <f t="shared" si="8"/>
        <v>1.6079405299605148E-2</v>
      </c>
      <c r="L25" s="12">
        <f t="shared" si="8"/>
        <v>1.4913085008342757E-2</v>
      </c>
      <c r="M25" s="12">
        <f t="shared" si="8"/>
        <v>1.418004911585097E-2</v>
      </c>
    </row>
    <row r="26" spans="2:13" outlineLevel="1"/>
    <row r="27" spans="2:13" outlineLevel="1">
      <c r="B27" s="149" t="s">
        <v>71</v>
      </c>
      <c r="C27" s="171">
        <f>IFERROR(C18-SUM(C21,C24),0)</f>
        <v>228.58999999999986</v>
      </c>
      <c r="D27" s="171">
        <f t="shared" ref="D27:M27" si="9">IFERROR(D18-SUM(D21,D24),0)</f>
        <v>302.3599999999991</v>
      </c>
      <c r="E27" s="171">
        <f t="shared" si="9"/>
        <v>474.69000000000085</v>
      </c>
      <c r="F27" s="171">
        <f t="shared" si="9"/>
        <v>719.38000000000056</v>
      </c>
      <c r="G27" s="171">
        <f t="shared" si="9"/>
        <v>1134.3200000000006</v>
      </c>
      <c r="H27" s="171">
        <f t="shared" si="9"/>
        <v>1373.6100000000015</v>
      </c>
      <c r="I27" s="171">
        <f t="shared" si="9"/>
        <v>1684.7800000000004</v>
      </c>
      <c r="J27" s="171">
        <f t="shared" si="9"/>
        <v>1289.0199999999984</v>
      </c>
      <c r="K27" s="171">
        <f t="shared" si="9"/>
        <v>1950.4800000000014</v>
      </c>
      <c r="L27" s="171">
        <f t="shared" si="9"/>
        <v>2932.4899999999971</v>
      </c>
      <c r="M27" s="171">
        <f t="shared" si="9"/>
        <v>3181.4500000000066</v>
      </c>
    </row>
    <row r="28" spans="2:13" outlineLevel="1">
      <c r="B28" s="12" t="s">
        <v>72</v>
      </c>
      <c r="C28" s="12">
        <f>IFERROR(C27/C6,0)</f>
        <v>4.8776480428807951E-2</v>
      </c>
      <c r="D28" s="12">
        <f t="shared" ref="D28:M28" si="10">IFERROR(D27/D6,0)</f>
        <v>4.6954466466752352E-2</v>
      </c>
      <c r="E28" s="12">
        <f t="shared" si="10"/>
        <v>5.5300940380439437E-2</v>
      </c>
      <c r="F28" s="12">
        <f t="shared" si="10"/>
        <v>6.0463787118518748E-2</v>
      </c>
      <c r="G28" s="12">
        <f t="shared" si="10"/>
        <v>7.5454327754569922E-2</v>
      </c>
      <c r="H28" s="12">
        <f t="shared" si="10"/>
        <v>6.8664981714132683E-2</v>
      </c>
      <c r="I28" s="12">
        <f t="shared" si="10"/>
        <v>6.7742921247115034E-2</v>
      </c>
      <c r="J28" s="12">
        <f t="shared" si="10"/>
        <v>5.3390912336712844E-2</v>
      </c>
      <c r="K28" s="12">
        <f t="shared" si="10"/>
        <v>6.2966909831299933E-2</v>
      </c>
      <c r="L28" s="12">
        <f t="shared" si="10"/>
        <v>6.845285058950179E-2</v>
      </c>
      <c r="M28" s="12">
        <f t="shared" si="10"/>
        <v>6.5386067482606211E-2</v>
      </c>
    </row>
    <row r="29" spans="2:13" outlineLevel="1"/>
    <row r="30" spans="2:13" outlineLevel="1">
      <c r="B30" t="s">
        <v>8</v>
      </c>
      <c r="C30" s="10">
        <f>IFERROR('Data Sheet'!B29,0)</f>
        <v>83.48</v>
      </c>
      <c r="D30" s="10">
        <f>IFERROR('Data Sheet'!C29,0)</f>
        <v>110.92</v>
      </c>
      <c r="E30" s="10">
        <f>IFERROR('Data Sheet'!D29,0)</f>
        <v>171.47</v>
      </c>
      <c r="F30" s="10">
        <f>IFERROR('Data Sheet'!E29,0)</f>
        <v>268.27999999999997</v>
      </c>
      <c r="G30" s="10">
        <f>IFERROR('Data Sheet'!F29,0)</f>
        <v>415.79</v>
      </c>
      <c r="H30" s="10">
        <f>IFERROR('Data Sheet'!G29,0)</f>
        <v>519.48</v>
      </c>
      <c r="I30" s="10">
        <f>IFERROR('Data Sheet'!H29,0)</f>
        <v>443.79</v>
      </c>
      <c r="J30" s="10">
        <f>IFERROR('Data Sheet'!I29,0)</f>
        <v>384.02</v>
      </c>
      <c r="K30" s="10">
        <f>IFERROR('Data Sheet'!J29,0)</f>
        <v>571.72</v>
      </c>
      <c r="L30" s="10">
        <f>IFERROR('Data Sheet'!K29,0)</f>
        <v>681.75</v>
      </c>
      <c r="M30" s="10">
        <f>IFERROR(SUM('Data Sheet'!H48:K48),0)</f>
        <v>890.53</v>
      </c>
    </row>
    <row r="31" spans="2:13" outlineLevel="1">
      <c r="B31" t="s">
        <v>73</v>
      </c>
      <c r="C31" s="12">
        <f>IFERROR(C30/C27,0)</f>
        <v>0.36519532787961001</v>
      </c>
      <c r="D31" s="12">
        <f t="shared" ref="D31:M31" si="11">IFERROR(D30/D27,0)</f>
        <v>0.36684746659611167</v>
      </c>
      <c r="E31" s="12">
        <f t="shared" si="11"/>
        <v>0.36122522067033158</v>
      </c>
      <c r="F31" s="12">
        <f t="shared" si="11"/>
        <v>0.37293224721287743</v>
      </c>
      <c r="G31" s="12">
        <f t="shared" si="11"/>
        <v>0.36655441145355788</v>
      </c>
      <c r="H31" s="12">
        <f t="shared" si="11"/>
        <v>0.37818594797649946</v>
      </c>
      <c r="I31" s="12">
        <f t="shared" si="11"/>
        <v>0.26341124657225268</v>
      </c>
      <c r="J31" s="12">
        <f t="shared" si="11"/>
        <v>0.29791624645079245</v>
      </c>
      <c r="K31" s="12">
        <f t="shared" si="11"/>
        <v>0.29311759156720379</v>
      </c>
      <c r="L31" s="12">
        <f t="shared" si="11"/>
        <v>0.23248161119049024</v>
      </c>
      <c r="M31" s="12">
        <f t="shared" si="11"/>
        <v>0.27991324710430721</v>
      </c>
    </row>
    <row r="32" spans="2:13" outlineLevel="1"/>
    <row r="33" spans="1:13" ht="15.75" outlineLevel="1" thickBot="1">
      <c r="B33" s="157" t="s">
        <v>74</v>
      </c>
      <c r="C33" s="173">
        <f>IFERROR(C27-C30,0)</f>
        <v>145.10999999999984</v>
      </c>
      <c r="D33" s="173">
        <f t="shared" ref="D33:M33" si="12">IFERROR(D27-D30,0)</f>
        <v>191.43999999999909</v>
      </c>
      <c r="E33" s="173">
        <f t="shared" si="12"/>
        <v>303.22000000000082</v>
      </c>
      <c r="F33" s="173">
        <f t="shared" si="12"/>
        <v>451.10000000000059</v>
      </c>
      <c r="G33" s="173">
        <f t="shared" si="12"/>
        <v>718.53000000000065</v>
      </c>
      <c r="H33" s="173">
        <f t="shared" si="12"/>
        <v>854.13000000000147</v>
      </c>
      <c r="I33" s="173">
        <f t="shared" si="12"/>
        <v>1240.9900000000005</v>
      </c>
      <c r="J33" s="173">
        <f t="shared" si="12"/>
        <v>904.99999999999841</v>
      </c>
      <c r="K33" s="173">
        <f t="shared" si="12"/>
        <v>1378.7600000000014</v>
      </c>
      <c r="L33" s="173">
        <f t="shared" si="12"/>
        <v>2250.7399999999971</v>
      </c>
      <c r="M33" s="173">
        <f t="shared" si="12"/>
        <v>2290.9200000000064</v>
      </c>
    </row>
    <row r="34" spans="1:13" outlineLevel="1">
      <c r="B34" t="s">
        <v>75</v>
      </c>
      <c r="C34" s="12">
        <f>IFERROR(C33/C6,0)</f>
        <v>3.0963537665796046E-2</v>
      </c>
      <c r="D34" s="12">
        <f t="shared" ref="D34:M34" si="13">IFERROR(D33/D6,0)</f>
        <v>2.9729339398052168E-2</v>
      </c>
      <c r="E34" s="12">
        <f t="shared" si="13"/>
        <v>3.5324845988238353E-2</v>
      </c>
      <c r="F34" s="12">
        <f t="shared" si="13"/>
        <v>3.7914891113408518E-2</v>
      </c>
      <c r="G34" s="12">
        <f t="shared" si="13"/>
        <v>4.7796211052869693E-2</v>
      </c>
      <c r="H34" s="12">
        <f t="shared" si="13"/>
        <v>4.2696850511784408E-2</v>
      </c>
      <c r="I34" s="12">
        <f t="shared" si="13"/>
        <v>4.9898673914966524E-2</v>
      </c>
      <c r="J34" s="12">
        <f t="shared" si="13"/>
        <v>3.7484892138776045E-2</v>
      </c>
      <c r="K34" s="12">
        <f t="shared" si="13"/>
        <v>4.4510200873120014E-2</v>
      </c>
      <c r="L34" s="12">
        <f t="shared" si="13"/>
        <v>5.2538821593872513E-2</v>
      </c>
      <c r="M34" s="12">
        <f t="shared" si="13"/>
        <v>4.7083641018168552E-2</v>
      </c>
    </row>
    <row r="35" spans="1:13" outlineLevel="1"/>
    <row r="36" spans="1:13" outlineLevel="1">
      <c r="B36" t="s">
        <v>76</v>
      </c>
      <c r="C36">
        <f>IFERROR('Data Sheet'!B93,0)</f>
        <v>54.68</v>
      </c>
      <c r="D36">
        <f>IFERROR('Data Sheet'!C93,0)</f>
        <v>56.15</v>
      </c>
      <c r="E36">
        <f>IFERROR('Data Sheet'!D93,0)</f>
        <v>56.15</v>
      </c>
      <c r="F36">
        <f>IFERROR('Data Sheet'!E93,0)</f>
        <v>62.41</v>
      </c>
      <c r="G36">
        <f>IFERROR('Data Sheet'!F93,0)</f>
        <v>62.41</v>
      </c>
      <c r="H36">
        <f>IFERROR('Data Sheet'!G93,0)</f>
        <v>62.41</v>
      </c>
      <c r="I36">
        <f>IFERROR('Data Sheet'!H93,0)</f>
        <v>64.78</v>
      </c>
      <c r="J36">
        <f>IFERROR('Data Sheet'!I93,0)</f>
        <v>64.78</v>
      </c>
      <c r="K36">
        <f>IFERROR('Data Sheet'!J93,0)</f>
        <v>64.78</v>
      </c>
      <c r="L36">
        <f>IFERROR('Data Sheet'!K93,0)</f>
        <v>64.83</v>
      </c>
      <c r="M36">
        <f>IFERROR(L36,0)</f>
        <v>64.83</v>
      </c>
    </row>
    <row r="37" spans="1:13" outlineLevel="1"/>
    <row r="38" spans="1:13" outlineLevel="1">
      <c r="B38" t="s">
        <v>31</v>
      </c>
      <c r="C38" s="15">
        <f>IFERROR(C33/C36,0)</f>
        <v>2.6538039502560324</v>
      </c>
      <c r="D38" s="15">
        <f t="shared" ref="D38:M38" si="14">IFERROR(D33/D36,0)</f>
        <v>3.4094390026713999</v>
      </c>
      <c r="E38" s="15">
        <f t="shared" si="14"/>
        <v>5.4001780943900419</v>
      </c>
      <c r="F38" s="15">
        <f t="shared" si="14"/>
        <v>7.2280083319980868</v>
      </c>
      <c r="G38" s="15">
        <f t="shared" si="14"/>
        <v>11.513058804678748</v>
      </c>
      <c r="H38" s="15">
        <f t="shared" si="14"/>
        <v>13.685787534049055</v>
      </c>
      <c r="I38" s="15">
        <f t="shared" si="14"/>
        <v>19.156992899042923</v>
      </c>
      <c r="J38" s="15">
        <f t="shared" si="14"/>
        <v>13.970361222599543</v>
      </c>
      <c r="K38" s="15">
        <f t="shared" si="14"/>
        <v>21.283729546156241</v>
      </c>
      <c r="L38" s="15">
        <f t="shared" si="14"/>
        <v>34.717569026685133</v>
      </c>
      <c r="M38" s="15">
        <f t="shared" si="14"/>
        <v>35.337343822304589</v>
      </c>
    </row>
    <row r="39" spans="1:13" outlineLevel="1">
      <c r="B39" t="s">
        <v>78</v>
      </c>
      <c r="C39" t="s">
        <v>60</v>
      </c>
      <c r="D39" s="12">
        <f>IFERROR(D38/C38-1,0)</f>
        <v>0.28473657684565046</v>
      </c>
      <c r="E39" s="12">
        <f t="shared" ref="E39:M39" si="15">IFERROR(E38/D38-1,0)</f>
        <v>0.58389051399917613</v>
      </c>
      <c r="F39" s="12">
        <f t="shared" si="15"/>
        <v>0.33847591795294307</v>
      </c>
      <c r="G39" s="12">
        <f t="shared" si="15"/>
        <v>0.5928397251163815</v>
      </c>
      <c r="H39" s="12">
        <f t="shared" si="15"/>
        <v>0.18871863387750087</v>
      </c>
      <c r="I39" s="12">
        <f t="shared" si="15"/>
        <v>0.39977278263176164</v>
      </c>
      <c r="J39" s="12">
        <f t="shared" si="15"/>
        <v>-0.27074351928702245</v>
      </c>
      <c r="K39" s="12">
        <f t="shared" si="15"/>
        <v>0.52349171270718653</v>
      </c>
      <c r="L39" s="12">
        <f t="shared" si="15"/>
        <v>0.63117882847534079</v>
      </c>
      <c r="M39" s="12">
        <f t="shared" si="15"/>
        <v>1.7851906484093849E-2</v>
      </c>
    </row>
    <row r="40" spans="1:13" outlineLevel="1"/>
    <row r="41" spans="1:13" outlineLevel="1">
      <c r="B41" t="s">
        <v>77</v>
      </c>
      <c r="C41" s="15">
        <f>IFERROR('Data Sheet'!B31/HistoricalFS!C36,0)</f>
        <v>0</v>
      </c>
      <c r="D41" s="15">
        <f>IFERROR('Data Sheet'!C31/HistoricalFS!D36,0)</f>
        <v>0</v>
      </c>
      <c r="E41" s="15">
        <f>IFERROR('Data Sheet'!D31/HistoricalFS!E36,0)</f>
        <v>0</v>
      </c>
      <c r="F41" s="15">
        <f>IFERROR('Data Sheet'!E31/HistoricalFS!F36,0)</f>
        <v>0</v>
      </c>
      <c r="G41" s="15">
        <f>IFERROR('Data Sheet'!F31/HistoricalFS!G36,0)</f>
        <v>0</v>
      </c>
      <c r="H41" s="15">
        <f>IFERROR('Data Sheet'!G31/HistoricalFS!H36,0)</f>
        <v>0</v>
      </c>
      <c r="I41" s="15">
        <f>IFERROR('Data Sheet'!H31/HistoricalFS!I36,0)</f>
        <v>0</v>
      </c>
      <c r="J41" s="15">
        <f>IFERROR('Data Sheet'!I31/HistoricalFS!J36,0)</f>
        <v>0</v>
      </c>
      <c r="K41" s="15">
        <f>IFERROR('Data Sheet'!J31/HistoricalFS!K36,0)</f>
        <v>0</v>
      </c>
      <c r="L41" s="15">
        <f>IFERROR('Data Sheet'!K31/HistoricalFS!L36,0)</f>
        <v>0</v>
      </c>
      <c r="M41" s="15">
        <f>IFERROR('Data Sheet'!L31/HistoricalFS!M36,0)</f>
        <v>0</v>
      </c>
    </row>
    <row r="42" spans="1:13" outlineLevel="1">
      <c r="B42" t="s">
        <v>79</v>
      </c>
      <c r="C42" s="12">
        <f>IFERROR(C41/C38,0)</f>
        <v>0</v>
      </c>
      <c r="D42" s="12">
        <f t="shared" ref="D42:M42" si="16">IFERROR(D41/D38,0)</f>
        <v>0</v>
      </c>
      <c r="E42" s="12">
        <f t="shared" si="16"/>
        <v>0</v>
      </c>
      <c r="F42" s="12">
        <f t="shared" si="16"/>
        <v>0</v>
      </c>
      <c r="G42" s="12">
        <f t="shared" si="16"/>
        <v>0</v>
      </c>
      <c r="H42" s="12">
        <f t="shared" si="16"/>
        <v>0</v>
      </c>
      <c r="I42" s="12">
        <f t="shared" si="16"/>
        <v>0</v>
      </c>
      <c r="J42" s="12">
        <f t="shared" si="16"/>
        <v>0</v>
      </c>
      <c r="K42" s="12">
        <f t="shared" si="16"/>
        <v>0</v>
      </c>
      <c r="L42" s="12">
        <f t="shared" si="16"/>
        <v>0</v>
      </c>
      <c r="M42" s="12">
        <f t="shared" si="16"/>
        <v>0</v>
      </c>
    </row>
    <row r="43" spans="1:13" outlineLevel="1"/>
    <row r="44" spans="1:13" outlineLevel="1">
      <c r="B44" t="s">
        <v>80</v>
      </c>
      <c r="C44" s="12">
        <f>IFERROR(IF(C38&gt;C41,1-C42,0),0)</f>
        <v>1</v>
      </c>
      <c r="D44" s="12">
        <f t="shared" ref="D44:M44" si="17">IFERROR(IF(D38&gt;D41,1-D42,0),0)</f>
        <v>1</v>
      </c>
      <c r="E44" s="12">
        <f t="shared" si="17"/>
        <v>1</v>
      </c>
      <c r="F44" s="12">
        <f t="shared" si="17"/>
        <v>1</v>
      </c>
      <c r="G44" s="12">
        <f t="shared" si="17"/>
        <v>1</v>
      </c>
      <c r="H44" s="12">
        <f t="shared" si="17"/>
        <v>1</v>
      </c>
      <c r="I44" s="12">
        <f t="shared" si="17"/>
        <v>1</v>
      </c>
      <c r="J44" s="12">
        <f t="shared" si="17"/>
        <v>1</v>
      </c>
      <c r="K44" s="12">
        <f t="shared" si="17"/>
        <v>1</v>
      </c>
      <c r="L44" s="12">
        <f t="shared" si="17"/>
        <v>1</v>
      </c>
      <c r="M44" s="12">
        <f t="shared" si="17"/>
        <v>1</v>
      </c>
    </row>
    <row r="46" spans="1:13">
      <c r="A46" s="9" t="s">
        <v>59</v>
      </c>
      <c r="B46" s="13" t="s">
        <v>81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outlineLevel="1">
      <c r="B47" t="s">
        <v>11</v>
      </c>
      <c r="C47" s="10">
        <f>IFERROR('Data Sheet'!B57,0)</f>
        <v>546.75</v>
      </c>
      <c r="D47" s="10">
        <f>IFERROR('Data Sheet'!C57,0)</f>
        <v>561.54</v>
      </c>
      <c r="E47" s="10">
        <f>IFERROR('Data Sheet'!D57,0)</f>
        <v>561.54</v>
      </c>
      <c r="F47" s="10">
        <f>IFERROR('Data Sheet'!E57,0)</f>
        <v>624.08000000000004</v>
      </c>
      <c r="G47" s="10">
        <f>IFERROR('Data Sheet'!F57,0)</f>
        <v>624.08000000000004</v>
      </c>
      <c r="H47" s="10">
        <f>IFERROR('Data Sheet'!G57,0)</f>
        <v>624.08000000000004</v>
      </c>
      <c r="I47" s="10">
        <f>IFERROR('Data Sheet'!H57,0)</f>
        <v>647.77</v>
      </c>
      <c r="J47" s="10">
        <f>IFERROR('Data Sheet'!I57,0)</f>
        <v>647.77</v>
      </c>
      <c r="K47" s="10">
        <f>IFERROR('Data Sheet'!J57,0)</f>
        <v>647.77</v>
      </c>
      <c r="L47" s="10">
        <f>IFERROR('Data Sheet'!K57,0)</f>
        <v>648.26</v>
      </c>
    </row>
    <row r="48" spans="1:13" outlineLevel="1">
      <c r="B48" t="s">
        <v>12</v>
      </c>
      <c r="C48" s="10">
        <f>IFERROR('Data Sheet'!B58,0)</f>
        <v>408.82</v>
      </c>
      <c r="D48" s="10">
        <f>IFERROR('Data Sheet'!C58,0)</f>
        <v>637.65</v>
      </c>
      <c r="E48" s="10">
        <f>IFERROR('Data Sheet'!D58,0)</f>
        <v>958.9</v>
      </c>
      <c r="F48" s="10">
        <f>IFERROR('Data Sheet'!E58,0)</f>
        <v>3217.7</v>
      </c>
      <c r="G48" s="10">
        <f>IFERROR('Data Sheet'!F58,0)</f>
        <v>4044.97</v>
      </c>
      <c r="H48" s="10">
        <f>IFERROR('Data Sheet'!G58,0)</f>
        <v>4963.37</v>
      </c>
      <c r="I48" s="10">
        <f>IFERROR('Data Sheet'!H58,0)</f>
        <v>10431.969999999999</v>
      </c>
      <c r="J48" s="10">
        <f>IFERROR('Data Sheet'!I58,0)</f>
        <v>11535.94</v>
      </c>
      <c r="K48" s="10">
        <f>IFERROR('Data Sheet'!J58,0)</f>
        <v>13029.87</v>
      </c>
      <c r="L48" s="10">
        <f>IFERROR('Data Sheet'!K58,0)</f>
        <v>15430.44</v>
      </c>
    </row>
    <row r="49" spans="2:13" outlineLevel="1">
      <c r="B49" t="s">
        <v>37</v>
      </c>
      <c r="C49" s="10">
        <f>IFERROR('Data Sheet'!B59,0)</f>
        <v>640.82000000000005</v>
      </c>
      <c r="D49" s="10">
        <f>IFERROR('Data Sheet'!C59,0)</f>
        <v>904.26</v>
      </c>
      <c r="E49" s="10">
        <f>IFERROR('Data Sheet'!D59,0)</f>
        <v>1192.3399999999999</v>
      </c>
      <c r="F49" s="10">
        <f>IFERROR('Data Sheet'!E59,0)</f>
        <v>1497.32</v>
      </c>
      <c r="G49" s="10">
        <f>IFERROR('Data Sheet'!F59,0)</f>
        <v>439.25</v>
      </c>
      <c r="H49" s="10">
        <f>IFERROR('Data Sheet'!G59,0)</f>
        <v>700.15</v>
      </c>
      <c r="I49" s="10">
        <f>IFERROR('Data Sheet'!H59,0)</f>
        <v>333.19</v>
      </c>
      <c r="J49" s="10">
        <f>IFERROR('Data Sheet'!I59,0)</f>
        <v>392.71</v>
      </c>
      <c r="K49" s="10">
        <f>IFERROR('Data Sheet'!J59,0)</f>
        <v>646.94000000000005</v>
      </c>
      <c r="L49" s="10">
        <f>IFERROR('Data Sheet'!K59,0)</f>
        <v>642.98</v>
      </c>
    </row>
    <row r="50" spans="2:13" outlineLevel="1">
      <c r="B50" t="s">
        <v>38</v>
      </c>
      <c r="C50" s="10">
        <f>IFERROR('Data Sheet'!B60,0)</f>
        <v>211.26</v>
      </c>
      <c r="D50" s="10">
        <f>IFERROR('Data Sheet'!C60,0)</f>
        <v>251.36</v>
      </c>
      <c r="E50" s="10">
        <f>IFERROR('Data Sheet'!D60,0)</f>
        <v>388.78</v>
      </c>
      <c r="F50" s="10">
        <f>IFERROR('Data Sheet'!E60,0)</f>
        <v>480.18</v>
      </c>
      <c r="G50" s="10">
        <f>IFERROR('Data Sheet'!F60,0)</f>
        <v>539.91999999999996</v>
      </c>
      <c r="H50" s="10">
        <f>IFERROR('Data Sheet'!G60,0)</f>
        <v>717.9</v>
      </c>
      <c r="I50" s="10">
        <f>IFERROR('Data Sheet'!H60,0)</f>
        <v>663.23</v>
      </c>
      <c r="J50" s="10">
        <f>IFERROR('Data Sheet'!I60,0)</f>
        <v>1078.6300000000001</v>
      </c>
      <c r="K50" s="10">
        <f>IFERROR('Data Sheet'!J60,0)</f>
        <v>1146.4000000000001</v>
      </c>
      <c r="L50" s="10">
        <f>IFERROR('Data Sheet'!K60,0)</f>
        <v>1382.84</v>
      </c>
    </row>
    <row r="51" spans="2:13" ht="15.75" outlineLevel="1" thickBot="1">
      <c r="B51" s="153" t="s">
        <v>82</v>
      </c>
      <c r="C51" s="172">
        <f>IFERROR(SUM(C47:C50),0)</f>
        <v>1807.6499999999999</v>
      </c>
      <c r="D51" s="172">
        <f t="shared" ref="D51:L51" si="18">IFERROR(SUM(D47:D50),0)</f>
        <v>2354.81</v>
      </c>
      <c r="E51" s="172">
        <f t="shared" si="18"/>
        <v>3101.5599999999995</v>
      </c>
      <c r="F51" s="172">
        <f t="shared" si="18"/>
        <v>5819.28</v>
      </c>
      <c r="G51" s="172">
        <f t="shared" si="18"/>
        <v>5648.22</v>
      </c>
      <c r="H51" s="172">
        <f t="shared" si="18"/>
        <v>7005.4999999999991</v>
      </c>
      <c r="I51" s="172">
        <f t="shared" si="18"/>
        <v>12076.16</v>
      </c>
      <c r="J51" s="172">
        <f t="shared" si="18"/>
        <v>13655.05</v>
      </c>
      <c r="K51" s="172">
        <f t="shared" si="18"/>
        <v>15470.980000000001</v>
      </c>
      <c r="L51" s="172">
        <f t="shared" si="18"/>
        <v>18104.52</v>
      </c>
      <c r="M51" s="143"/>
    </row>
    <row r="52" spans="2:13" outlineLevel="1"/>
    <row r="53" spans="2:13" outlineLevel="1">
      <c r="B53" t="s">
        <v>83</v>
      </c>
      <c r="C53" s="10">
        <f>IFERROR('Data Sheet'!B62,0)</f>
        <v>1171.69</v>
      </c>
      <c r="D53" s="10">
        <f>IFERROR('Data Sheet'!C62,0)</f>
        <v>1528.08</v>
      </c>
      <c r="E53" s="10">
        <f>IFERROR('Data Sheet'!D62,0)</f>
        <v>2093.52</v>
      </c>
      <c r="F53" s="10">
        <f>IFERROR('Data Sheet'!E62,0)</f>
        <v>2577.75</v>
      </c>
      <c r="G53" s="10">
        <f>IFERROR('Data Sheet'!F62,0)</f>
        <v>3399.97</v>
      </c>
      <c r="H53" s="10">
        <f>IFERROR('Data Sheet'!G62,0)</f>
        <v>4400.37</v>
      </c>
      <c r="I53" s="10">
        <f>IFERROR('Data Sheet'!H62,0)</f>
        <v>5948.03</v>
      </c>
      <c r="J53" s="10">
        <f>IFERROR('Data Sheet'!I62,0)</f>
        <v>7008.8</v>
      </c>
      <c r="K53" s="10">
        <f>IFERROR('Data Sheet'!J62,0)</f>
        <v>9260.02</v>
      </c>
      <c r="L53" s="10">
        <f>IFERROR('Data Sheet'!K62,0)</f>
        <v>11340.48</v>
      </c>
    </row>
    <row r="54" spans="2:13" outlineLevel="1">
      <c r="B54" t="s">
        <v>15</v>
      </c>
      <c r="C54" s="10">
        <f>IFERROR('Data Sheet'!B63,0)</f>
        <v>88.78</v>
      </c>
      <c r="D54" s="10">
        <f>IFERROR('Data Sheet'!C63,0)</f>
        <v>98.12</v>
      </c>
      <c r="E54" s="10">
        <f>IFERROR('Data Sheet'!D63,0)</f>
        <v>81.69</v>
      </c>
      <c r="F54" s="10">
        <f>IFERROR('Data Sheet'!E63,0)</f>
        <v>152.88999999999999</v>
      </c>
      <c r="G54" s="10">
        <f>IFERROR('Data Sheet'!F63,0)</f>
        <v>147.07</v>
      </c>
      <c r="H54" s="10">
        <f>IFERROR('Data Sheet'!G63,0)</f>
        <v>376.84</v>
      </c>
      <c r="I54" s="10">
        <f>IFERROR('Data Sheet'!H63,0)</f>
        <v>364.4</v>
      </c>
      <c r="J54" s="10">
        <f>IFERROR('Data Sheet'!I63,0)</f>
        <v>1019.59</v>
      </c>
      <c r="K54" s="10">
        <f>IFERROR('Data Sheet'!J63,0)</f>
        <v>1129.3399999999999</v>
      </c>
      <c r="L54" s="10">
        <f>IFERROR('Data Sheet'!K63,0)</f>
        <v>829.16</v>
      </c>
    </row>
    <row r="55" spans="2:13" outlineLevel="1">
      <c r="B55" t="s">
        <v>16</v>
      </c>
      <c r="C55" s="10">
        <f>IFERROR('Data Sheet'!B64,0)</f>
        <v>15.54</v>
      </c>
      <c r="D55" s="10">
        <f>IFERROR('Data Sheet'!C64,0)</f>
        <v>15.23</v>
      </c>
      <c r="E55" s="10">
        <f>IFERROR('Data Sheet'!D64,0)</f>
        <v>29.33</v>
      </c>
      <c r="F55" s="10">
        <f>IFERROR('Data Sheet'!E64,0)</f>
        <v>25.69</v>
      </c>
      <c r="G55" s="10">
        <f>IFERROR('Data Sheet'!F64,0)</f>
        <v>68.180000000000007</v>
      </c>
      <c r="H55" s="10">
        <f>IFERROR('Data Sheet'!G64,0)</f>
        <v>16.53</v>
      </c>
      <c r="I55" s="10">
        <f>IFERROR('Data Sheet'!H64,0)</f>
        <v>14.68</v>
      </c>
      <c r="J55" s="10">
        <f>IFERROR('Data Sheet'!I64,0)</f>
        <v>2.95</v>
      </c>
      <c r="K55" s="10">
        <f>IFERROR('Data Sheet'!J64,0)</f>
        <v>5.94</v>
      </c>
      <c r="L55" s="10">
        <f>IFERROR('Data Sheet'!K64,0)</f>
        <v>202.2</v>
      </c>
    </row>
    <row r="56" spans="2:13" outlineLevel="1">
      <c r="B56" t="s">
        <v>39</v>
      </c>
      <c r="C56" s="10">
        <f>IFERROR('Data Sheet'!B65-SUM('Data Sheet'!B67:B69),0)</f>
        <v>88.360000000000014</v>
      </c>
      <c r="D56" s="10">
        <f>IFERROR('Data Sheet'!C65-SUM('Data Sheet'!C67:C69),0)</f>
        <v>128.65999999999997</v>
      </c>
      <c r="E56" s="10">
        <f>IFERROR('Data Sheet'!D65-SUM('Data Sheet'!D67:D69),0)</f>
        <v>181.80999999999995</v>
      </c>
      <c r="F56" s="10">
        <f>IFERROR('Data Sheet'!E65-SUM('Data Sheet'!E67:E69),0)</f>
        <v>209.75999999999976</v>
      </c>
      <c r="G56" s="10">
        <f>IFERROR('Data Sheet'!F65-SUM('Data Sheet'!F67:F69),0)</f>
        <v>275.84999999999991</v>
      </c>
      <c r="H56" s="10">
        <f>IFERROR('Data Sheet'!G65-SUM('Data Sheet'!G67:G69),0)</f>
        <v>319.6700000000003</v>
      </c>
      <c r="I56" s="10">
        <f>IFERROR('Data Sheet'!H65-SUM('Data Sheet'!H67:H69),0)</f>
        <v>3674.2200000000003</v>
      </c>
      <c r="J56" s="10">
        <f>IFERROR('Data Sheet'!I65-SUM('Data Sheet'!I67:I69),0)</f>
        <v>1886.27</v>
      </c>
      <c r="K56" s="10">
        <f>IFERROR('Data Sheet'!J65-SUM('Data Sheet'!J67:J69),0)</f>
        <v>1967.5500000000006</v>
      </c>
      <c r="L56" s="10">
        <f>IFERROR('Data Sheet'!K65-SUM('Data Sheet'!K67:K69),0)</f>
        <v>1018.7100000000009</v>
      </c>
    </row>
    <row r="57" spans="2:13" outlineLevel="1">
      <c r="B57" s="143" t="s">
        <v>84</v>
      </c>
      <c r="C57" s="170">
        <f>IFERROR(SUM(C53:C56),0)</f>
        <v>1364.37</v>
      </c>
      <c r="D57" s="170">
        <f t="shared" ref="D57:L57" si="19">IFERROR(SUM(D53:D56),0)</f>
        <v>1770.0899999999997</v>
      </c>
      <c r="E57" s="170">
        <f t="shared" si="19"/>
        <v>2386.35</v>
      </c>
      <c r="F57" s="170">
        <f t="shared" si="19"/>
        <v>2966.0899999999997</v>
      </c>
      <c r="G57" s="170">
        <f t="shared" si="19"/>
        <v>3891.0699999999997</v>
      </c>
      <c r="H57" s="170">
        <f t="shared" si="19"/>
        <v>5113.41</v>
      </c>
      <c r="I57" s="170">
        <f t="shared" si="19"/>
        <v>10001.33</v>
      </c>
      <c r="J57" s="170">
        <f t="shared" si="19"/>
        <v>9917.61</v>
      </c>
      <c r="K57" s="170">
        <f t="shared" si="19"/>
        <v>12362.850000000002</v>
      </c>
      <c r="L57" s="170">
        <f t="shared" si="19"/>
        <v>13390.550000000001</v>
      </c>
      <c r="M57" s="143"/>
    </row>
    <row r="58" spans="2:13" outlineLevel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outlineLevel="1">
      <c r="B59" t="s">
        <v>44</v>
      </c>
      <c r="C59" s="10">
        <f>IFERROR('Data Sheet'!B67,0)</f>
        <v>9.5399999999999991</v>
      </c>
      <c r="D59" s="10">
        <f>IFERROR('Data Sheet'!C67,0)</f>
        <v>7.07</v>
      </c>
      <c r="E59" s="10">
        <f>IFERROR('Data Sheet'!D67,0)</f>
        <v>8.42</v>
      </c>
      <c r="F59" s="10">
        <f>IFERROR('Data Sheet'!E67,0)</f>
        <v>21</v>
      </c>
      <c r="G59" s="10">
        <f>IFERROR('Data Sheet'!F67,0)</f>
        <v>33.520000000000003</v>
      </c>
      <c r="H59" s="10">
        <f>IFERROR('Data Sheet'!G67,0)</f>
        <v>64.37</v>
      </c>
      <c r="I59" s="10">
        <f>IFERROR('Data Sheet'!H67,0)</f>
        <v>19.55</v>
      </c>
      <c r="J59" s="10">
        <f>IFERROR('Data Sheet'!I67,0)</f>
        <v>43.58</v>
      </c>
      <c r="K59" s="10">
        <f>IFERROR('Data Sheet'!J67,0)</f>
        <v>66.89</v>
      </c>
      <c r="L59" s="10">
        <f>IFERROR('Data Sheet'!K67,0)</f>
        <v>62.16</v>
      </c>
    </row>
    <row r="60" spans="2:13" outlineLevel="1">
      <c r="B60" t="s">
        <v>30</v>
      </c>
      <c r="C60" s="10">
        <f>IFERROR('Data Sheet'!B68,0)</f>
        <v>378.33</v>
      </c>
      <c r="D60" s="10">
        <f>IFERROR('Data Sheet'!C68,0)</f>
        <v>539.61</v>
      </c>
      <c r="E60" s="10">
        <f>IFERROR('Data Sheet'!D68,0)</f>
        <v>671.69</v>
      </c>
      <c r="F60" s="10">
        <f>IFERROR('Data Sheet'!E68,0)</f>
        <v>947.9</v>
      </c>
      <c r="G60" s="10">
        <f>IFERROR('Data Sheet'!F68,0)</f>
        <v>1163.45</v>
      </c>
      <c r="H60" s="10">
        <f>IFERROR('Data Sheet'!G68,0)</f>
        <v>1608.65</v>
      </c>
      <c r="I60" s="10">
        <f>IFERROR('Data Sheet'!H68,0)</f>
        <v>1947.4</v>
      </c>
      <c r="J60" s="10">
        <f>IFERROR('Data Sheet'!I68,0)</f>
        <v>2248.2800000000002</v>
      </c>
      <c r="K60" s="10">
        <f>IFERROR('Data Sheet'!J68,0)</f>
        <v>2742.66</v>
      </c>
      <c r="L60" s="10">
        <f>IFERROR('Data Sheet'!K68,0)</f>
        <v>3243.48</v>
      </c>
    </row>
    <row r="61" spans="2:13" outlineLevel="1">
      <c r="B61" t="s">
        <v>53</v>
      </c>
      <c r="C61" s="10">
        <f>IFERROR('Data Sheet'!B69,0)</f>
        <v>55.41</v>
      </c>
      <c r="D61" s="10">
        <f>IFERROR('Data Sheet'!C69,0)</f>
        <v>38.04</v>
      </c>
      <c r="E61" s="10">
        <f>IFERROR('Data Sheet'!D69,0)</f>
        <v>35.1</v>
      </c>
      <c r="F61" s="10">
        <f>IFERROR('Data Sheet'!E69,0)</f>
        <v>1884.29</v>
      </c>
      <c r="G61" s="10">
        <f>IFERROR('Data Sheet'!F69,0)</f>
        <v>560.17999999999995</v>
      </c>
      <c r="H61" s="10">
        <f>IFERROR('Data Sheet'!G69,0)</f>
        <v>219.07</v>
      </c>
      <c r="I61" s="10">
        <f>IFERROR('Data Sheet'!H69,0)</f>
        <v>107.88</v>
      </c>
      <c r="J61" s="10">
        <f>IFERROR('Data Sheet'!I69,0)</f>
        <v>1445.58</v>
      </c>
      <c r="K61" s="10">
        <f>IFERROR('Data Sheet'!J69,0)</f>
        <v>298.58</v>
      </c>
      <c r="L61" s="10">
        <f>IFERROR('Data Sheet'!K69,0)</f>
        <v>1408.33</v>
      </c>
    </row>
    <row r="62" spans="2:13" outlineLevel="1">
      <c r="B62" s="143" t="s">
        <v>85</v>
      </c>
      <c r="C62" s="170">
        <f>IFERROR(SUM(C59:C61),0)</f>
        <v>443.28</v>
      </c>
      <c r="D62" s="170">
        <f t="shared" ref="D62:L62" si="20">IFERROR(SUM(D59:D61),0)</f>
        <v>584.72</v>
      </c>
      <c r="E62" s="170">
        <f t="shared" si="20"/>
        <v>715.21</v>
      </c>
      <c r="F62" s="170">
        <f t="shared" si="20"/>
        <v>2853.19</v>
      </c>
      <c r="G62" s="170">
        <f t="shared" si="20"/>
        <v>1757.15</v>
      </c>
      <c r="H62" s="170">
        <f t="shared" si="20"/>
        <v>1892.09</v>
      </c>
      <c r="I62" s="170">
        <f t="shared" si="20"/>
        <v>2074.83</v>
      </c>
      <c r="J62" s="170">
        <f t="shared" si="20"/>
        <v>3737.44</v>
      </c>
      <c r="K62" s="170">
        <f t="shared" si="20"/>
        <v>3108.1299999999997</v>
      </c>
      <c r="L62" s="170">
        <f t="shared" si="20"/>
        <v>4713.9699999999993</v>
      </c>
      <c r="M62" s="143"/>
    </row>
    <row r="63" spans="2:13" outlineLevel="1"/>
    <row r="64" spans="2:13" ht="15.75" outlineLevel="1" thickBot="1">
      <c r="B64" s="153" t="s">
        <v>86</v>
      </c>
      <c r="C64" s="172">
        <f>IFERROR(C57+C62,0)</f>
        <v>1807.6499999999999</v>
      </c>
      <c r="D64" s="172">
        <f t="shared" ref="D64:L64" si="21">IFERROR(D57+D62,0)</f>
        <v>2354.8099999999995</v>
      </c>
      <c r="E64" s="172">
        <f t="shared" si="21"/>
        <v>3101.56</v>
      </c>
      <c r="F64" s="172">
        <f t="shared" si="21"/>
        <v>5819.28</v>
      </c>
      <c r="G64" s="172">
        <f t="shared" si="21"/>
        <v>5648.2199999999993</v>
      </c>
      <c r="H64" s="172">
        <f t="shared" si="21"/>
        <v>7005.5</v>
      </c>
      <c r="I64" s="172">
        <f t="shared" si="21"/>
        <v>12076.16</v>
      </c>
      <c r="J64" s="172">
        <f t="shared" si="21"/>
        <v>13655.050000000001</v>
      </c>
      <c r="K64" s="172">
        <f t="shared" si="21"/>
        <v>15470.980000000001</v>
      </c>
      <c r="L64" s="172">
        <f t="shared" si="21"/>
        <v>18104.52</v>
      </c>
      <c r="M64" s="153"/>
    </row>
    <row r="65" spans="1:13" outlineLevel="1"/>
    <row r="66" spans="1:13" outlineLevel="1">
      <c r="B66" s="17" t="s">
        <v>87</v>
      </c>
      <c r="C66" s="18" t="b">
        <f>C64=C51</f>
        <v>1</v>
      </c>
      <c r="D66" s="18" t="b">
        <f t="shared" ref="D66:M66" si="22">D64=D51</f>
        <v>1</v>
      </c>
      <c r="E66" s="18" t="b">
        <f t="shared" si="22"/>
        <v>1</v>
      </c>
      <c r="F66" s="18" t="b">
        <f t="shared" si="22"/>
        <v>1</v>
      </c>
      <c r="G66" s="18" t="b">
        <f t="shared" si="22"/>
        <v>1</v>
      </c>
      <c r="H66" s="18" t="b">
        <f t="shared" si="22"/>
        <v>1</v>
      </c>
      <c r="I66" s="18" t="b">
        <f t="shared" si="22"/>
        <v>1</v>
      </c>
      <c r="J66" s="18" t="b">
        <f t="shared" si="22"/>
        <v>1</v>
      </c>
      <c r="K66" s="18" t="b">
        <f t="shared" si="22"/>
        <v>1</v>
      </c>
      <c r="L66" s="18" t="b">
        <f t="shared" si="22"/>
        <v>1</v>
      </c>
      <c r="M66" s="18" t="b">
        <f t="shared" si="22"/>
        <v>1</v>
      </c>
    </row>
    <row r="68" spans="1:13">
      <c r="A68" s="9" t="s">
        <v>59</v>
      </c>
      <c r="B68" s="13" t="s">
        <v>111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outlineLevel="1">
      <c r="B69" s="9" t="s">
        <v>113</v>
      </c>
    </row>
    <row r="70" spans="1:13" outlineLevel="1">
      <c r="B70" t="s">
        <v>88</v>
      </c>
      <c r="C70" s="10">
        <f>IFERROR('Cash Flow Data'!E5,0)</f>
        <v>356</v>
      </c>
      <c r="D70" s="10">
        <f>IFERROR('Cash Flow Data'!F5,0)</f>
        <v>474</v>
      </c>
      <c r="E70" s="10">
        <f>IFERROR('Cash Flow Data'!G5,0)</f>
        <v>666</v>
      </c>
      <c r="F70" s="10">
        <f>IFERROR('Cash Flow Data'!H5,0)</f>
        <v>984</v>
      </c>
      <c r="G70" s="10">
        <f>IFERROR('Cash Flow Data'!I5,0)</f>
        <v>1375</v>
      </c>
      <c r="H70" s="10">
        <f>IFERROR('Cash Flow Data'!J5,0)</f>
        <v>1659</v>
      </c>
      <c r="I70" s="10">
        <f>IFERROR('Cash Flow Data'!K5,0)</f>
        <v>2149</v>
      </c>
      <c r="J70" s="10">
        <f>IFERROR('Cash Flow Data'!L5,0)</f>
        <v>1764</v>
      </c>
      <c r="K70" s="10">
        <f>IFERROR('Cash Flow Data'!M5,0)</f>
        <v>2515</v>
      </c>
      <c r="L70" s="10">
        <f>IFERROR('Cash Flow Data'!N5,0)</f>
        <v>3659</v>
      </c>
    </row>
    <row r="71" spans="1:13" outlineLevel="1">
      <c r="B71" t="s">
        <v>44</v>
      </c>
      <c r="C71" s="10">
        <f>IFERROR('Cash Flow Data'!E7,0)</f>
        <v>4</v>
      </c>
      <c r="D71" s="10">
        <f>IFERROR('Cash Flow Data'!F7,0)</f>
        <v>2</v>
      </c>
      <c r="E71" s="10">
        <f>IFERROR('Cash Flow Data'!G7,0)</f>
        <v>-1</v>
      </c>
      <c r="F71" s="10">
        <f>IFERROR('Cash Flow Data'!H7,0)</f>
        <v>54</v>
      </c>
      <c r="G71" s="10">
        <f>IFERROR('Cash Flow Data'!I7,0)</f>
        <v>-13</v>
      </c>
      <c r="H71" s="10">
        <f>IFERROR('Cash Flow Data'!J7,0)</f>
        <v>-31</v>
      </c>
      <c r="I71" s="10">
        <f>IFERROR('Cash Flow Data'!K7,0)</f>
        <v>45</v>
      </c>
      <c r="J71" s="10">
        <f>IFERROR('Cash Flow Data'!L7,0)</f>
        <v>-24</v>
      </c>
      <c r="K71" s="10">
        <f>IFERROR('Cash Flow Data'!M7,0)</f>
        <v>-23</v>
      </c>
      <c r="L71" s="10">
        <f>IFERROR('Cash Flow Data'!N7,0)</f>
        <v>5</v>
      </c>
    </row>
    <row r="72" spans="1:13" outlineLevel="1">
      <c r="B72" t="s">
        <v>30</v>
      </c>
      <c r="C72" s="10">
        <f>IFERROR('Cash Flow Data'!E8,0)</f>
        <v>-102</v>
      </c>
      <c r="D72" s="10">
        <f>IFERROR('Cash Flow Data'!F8,0)</f>
        <v>-161</v>
      </c>
      <c r="E72" s="10">
        <f>IFERROR('Cash Flow Data'!G8,0)</f>
        <v>-132</v>
      </c>
      <c r="F72" s="10">
        <f>IFERROR('Cash Flow Data'!H8,0)</f>
        <v>-276</v>
      </c>
      <c r="G72" s="10">
        <f>IFERROR('Cash Flow Data'!I8,0)</f>
        <v>-212</v>
      </c>
      <c r="H72" s="10">
        <f>IFERROR('Cash Flow Data'!J8,0)</f>
        <v>-445</v>
      </c>
      <c r="I72" s="10">
        <f>IFERROR('Cash Flow Data'!K8,0)</f>
        <v>-339</v>
      </c>
      <c r="J72" s="10">
        <f>IFERROR('Cash Flow Data'!L8,0)</f>
        <v>-301</v>
      </c>
      <c r="K72" s="10">
        <f>IFERROR('Cash Flow Data'!M8,0)</f>
        <v>-494</v>
      </c>
      <c r="L72" s="10">
        <f>IFERROR('Cash Flow Data'!N8,0)</f>
        <v>-501</v>
      </c>
    </row>
    <row r="73" spans="1:13" outlineLevel="1">
      <c r="B73" t="s">
        <v>89</v>
      </c>
      <c r="C73" s="10">
        <f>IFERROR('Cash Flow Data'!E9,0)</f>
        <v>28</v>
      </c>
      <c r="D73" s="10">
        <f>IFERROR('Cash Flow Data'!F9,0)</f>
        <v>-4</v>
      </c>
      <c r="E73" s="10">
        <f>IFERROR('Cash Flow Data'!G9,0)</f>
        <v>72</v>
      </c>
      <c r="F73" s="10">
        <f>IFERROR('Cash Flow Data'!H9,0)</f>
        <v>0</v>
      </c>
      <c r="G73" s="10">
        <f>IFERROR('Cash Flow Data'!I9,0)</f>
        <v>55</v>
      </c>
      <c r="H73" s="10">
        <f>IFERROR('Cash Flow Data'!J9,0)</f>
        <v>146</v>
      </c>
      <c r="I73" s="10">
        <f>IFERROR('Cash Flow Data'!K9,0)</f>
        <v>-30</v>
      </c>
      <c r="J73" s="10">
        <f>IFERROR('Cash Flow Data'!L9,0)</f>
        <v>145</v>
      </c>
      <c r="K73" s="10">
        <f>IFERROR('Cash Flow Data'!M9,0)</f>
        <v>11</v>
      </c>
      <c r="L73" s="10">
        <f>IFERROR('Cash Flow Data'!N9,0)</f>
        <v>165</v>
      </c>
    </row>
    <row r="74" spans="1:13" outlineLevel="1">
      <c r="B74" t="s">
        <v>90</v>
      </c>
      <c r="C74" s="10">
        <f>IFERROR('Cash Flow Data'!E10,0)</f>
        <v>-18</v>
      </c>
      <c r="D74" s="10">
        <f>IFERROR('Cash Flow Data'!F10,0)</f>
        <v>-5</v>
      </c>
      <c r="E74" s="10">
        <f>IFERROR('Cash Flow Data'!G10,0)</f>
        <v>0</v>
      </c>
      <c r="F74" s="10">
        <f>IFERROR('Cash Flow Data'!H10,0)</f>
        <v>0</v>
      </c>
      <c r="G74" s="10">
        <f>IFERROR('Cash Flow Data'!I10,0)</f>
        <v>0</v>
      </c>
      <c r="H74" s="10">
        <f>IFERROR('Cash Flow Data'!J10,0)</f>
        <v>0</v>
      </c>
      <c r="I74" s="10">
        <f>IFERROR('Cash Flow Data'!K10,0)</f>
        <v>0</v>
      </c>
      <c r="J74" s="10">
        <f>IFERROR('Cash Flow Data'!L10,0)</f>
        <v>0</v>
      </c>
      <c r="K74" s="10">
        <f>IFERROR('Cash Flow Data'!M10,0)</f>
        <v>0</v>
      </c>
      <c r="L74" s="10">
        <f>IFERROR('Cash Flow Data'!N10,0)</f>
        <v>0</v>
      </c>
    </row>
    <row r="75" spans="1:13" outlineLevel="1">
      <c r="B75" t="s">
        <v>91</v>
      </c>
      <c r="C75" s="10">
        <f>IFERROR('Cash Flow Data'!E11,0)</f>
        <v>0</v>
      </c>
      <c r="D75" s="10">
        <f>IFERROR('Cash Flow Data'!F11,0)</f>
        <v>0</v>
      </c>
      <c r="E75" s="10">
        <f>IFERROR('Cash Flow Data'!G11,0)</f>
        <v>0</v>
      </c>
      <c r="F75" s="10">
        <f>IFERROR('Cash Flow Data'!H11,0)</f>
        <v>-2</v>
      </c>
      <c r="G75" s="10">
        <f>IFERROR('Cash Flow Data'!I11,0)</f>
        <v>-62</v>
      </c>
      <c r="H75" s="10">
        <f>IFERROR('Cash Flow Data'!J11,0)</f>
        <v>52</v>
      </c>
      <c r="I75" s="10">
        <f>IFERROR('Cash Flow Data'!K11,0)</f>
        <v>2</v>
      </c>
      <c r="J75" s="10">
        <f>IFERROR('Cash Flow Data'!L11,0)</f>
        <v>12</v>
      </c>
      <c r="K75" s="10">
        <f>IFERROR('Cash Flow Data'!M11,0)</f>
        <v>-3</v>
      </c>
      <c r="L75" s="10">
        <f>IFERROR('Cash Flow Data'!N11,0)</f>
        <v>0</v>
      </c>
    </row>
    <row r="76" spans="1:13" outlineLevel="1">
      <c r="B76" t="s">
        <v>92</v>
      </c>
      <c r="C76" s="10">
        <f>IFERROR('Cash Flow Data'!E12,0)</f>
        <v>6</v>
      </c>
      <c r="D76" s="10">
        <f>IFERROR('Cash Flow Data'!F12,0)</f>
        <v>16</v>
      </c>
      <c r="E76" s="10">
        <f>IFERROR('Cash Flow Data'!G12,0)</f>
        <v>-7</v>
      </c>
      <c r="F76" s="10">
        <f>IFERROR('Cash Flow Data'!H12,0)</f>
        <v>-46</v>
      </c>
      <c r="G76" s="10">
        <f>IFERROR('Cash Flow Data'!I12,0)</f>
        <v>-11</v>
      </c>
      <c r="H76" s="10">
        <f>IFERROR('Cash Flow Data'!J12,0)</f>
        <v>-72</v>
      </c>
      <c r="I76" s="10">
        <f>IFERROR('Cash Flow Data'!K12,0)</f>
        <v>-54</v>
      </c>
      <c r="J76" s="10">
        <f>IFERROR('Cash Flow Data'!L12,0)</f>
        <v>41</v>
      </c>
      <c r="K76" s="10">
        <f>IFERROR('Cash Flow Data'!M12,0)</f>
        <v>-73</v>
      </c>
      <c r="L76" s="10">
        <f>IFERROR('Cash Flow Data'!N12,0)</f>
        <v>12</v>
      </c>
    </row>
    <row r="77" spans="1:13" outlineLevel="1">
      <c r="B77" t="s">
        <v>93</v>
      </c>
      <c r="C77" s="10">
        <f>IFERROR('Cash Flow Data'!E13,0)</f>
        <v>-83</v>
      </c>
      <c r="D77" s="10">
        <f>IFERROR('Cash Flow Data'!F13,0)</f>
        <v>-152</v>
      </c>
      <c r="E77" s="10">
        <f>IFERROR('Cash Flow Data'!G13,0)</f>
        <v>-69</v>
      </c>
      <c r="F77" s="10">
        <f>IFERROR('Cash Flow Data'!H13,0)</f>
        <v>-270</v>
      </c>
      <c r="G77" s="10">
        <f>IFERROR('Cash Flow Data'!I13,0)</f>
        <v>-243</v>
      </c>
      <c r="H77" s="10">
        <f>IFERROR('Cash Flow Data'!J13,0)</f>
        <v>-351</v>
      </c>
      <c r="I77" s="10">
        <f>IFERROR('Cash Flow Data'!K13,0)</f>
        <v>-376</v>
      </c>
      <c r="J77" s="10">
        <f>IFERROR('Cash Flow Data'!L13,0)</f>
        <v>-127</v>
      </c>
      <c r="K77" s="10">
        <f>IFERROR('Cash Flow Data'!M13,0)</f>
        <v>-582</v>
      </c>
      <c r="L77" s="10">
        <f>IFERROR('Cash Flow Data'!N13,0)</f>
        <v>-320</v>
      </c>
    </row>
    <row r="78" spans="1:13" outlineLevel="1">
      <c r="B78" s="9" t="s">
        <v>112</v>
      </c>
      <c r="C78" s="16">
        <f>SUM(C70:C77)</f>
        <v>191</v>
      </c>
      <c r="D78" s="16">
        <f t="shared" ref="D78:L78" si="23">SUM(D70:D77)</f>
        <v>170</v>
      </c>
      <c r="E78" s="16">
        <f t="shared" si="23"/>
        <v>529</v>
      </c>
      <c r="F78" s="16">
        <f t="shared" si="23"/>
        <v>444</v>
      </c>
      <c r="G78" s="16">
        <f t="shared" si="23"/>
        <v>889</v>
      </c>
      <c r="H78" s="16">
        <f t="shared" si="23"/>
        <v>958</v>
      </c>
      <c r="I78" s="16">
        <f t="shared" si="23"/>
        <v>1397</v>
      </c>
      <c r="J78" s="16">
        <f t="shared" si="23"/>
        <v>1510</v>
      </c>
      <c r="K78" s="16">
        <f t="shared" si="23"/>
        <v>1351</v>
      </c>
      <c r="L78" s="16">
        <f t="shared" si="23"/>
        <v>3020</v>
      </c>
    </row>
    <row r="79" spans="1:13" outlineLevel="1"/>
    <row r="80" spans="1:13" outlineLevel="1">
      <c r="B80" s="9" t="s">
        <v>114</v>
      </c>
    </row>
    <row r="81" spans="2:14" outlineLevel="1">
      <c r="B81" t="s">
        <v>94</v>
      </c>
      <c r="C81" s="10">
        <f>IFERROR('Cash Flow Data'!E19,0)</f>
        <v>-272</v>
      </c>
      <c r="D81" s="10">
        <f>IFERROR('Cash Flow Data'!F19,0)</f>
        <v>-477</v>
      </c>
      <c r="E81" s="10">
        <f>IFERROR('Cash Flow Data'!G19,0)</f>
        <v>0</v>
      </c>
      <c r="F81" s="10">
        <f>IFERROR('Cash Flow Data'!H19,0)</f>
        <v>-645</v>
      </c>
      <c r="G81" s="10">
        <f>IFERROR('Cash Flow Data'!I19,0)</f>
        <v>-916</v>
      </c>
      <c r="H81" s="10">
        <f>IFERROR('Cash Flow Data'!J19,0)</f>
        <v>-1417</v>
      </c>
      <c r="I81" s="10">
        <f>IFERROR('Cash Flow Data'!K19,0)</f>
        <v>-1712</v>
      </c>
      <c r="J81" s="10">
        <f>IFERROR('Cash Flow Data'!L19,0)</f>
        <v>-2029</v>
      </c>
      <c r="K81" s="10">
        <f>IFERROR('Cash Flow Data'!M19,0)</f>
        <v>-2410</v>
      </c>
      <c r="L81" s="10">
        <f>IFERROR('Cash Flow Data'!N19,0)</f>
        <v>-2212</v>
      </c>
    </row>
    <row r="82" spans="2:14" outlineLevel="1">
      <c r="B82" t="s">
        <v>95</v>
      </c>
      <c r="C82" s="10">
        <f>IFERROR('Cash Flow Data'!E20,0)</f>
        <v>1</v>
      </c>
      <c r="D82" s="10">
        <f>IFERROR('Cash Flow Data'!F20,0)</f>
        <v>0</v>
      </c>
      <c r="E82" s="10">
        <f>IFERROR('Cash Flow Data'!G20,0)</f>
        <v>2</v>
      </c>
      <c r="F82" s="10">
        <f>IFERROR('Cash Flow Data'!H20,0)</f>
        <v>10</v>
      </c>
      <c r="G82" s="10">
        <f>IFERROR('Cash Flow Data'!I20,0)</f>
        <v>7</v>
      </c>
      <c r="H82" s="10">
        <f>IFERROR('Cash Flow Data'!J20,0)</f>
        <v>8</v>
      </c>
      <c r="I82" s="10">
        <f>IFERROR('Cash Flow Data'!K20,0)</f>
        <v>6</v>
      </c>
      <c r="J82" s="10">
        <f>IFERROR('Cash Flow Data'!L20,0)</f>
        <v>2</v>
      </c>
      <c r="K82" s="10">
        <f>IFERROR('Cash Flow Data'!M20,0)</f>
        <v>21</v>
      </c>
      <c r="L82" s="10">
        <f>IFERROR('Cash Flow Data'!N20,0)</f>
        <v>5</v>
      </c>
    </row>
    <row r="83" spans="2:14" outlineLevel="1">
      <c r="B83" t="s">
        <v>96</v>
      </c>
      <c r="C83" s="10">
        <f>IFERROR('Cash Flow Data'!E21,0)</f>
        <v>-644</v>
      </c>
      <c r="D83" s="10">
        <f>IFERROR('Cash Flow Data'!F21,0)</f>
        <v>-2901</v>
      </c>
      <c r="E83" s="10">
        <f>IFERROR('Cash Flow Data'!G21,0)</f>
        <v>-638</v>
      </c>
      <c r="F83" s="10">
        <f>IFERROR('Cash Flow Data'!H21,0)</f>
        <v>0</v>
      </c>
      <c r="G83" s="10">
        <f>IFERROR('Cash Flow Data'!I21,0)</f>
        <v>0</v>
      </c>
      <c r="H83" s="10">
        <f>IFERROR('Cash Flow Data'!J21,0)</f>
        <v>0</v>
      </c>
      <c r="I83" s="10">
        <f>IFERROR('Cash Flow Data'!K21,0)</f>
        <v>0</v>
      </c>
      <c r="J83" s="10">
        <f>IFERROR('Cash Flow Data'!L21,0)</f>
        <v>0</v>
      </c>
      <c r="K83" s="10">
        <f>IFERROR('Cash Flow Data'!M21,0)</f>
        <v>0</v>
      </c>
      <c r="L83" s="10">
        <f>IFERROR('Cash Flow Data'!N21,0)</f>
        <v>-193</v>
      </c>
    </row>
    <row r="84" spans="2:14" outlineLevel="1">
      <c r="B84" t="s">
        <v>97</v>
      </c>
      <c r="C84" s="10">
        <f>IFERROR('Cash Flow Data'!E22,0)</f>
        <v>645</v>
      </c>
      <c r="D84" s="10">
        <f>IFERROR('Cash Flow Data'!F22,0)</f>
        <v>2904</v>
      </c>
      <c r="E84" s="10">
        <f>IFERROR('Cash Flow Data'!G22,0)</f>
        <v>0</v>
      </c>
      <c r="F84" s="10">
        <f>IFERROR('Cash Flow Data'!H22,0)</f>
        <v>0</v>
      </c>
      <c r="G84" s="10">
        <f>IFERROR('Cash Flow Data'!I22,0)</f>
        <v>1376</v>
      </c>
      <c r="H84" s="10">
        <f>IFERROR('Cash Flow Data'!J22,0)</f>
        <v>410</v>
      </c>
      <c r="I84" s="10">
        <f>IFERROR('Cash Flow Data'!K22,0)</f>
        <v>232</v>
      </c>
      <c r="J84" s="10">
        <f>IFERROR('Cash Flow Data'!L22,0)</f>
        <v>3</v>
      </c>
      <c r="K84" s="10">
        <f>IFERROR('Cash Flow Data'!M22,0)</f>
        <v>4</v>
      </c>
      <c r="L84" s="10">
        <f>IFERROR('Cash Flow Data'!N22,0)</f>
        <v>6</v>
      </c>
    </row>
    <row r="85" spans="2:14" outlineLevel="1">
      <c r="B85" t="s">
        <v>98</v>
      </c>
      <c r="C85" s="10">
        <f>IFERROR('Cash Flow Data'!E24,0)</f>
        <v>0</v>
      </c>
      <c r="D85" s="10">
        <f>IFERROR('Cash Flow Data'!F24,0)</f>
        <v>0</v>
      </c>
      <c r="E85" s="10">
        <f>IFERROR('Cash Flow Data'!G24,0)</f>
        <v>1</v>
      </c>
      <c r="F85" s="10">
        <f>IFERROR('Cash Flow Data'!H24,0)</f>
        <v>1</v>
      </c>
      <c r="G85" s="10">
        <f>IFERROR('Cash Flow Data'!I24,0)</f>
        <v>31</v>
      </c>
      <c r="H85" s="10">
        <f>IFERROR('Cash Flow Data'!J24,0)</f>
        <v>36</v>
      </c>
      <c r="I85" s="10">
        <f>IFERROR('Cash Flow Data'!K24,0)</f>
        <v>12</v>
      </c>
      <c r="J85" s="10">
        <f>IFERROR('Cash Flow Data'!L24,0)</f>
        <v>129</v>
      </c>
      <c r="K85" s="10">
        <f>IFERROR('Cash Flow Data'!M24,0)</f>
        <v>43</v>
      </c>
      <c r="L85" s="10">
        <f>IFERROR('Cash Flow Data'!N24,0)</f>
        <v>39</v>
      </c>
    </row>
    <row r="86" spans="2:14" outlineLevel="1">
      <c r="B86" t="s">
        <v>99</v>
      </c>
      <c r="C86" s="10">
        <f>IFERROR('Cash Flow Data'!E25,0)</f>
        <v>0</v>
      </c>
      <c r="D86" s="10">
        <f>IFERROR('Cash Flow Data'!F25,0)</f>
        <v>0</v>
      </c>
      <c r="E86" s="10">
        <f>IFERROR('Cash Flow Data'!G25,0)</f>
        <v>0</v>
      </c>
      <c r="F86" s="10">
        <f>IFERROR('Cash Flow Data'!H25,0)</f>
        <v>0</v>
      </c>
      <c r="G86" s="10">
        <f>IFERROR('Cash Flow Data'!I25,0)</f>
        <v>0</v>
      </c>
      <c r="H86" s="10">
        <f>IFERROR('Cash Flow Data'!J25,0)</f>
        <v>0</v>
      </c>
      <c r="I86" s="10">
        <f>IFERROR('Cash Flow Data'!K25,0)</f>
        <v>0</v>
      </c>
      <c r="J86" s="10">
        <f>IFERROR('Cash Flow Data'!L25,0)</f>
        <v>0</v>
      </c>
      <c r="K86" s="10">
        <f>IFERROR('Cash Flow Data'!M25,0)</f>
        <v>0</v>
      </c>
      <c r="L86" s="10">
        <f>IFERROR('Cash Flow Data'!N25,0)</f>
        <v>0</v>
      </c>
    </row>
    <row r="87" spans="2:14" outlineLevel="1">
      <c r="B87" t="s">
        <v>100</v>
      </c>
      <c r="C87" s="10">
        <f>IFERROR('Cash Flow Data'!E26,0)</f>
        <v>0</v>
      </c>
      <c r="D87" s="10">
        <f>IFERROR('Cash Flow Data'!F26,0)</f>
        <v>0</v>
      </c>
      <c r="E87" s="10">
        <f>IFERROR('Cash Flow Data'!G26,0)</f>
        <v>-14</v>
      </c>
      <c r="F87" s="10">
        <f>IFERROR('Cash Flow Data'!H26,0)</f>
        <v>-21</v>
      </c>
      <c r="G87" s="10">
        <f>IFERROR('Cash Flow Data'!I26,0)</f>
        <v>-49</v>
      </c>
      <c r="H87" s="10">
        <f>IFERROR('Cash Flow Data'!J26,0)</f>
        <v>0</v>
      </c>
      <c r="I87" s="10">
        <f>IFERROR('Cash Flow Data'!K26,0)</f>
        <v>0</v>
      </c>
      <c r="J87" s="10">
        <f>IFERROR('Cash Flow Data'!L26,0)</f>
        <v>0</v>
      </c>
      <c r="K87" s="10">
        <f>IFERROR('Cash Flow Data'!M26,0)</f>
        <v>0</v>
      </c>
      <c r="L87" s="10">
        <f>IFERROR('Cash Flow Data'!N26,0)</f>
        <v>0</v>
      </c>
    </row>
    <row r="88" spans="2:14" outlineLevel="1">
      <c r="B88" t="s">
        <v>101</v>
      </c>
      <c r="C88" s="10">
        <f>IFERROR('Cash Flow Data'!E27,0)</f>
        <v>0</v>
      </c>
      <c r="D88" s="10">
        <f>IFERROR('Cash Flow Data'!F27,0)</f>
        <v>0</v>
      </c>
      <c r="E88" s="10">
        <f>IFERROR('Cash Flow Data'!G27,0)</f>
        <v>0</v>
      </c>
      <c r="F88" s="10">
        <f>IFERROR('Cash Flow Data'!H27,0)</f>
        <v>0</v>
      </c>
      <c r="G88" s="10">
        <f>IFERROR('Cash Flow Data'!I27,0)</f>
        <v>8</v>
      </c>
      <c r="H88" s="10">
        <f>IFERROR('Cash Flow Data'!J27,0)</f>
        <v>0</v>
      </c>
      <c r="I88" s="10">
        <f>IFERROR('Cash Flow Data'!K27,0)</f>
        <v>0</v>
      </c>
      <c r="J88" s="10">
        <f>IFERROR('Cash Flow Data'!L27,0)</f>
        <v>0</v>
      </c>
      <c r="K88" s="10">
        <f>IFERROR('Cash Flow Data'!M27,0)</f>
        <v>0</v>
      </c>
      <c r="L88" s="10">
        <f>IFERROR('Cash Flow Data'!N27,0)</f>
        <v>0</v>
      </c>
    </row>
    <row r="89" spans="2:14" outlineLevel="1">
      <c r="B89" t="s">
        <v>102</v>
      </c>
      <c r="C89" s="10">
        <f>IFERROR('Cash Flow Data'!E28,0)</f>
        <v>0</v>
      </c>
      <c r="D89" s="10">
        <f>IFERROR('Cash Flow Data'!F28,0)</f>
        <v>0</v>
      </c>
      <c r="E89" s="10">
        <f>IFERROR('Cash Flow Data'!G28,0)</f>
        <v>14</v>
      </c>
      <c r="F89" s="10">
        <f>IFERROR('Cash Flow Data'!H28,0)</f>
        <v>-1835</v>
      </c>
      <c r="G89" s="10">
        <f>IFERROR('Cash Flow Data'!I28,0)</f>
        <v>7</v>
      </c>
      <c r="H89" s="10">
        <f>IFERROR('Cash Flow Data'!J28,0)</f>
        <v>3</v>
      </c>
      <c r="I89" s="10">
        <f>IFERROR('Cash Flow Data'!K28,0)</f>
        <v>-3194</v>
      </c>
      <c r="J89" s="10">
        <f>IFERROR('Cash Flow Data'!L28,0)</f>
        <v>786</v>
      </c>
      <c r="K89" s="10">
        <f>IFERROR('Cash Flow Data'!M28,0)</f>
        <v>1054</v>
      </c>
      <c r="L89" s="10">
        <f>IFERROR('Cash Flow Data'!N28,0)</f>
        <v>42</v>
      </c>
    </row>
    <row r="90" spans="2:14" outlineLevel="1">
      <c r="B90" s="9" t="s">
        <v>115</v>
      </c>
      <c r="C90" s="16">
        <f t="shared" ref="C90:L90" si="24">SUM(C81:C89)</f>
        <v>-270</v>
      </c>
      <c r="D90" s="16">
        <f t="shared" si="24"/>
        <v>-474</v>
      </c>
      <c r="E90" s="16">
        <f t="shared" si="24"/>
        <v>-635</v>
      </c>
      <c r="F90" s="16">
        <f t="shared" si="24"/>
        <v>-2490</v>
      </c>
      <c r="G90" s="16">
        <f t="shared" si="24"/>
        <v>464</v>
      </c>
      <c r="H90" s="16">
        <f t="shared" si="24"/>
        <v>-960</v>
      </c>
      <c r="I90" s="16">
        <f t="shared" si="24"/>
        <v>-4656</v>
      </c>
      <c r="J90" s="16">
        <f t="shared" si="24"/>
        <v>-1109</v>
      </c>
      <c r="K90" s="16">
        <f t="shared" si="24"/>
        <v>-1288</v>
      </c>
      <c r="L90" s="16">
        <f t="shared" si="24"/>
        <v>-2313</v>
      </c>
      <c r="M90" s="16"/>
      <c r="N90" s="16"/>
    </row>
    <row r="91" spans="2:14" outlineLevel="1"/>
    <row r="92" spans="2:14" outlineLevel="1">
      <c r="B92" s="9" t="s">
        <v>116</v>
      </c>
    </row>
    <row r="93" spans="2:14" outlineLevel="1">
      <c r="B93" t="s">
        <v>103</v>
      </c>
      <c r="C93" s="10">
        <f>IFERROR('Cash Flow Data'!E33,0)</f>
        <v>0</v>
      </c>
      <c r="D93" s="10">
        <f>IFERROR('Cash Flow Data'!F33,0)</f>
        <v>200</v>
      </c>
      <c r="E93" s="10">
        <f>IFERROR('Cash Flow Data'!G33,0)</f>
        <v>350</v>
      </c>
      <c r="F93" s="10">
        <f>IFERROR('Cash Flow Data'!H33,0)</f>
        <v>250</v>
      </c>
      <c r="G93" s="10">
        <f>IFERROR('Cash Flow Data'!I33,0)</f>
        <v>0</v>
      </c>
      <c r="H93" s="10">
        <f>IFERROR('Cash Flow Data'!J33,0)</f>
        <v>0</v>
      </c>
      <c r="I93" s="10">
        <f>IFERROR('Cash Flow Data'!K33,0)</f>
        <v>300</v>
      </c>
      <c r="J93" s="10">
        <f>IFERROR('Cash Flow Data'!L33,0)</f>
        <v>0</v>
      </c>
      <c r="K93" s="10">
        <f>IFERROR('Cash Flow Data'!M33,0)</f>
        <v>0</v>
      </c>
      <c r="L93" s="10">
        <f>IFERROR('Cash Flow Data'!N33,0)</f>
        <v>0</v>
      </c>
    </row>
    <row r="94" spans="2:14" outlineLevel="1">
      <c r="B94" t="s">
        <v>104</v>
      </c>
      <c r="C94" s="10">
        <f>IFERROR('Cash Flow Data'!E34,0)</f>
        <v>0</v>
      </c>
      <c r="D94" s="10">
        <f>IFERROR('Cash Flow Data'!F34,0)</f>
        <v>0</v>
      </c>
      <c r="E94" s="10">
        <f>IFERROR('Cash Flow Data'!G34,0)</f>
        <v>0</v>
      </c>
      <c r="F94" s="10">
        <f>IFERROR('Cash Flow Data'!H34,0)</f>
        <v>0</v>
      </c>
      <c r="G94" s="10">
        <f>IFERROR('Cash Flow Data'!I34,0)</f>
        <v>-384</v>
      </c>
      <c r="H94" s="10">
        <f>IFERROR('Cash Flow Data'!J34,0)</f>
        <v>-170</v>
      </c>
      <c r="I94" s="10">
        <f>IFERROR('Cash Flow Data'!K34,0)</f>
        <v>-512</v>
      </c>
      <c r="J94" s="10">
        <f>IFERROR('Cash Flow Data'!L34,0)</f>
        <v>-34</v>
      </c>
      <c r="K94" s="10">
        <f>IFERROR('Cash Flow Data'!M34,0)</f>
        <v>0</v>
      </c>
      <c r="L94" s="10">
        <f>IFERROR('Cash Flow Data'!N34,0)</f>
        <v>0</v>
      </c>
    </row>
    <row r="95" spans="2:14" outlineLevel="1">
      <c r="B95" t="s">
        <v>105</v>
      </c>
      <c r="C95" s="10">
        <f>IFERROR('Cash Flow Data'!E35,0)</f>
        <v>245</v>
      </c>
      <c r="D95" s="10">
        <f>IFERROR('Cash Flow Data'!F35,0)</f>
        <v>295</v>
      </c>
      <c r="E95" s="10">
        <f>IFERROR('Cash Flow Data'!G35,0)</f>
        <v>-60</v>
      </c>
      <c r="F95" s="10">
        <f>IFERROR('Cash Flow Data'!H35,0)</f>
        <v>260</v>
      </c>
      <c r="G95" s="10">
        <f>IFERROR('Cash Flow Data'!I35,0)</f>
        <v>0</v>
      </c>
      <c r="H95" s="10">
        <f>IFERROR('Cash Flow Data'!J35,0)</f>
        <v>992</v>
      </c>
      <c r="I95" s="10">
        <f>IFERROR('Cash Flow Data'!K35,0)</f>
        <v>1100</v>
      </c>
      <c r="J95" s="10">
        <f>IFERROR('Cash Flow Data'!L35,0)</f>
        <v>200</v>
      </c>
      <c r="K95" s="10">
        <f>IFERROR('Cash Flow Data'!M35,0)</f>
        <v>248</v>
      </c>
      <c r="L95" s="10">
        <f>IFERROR('Cash Flow Data'!N35,0)</f>
        <v>0</v>
      </c>
    </row>
    <row r="96" spans="2:14" outlineLevel="1">
      <c r="B96" t="s">
        <v>106</v>
      </c>
      <c r="C96" s="10">
        <f>IFERROR('Cash Flow Data'!E36,0)</f>
        <v>-130</v>
      </c>
      <c r="D96" s="10">
        <f>IFERROR('Cash Flow Data'!F36,0)</f>
        <v>-232</v>
      </c>
      <c r="E96" s="10">
        <f>IFERROR('Cash Flow Data'!G36,0)</f>
        <v>0</v>
      </c>
      <c r="F96" s="10">
        <f>IFERROR('Cash Flow Data'!H36,0)</f>
        <v>-155</v>
      </c>
      <c r="G96" s="10">
        <f>IFERROR('Cash Flow Data'!I36,0)</f>
        <v>-695</v>
      </c>
      <c r="H96" s="10">
        <f>IFERROR('Cash Flow Data'!J36,0)</f>
        <v>-562</v>
      </c>
      <c r="I96" s="10">
        <f>IFERROR('Cash Flow Data'!K36,0)</f>
        <v>-1550</v>
      </c>
      <c r="J96" s="10">
        <f>IFERROR('Cash Flow Data'!L36,0)</f>
        <v>-204</v>
      </c>
      <c r="K96" s="10">
        <f>IFERROR('Cash Flow Data'!M36,0)</f>
        <v>-248</v>
      </c>
      <c r="L96" s="10">
        <f>IFERROR('Cash Flow Data'!N36,0)</f>
        <v>0</v>
      </c>
    </row>
    <row r="97" spans="1:13" outlineLevel="1">
      <c r="B97" t="s">
        <v>107</v>
      </c>
      <c r="C97" s="10">
        <f>IFERROR('Cash Flow Data'!E37,0)</f>
        <v>-54</v>
      </c>
      <c r="D97" s="10">
        <f>IFERROR('Cash Flow Data'!F37,0)</f>
        <v>-62</v>
      </c>
      <c r="E97" s="10">
        <f>IFERROR('Cash Flow Data'!G37,0)</f>
        <v>-93</v>
      </c>
      <c r="F97" s="10">
        <f>IFERROR('Cash Flow Data'!H37,0)</f>
        <v>-120</v>
      </c>
      <c r="G97" s="10">
        <f>IFERROR('Cash Flow Data'!I37,0)</f>
        <v>-80</v>
      </c>
      <c r="H97" s="10">
        <f>IFERROR('Cash Flow Data'!J37,0)</f>
        <v>-51</v>
      </c>
      <c r="I97" s="10">
        <f>IFERROR('Cash Flow Data'!K37,0)</f>
        <v>-98</v>
      </c>
      <c r="J97" s="10">
        <f>IFERROR('Cash Flow Data'!L37,0)</f>
        <v>-44</v>
      </c>
      <c r="K97" s="10">
        <f>IFERROR('Cash Flow Data'!M37,0)</f>
        <v>-54</v>
      </c>
      <c r="L97" s="10">
        <f>IFERROR('Cash Flow Data'!N37,0)</f>
        <v>-67</v>
      </c>
    </row>
    <row r="98" spans="1:13" outlineLevel="1">
      <c r="B98" t="s">
        <v>108</v>
      </c>
      <c r="C98" s="10">
        <f>IFERROR('Cash Flow Data'!E38,0)</f>
        <v>0</v>
      </c>
      <c r="D98" s="10">
        <f>IFERROR('Cash Flow Data'!F38,0)</f>
        <v>0</v>
      </c>
      <c r="E98" s="10">
        <f>IFERROR('Cash Flow Data'!G38,0)</f>
        <v>0</v>
      </c>
      <c r="F98" s="10">
        <f>IFERROR('Cash Flow Data'!H38,0)</f>
        <v>0</v>
      </c>
      <c r="G98" s="10">
        <f>IFERROR('Cash Flow Data'!I38,0)</f>
        <v>0</v>
      </c>
      <c r="H98" s="10">
        <f>IFERROR('Cash Flow Data'!J38,0)</f>
        <v>0</v>
      </c>
      <c r="I98" s="10">
        <f>IFERROR('Cash Flow Data'!K38,0)</f>
        <v>-70</v>
      </c>
      <c r="J98" s="10">
        <f>IFERROR('Cash Flow Data'!L38,0)</f>
        <v>-98</v>
      </c>
      <c r="K98" s="10">
        <f>IFERROR('Cash Flow Data'!M38,0)</f>
        <v>-125</v>
      </c>
      <c r="L98" s="10">
        <f>IFERROR('Cash Flow Data'!N38,0)</f>
        <v>-153</v>
      </c>
    </row>
    <row r="99" spans="1:13" outlineLevel="1">
      <c r="B99" t="s">
        <v>109</v>
      </c>
      <c r="C99" s="10">
        <f>IFERROR('Cash Flow Data'!E39,0)</f>
        <v>0</v>
      </c>
      <c r="D99" s="10">
        <f>IFERROR('Cash Flow Data'!F39,0)</f>
        <v>0</v>
      </c>
      <c r="E99" s="10">
        <f>IFERROR('Cash Flow Data'!G39,0)</f>
        <v>0</v>
      </c>
      <c r="F99" s="10">
        <f>IFERROR('Cash Flow Data'!H39,0)</f>
        <v>0</v>
      </c>
      <c r="G99" s="10">
        <f>IFERROR('Cash Flow Data'!I39,0)</f>
        <v>0</v>
      </c>
      <c r="H99" s="10">
        <f>IFERROR('Cash Flow Data'!J39,0)</f>
        <v>0</v>
      </c>
      <c r="I99" s="10">
        <f>IFERROR('Cash Flow Data'!K39,0)</f>
        <v>0</v>
      </c>
      <c r="J99" s="10">
        <f>IFERROR('Cash Flow Data'!L39,0)</f>
        <v>0</v>
      </c>
      <c r="K99" s="10">
        <f>IFERROR('Cash Flow Data'!M39,0)</f>
        <v>0</v>
      </c>
      <c r="L99" s="10">
        <f>IFERROR('Cash Flow Data'!N39,0)</f>
        <v>1</v>
      </c>
    </row>
    <row r="100" spans="1:13" outlineLevel="1">
      <c r="B100" t="s">
        <v>110</v>
      </c>
      <c r="C100" s="10">
        <f>IFERROR('Cash Flow Data'!E40,0)</f>
        <v>0</v>
      </c>
      <c r="D100" s="10">
        <f>IFERROR('Cash Flow Data'!F40,0)</f>
        <v>0</v>
      </c>
      <c r="E100" s="10">
        <f>IFERROR('Cash Flow Data'!G40,0)</f>
        <v>0</v>
      </c>
      <c r="F100" s="10">
        <f>IFERROR('Cash Flow Data'!H40,0)</f>
        <v>-50</v>
      </c>
      <c r="G100" s="10">
        <f>IFERROR('Cash Flow Data'!I40,0)</f>
        <v>0</v>
      </c>
      <c r="H100" s="10">
        <f>IFERROR('Cash Flow Data'!J40,0)</f>
        <v>0</v>
      </c>
      <c r="I100" s="10">
        <f>IFERROR('Cash Flow Data'!K40,0)</f>
        <v>4077</v>
      </c>
      <c r="J100" s="10">
        <f>IFERROR('Cash Flow Data'!L40,0)</f>
        <v>0</v>
      </c>
      <c r="K100" s="10">
        <f>IFERROR('Cash Flow Data'!M40,0)</f>
        <v>0</v>
      </c>
      <c r="L100" s="10">
        <f>IFERROR('Cash Flow Data'!N40,0)</f>
        <v>0</v>
      </c>
    </row>
    <row r="101" spans="1:13" outlineLevel="1">
      <c r="B101" s="9" t="s">
        <v>117</v>
      </c>
      <c r="C101" s="16">
        <f>SUM(C93:C100)</f>
        <v>61</v>
      </c>
      <c r="D101" s="16">
        <f t="shared" ref="D101:L101" si="25">SUM(D93:D100)</f>
        <v>201</v>
      </c>
      <c r="E101" s="16">
        <f t="shared" si="25"/>
        <v>197</v>
      </c>
      <c r="F101" s="16">
        <f t="shared" si="25"/>
        <v>185</v>
      </c>
      <c r="G101" s="16">
        <f t="shared" si="25"/>
        <v>-1159</v>
      </c>
      <c r="H101" s="16">
        <f t="shared" si="25"/>
        <v>209</v>
      </c>
      <c r="I101" s="16">
        <f t="shared" si="25"/>
        <v>3247</v>
      </c>
      <c r="J101" s="16">
        <f t="shared" si="25"/>
        <v>-180</v>
      </c>
      <c r="K101" s="16">
        <f t="shared" si="25"/>
        <v>-179</v>
      </c>
      <c r="L101" s="16">
        <f t="shared" si="25"/>
        <v>-219</v>
      </c>
    </row>
    <row r="102" spans="1:13" outlineLevel="1"/>
    <row r="103" spans="1:13" outlineLevel="1">
      <c r="B103" s="9" t="s">
        <v>21</v>
      </c>
      <c r="C103" s="16">
        <f t="shared" ref="C103:L103" si="26">IFERROR(C78+C90+C101,0)</f>
        <v>-18</v>
      </c>
      <c r="D103" s="16">
        <f t="shared" si="26"/>
        <v>-103</v>
      </c>
      <c r="E103" s="16">
        <f t="shared" si="26"/>
        <v>91</v>
      </c>
      <c r="F103" s="16">
        <f t="shared" si="26"/>
        <v>-1861</v>
      </c>
      <c r="G103" s="16">
        <f t="shared" si="26"/>
        <v>194</v>
      </c>
      <c r="H103" s="16">
        <f t="shared" si="26"/>
        <v>207</v>
      </c>
      <c r="I103" s="16">
        <f t="shared" si="26"/>
        <v>-12</v>
      </c>
      <c r="J103" s="16">
        <f t="shared" si="26"/>
        <v>221</v>
      </c>
      <c r="K103" s="16">
        <f t="shared" si="26"/>
        <v>-116</v>
      </c>
      <c r="L103" s="16">
        <f t="shared" si="26"/>
        <v>488</v>
      </c>
    </row>
    <row r="105" spans="1:13">
      <c r="A105" s="9" t="s">
        <v>59</v>
      </c>
      <c r="B105" s="13" t="s">
        <v>118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outlineLevel="1"/>
    <row r="107" spans="1:13" outlineLevel="1">
      <c r="B107" s="9" t="s">
        <v>119</v>
      </c>
      <c r="C107" s="16">
        <f>IFERROR('Data Sheet'!B82,0)</f>
        <v>198.14</v>
      </c>
      <c r="D107" s="16">
        <f>IFERROR('Data Sheet'!C82,0)</f>
        <v>222.02</v>
      </c>
      <c r="E107" s="16">
        <f>IFERROR('Data Sheet'!D82,0)</f>
        <v>433.47</v>
      </c>
      <c r="F107" s="16">
        <f>IFERROR('Data Sheet'!E82,0)</f>
        <v>455.28</v>
      </c>
      <c r="G107" s="16">
        <f>IFERROR('Data Sheet'!F82,0)</f>
        <v>729.99</v>
      </c>
      <c r="H107" s="16">
        <f>IFERROR('Data Sheet'!G82,0)</f>
        <v>806.84</v>
      </c>
      <c r="I107" s="16">
        <f>IFERROR('Data Sheet'!H82,0)</f>
        <v>1280.1400000000001</v>
      </c>
      <c r="J107" s="16">
        <f>IFERROR('Data Sheet'!I82,0)</f>
        <v>1375.14</v>
      </c>
      <c r="K107" s="16">
        <f>IFERROR('Data Sheet'!J82,0)</f>
        <v>1372.35</v>
      </c>
      <c r="L107" s="16">
        <f>IFERROR('Data Sheet'!K82,0)</f>
        <v>2630.27</v>
      </c>
    </row>
    <row r="108" spans="1:13" outlineLevel="1">
      <c r="B108" s="9" t="s">
        <v>115</v>
      </c>
      <c r="C108" s="16">
        <f>IFERROR('Data Sheet'!B83,0)</f>
        <v>-270.17</v>
      </c>
      <c r="D108" s="16">
        <f>IFERROR('Data Sheet'!C83,0)</f>
        <v>-473.88</v>
      </c>
      <c r="E108" s="16">
        <f>IFERROR('Data Sheet'!D83,0)</f>
        <v>-632.89</v>
      </c>
      <c r="F108" s="16">
        <f>IFERROR('Data Sheet'!E83,0)</f>
        <v>-2481.61</v>
      </c>
      <c r="G108" s="16">
        <f>IFERROR('Data Sheet'!F83,0)</f>
        <v>463.55</v>
      </c>
      <c r="H108" s="16">
        <f>IFERROR('Data Sheet'!G83,0)</f>
        <v>-958.37</v>
      </c>
      <c r="I108" s="16">
        <f>IFERROR('Data Sheet'!H83,0)</f>
        <v>-4656.5600000000004</v>
      </c>
      <c r="J108" s="16">
        <f>IFERROR('Data Sheet'!I83,0)</f>
        <v>-1110</v>
      </c>
      <c r="K108" s="16">
        <f>IFERROR('Data Sheet'!J83,0)</f>
        <v>-1289.49</v>
      </c>
      <c r="L108" s="16">
        <f>IFERROR('Data Sheet'!K83,0)</f>
        <v>-2313.1</v>
      </c>
    </row>
    <row r="109" spans="1:13" outlineLevel="1">
      <c r="B109" s="9" t="s">
        <v>117</v>
      </c>
      <c r="C109" s="16">
        <f>IFERROR('Data Sheet'!B84,0)</f>
        <v>65.23</v>
      </c>
      <c r="D109" s="16">
        <f>IFERROR('Data Sheet'!C84,0)</f>
        <v>234.45</v>
      </c>
      <c r="E109" s="16">
        <f>IFERROR('Data Sheet'!D84,0)</f>
        <v>196.44</v>
      </c>
      <c r="F109" s="16">
        <f>IFERROR('Data Sheet'!E84,0)</f>
        <v>2025.26</v>
      </c>
      <c r="G109" s="16">
        <f>IFERROR('Data Sheet'!F84,0)</f>
        <v>-1159.06</v>
      </c>
      <c r="H109" s="16">
        <f>IFERROR('Data Sheet'!G84,0)</f>
        <v>208.98</v>
      </c>
      <c r="I109" s="16">
        <f>IFERROR('Data Sheet'!H84,0)</f>
        <v>3357.42</v>
      </c>
      <c r="J109" s="16">
        <f>IFERROR('Data Sheet'!I84,0)</f>
        <v>-179.5</v>
      </c>
      <c r="K109" s="16">
        <f>IFERROR('Data Sheet'!J84,0)</f>
        <v>-179.24</v>
      </c>
      <c r="L109" s="16">
        <f>IFERROR('Data Sheet'!K84,0)</f>
        <v>-205.14</v>
      </c>
    </row>
  </sheetData>
  <mergeCells count="1">
    <mergeCell ref="B2:M2"/>
  </mergeCells>
  <pageMargins left="0.7" right="0.7" top="0.75" bottom="0.75" header="0.3" footer="0.3"/>
  <pageSetup orientation="portrait" horizontalDpi="4294967292" verticalDpi="0" r:id="rId1"/>
  <ignoredErrors>
    <ignoredError sqref="M6 M9 C15 D15:M15 M21: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showGridLines="0" workbookViewId="0">
      <selection activeCell="L4" sqref="L4"/>
    </sheetView>
  </sheetViews>
  <sheetFormatPr defaultRowHeight="15"/>
  <cols>
    <col min="1" max="1" width="1.85546875" customWidth="1"/>
    <col min="2" max="2" width="22.85546875" bestFit="1" customWidth="1"/>
  </cols>
  <sheetData>
    <row r="2" spans="1:12">
      <c r="B2" s="244" t="str">
        <f>"Common Size Income Statement - "&amp;'Data Sheet'!$B$1</f>
        <v>Common Size Income Statement - AVENUE SUPERMARTS LTD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</row>
    <row r="3" spans="1:12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A4" t="s">
        <v>59</v>
      </c>
      <c r="B4" s="58" t="s">
        <v>156</v>
      </c>
      <c r="C4" s="59">
        <f>'Data Sheet'!B$16</f>
        <v>41729</v>
      </c>
      <c r="D4" s="59">
        <f>'Data Sheet'!C$16</f>
        <v>42094</v>
      </c>
      <c r="E4" s="59">
        <f>'Data Sheet'!D$16</f>
        <v>42460</v>
      </c>
      <c r="F4" s="59">
        <f>'Data Sheet'!E$16</f>
        <v>42825</v>
      </c>
      <c r="G4" s="59">
        <f>'Data Sheet'!F$16</f>
        <v>43190</v>
      </c>
      <c r="H4" s="59">
        <f>'Data Sheet'!G$16</f>
        <v>43555</v>
      </c>
      <c r="I4" s="59">
        <f>'Data Sheet'!H$16</f>
        <v>43921</v>
      </c>
      <c r="J4" s="59">
        <f>'Data Sheet'!I$16</f>
        <v>44286</v>
      </c>
      <c r="K4" s="59">
        <f>'Data Sheet'!J$16</f>
        <v>44651</v>
      </c>
      <c r="L4" s="59">
        <f>'Data Sheet'!K$16</f>
        <v>45016</v>
      </c>
    </row>
    <row r="6" spans="1:12">
      <c r="B6" s="9" t="s">
        <v>157</v>
      </c>
      <c r="C6" s="64">
        <f>'Data Sheet'!B17/'Data Sheet'!B$17</f>
        <v>1</v>
      </c>
      <c r="D6" s="64">
        <f>'Data Sheet'!C17/'Data Sheet'!C$17</f>
        <v>1</v>
      </c>
      <c r="E6" s="64">
        <f>'Data Sheet'!D17/'Data Sheet'!D$17</f>
        <v>1</v>
      </c>
      <c r="F6" s="64">
        <f>'Data Sheet'!E17/'Data Sheet'!E$17</f>
        <v>1</v>
      </c>
      <c r="G6" s="64">
        <f>'Data Sheet'!F17/'Data Sheet'!F$17</f>
        <v>1</v>
      </c>
      <c r="H6" s="64">
        <f>'Data Sheet'!G17/'Data Sheet'!G$17</f>
        <v>1</v>
      </c>
      <c r="I6" s="64">
        <f>'Data Sheet'!H17/'Data Sheet'!H$17</f>
        <v>1</v>
      </c>
      <c r="J6" s="64">
        <f>'Data Sheet'!I17/'Data Sheet'!I$17</f>
        <v>1</v>
      </c>
      <c r="K6" s="64">
        <f>'Data Sheet'!J17/'Data Sheet'!J$17</f>
        <v>1</v>
      </c>
      <c r="L6" s="64">
        <f>'Data Sheet'!K17/'Data Sheet'!K$17</f>
        <v>1</v>
      </c>
    </row>
    <row r="7" spans="1:12">
      <c r="B7" t="str">
        <f>'Data Sheet'!A18</f>
        <v>Raw Material Cost</v>
      </c>
      <c r="C7" s="52">
        <f>'Data Sheet'!B18/'Data Sheet'!B$17</f>
        <v>0.8719828101261502</v>
      </c>
      <c r="D7" s="52">
        <f>'Data Sheet'!C18/'Data Sheet'!C$17</f>
        <v>0.87716925255806799</v>
      </c>
      <c r="E7" s="52">
        <f>'Data Sheet'!D18/'Data Sheet'!D$17</f>
        <v>0.86624276540816614</v>
      </c>
      <c r="F7" s="52">
        <f>'Data Sheet'!E18/'Data Sheet'!E$17</f>
        <v>0.87052539566470821</v>
      </c>
      <c r="G7" s="52">
        <f>'Data Sheet'!F18/'Data Sheet'!F$17</f>
        <v>0.85457188090360003</v>
      </c>
      <c r="H7" s="52">
        <f>'Data Sheet'!G18/'Data Sheet'!G$17</f>
        <v>0.87207741050522591</v>
      </c>
      <c r="I7" s="52">
        <f>'Data Sheet'!H18/'Data Sheet'!H$17</f>
        <v>0.86214344878609739</v>
      </c>
      <c r="J7" s="52">
        <f>'Data Sheet'!I18/'Data Sheet'!I$17</f>
        <v>0.86383250507599285</v>
      </c>
      <c r="K7" s="52">
        <f>'Data Sheet'!J18/'Data Sheet'!J$17</f>
        <v>0.86814099954578139</v>
      </c>
      <c r="L7" s="52">
        <f>'Data Sheet'!K18/'Data Sheet'!K$17</f>
        <v>0.86099787206031053</v>
      </c>
    </row>
    <row r="8" spans="1:12">
      <c r="B8" t="str">
        <f>'Data Sheet'!A19</f>
        <v>Change in Inventory</v>
      </c>
      <c r="C8" s="52">
        <f>'Data Sheet'!B19/'Data Sheet'!B$17</f>
        <v>2.1786073983032041E-2</v>
      </c>
      <c r="D8" s="52">
        <f>'Data Sheet'!C19/'Data Sheet'!C$17</f>
        <v>2.5045695038225433E-2</v>
      </c>
      <c r="E8" s="52">
        <f>'Data Sheet'!D19/'Data Sheet'!D$17</f>
        <v>1.5387196286941855E-2</v>
      </c>
      <c r="F8" s="52">
        <f>'Data Sheet'!E19/'Data Sheet'!E$17</f>
        <v>2.3216251880615581E-2</v>
      </c>
      <c r="G8" s="52">
        <f>'Data Sheet'!F19/'Data Sheet'!F$17</f>
        <v>1.4056222228135061E-2</v>
      </c>
      <c r="H8" s="52">
        <f>'Data Sheet'!G19/'Data Sheet'!G$17</f>
        <v>2.2227476590290594E-2</v>
      </c>
      <c r="I8" s="52">
        <f>'Data Sheet'!H19/'Data Sheet'!H$17</f>
        <v>1.3620718771863514E-2</v>
      </c>
      <c r="J8" s="52">
        <f>'Data Sheet'!I19/'Data Sheet'!I$17</f>
        <v>1.2462380493607686E-2</v>
      </c>
      <c r="K8" s="52">
        <f>'Data Sheet'!J19/'Data Sheet'!J$17</f>
        <v>1.5959959026700117E-2</v>
      </c>
      <c r="L8" s="52">
        <f>'Data Sheet'!K19/'Data Sheet'!K$17</f>
        <v>1.169059626195974E-2</v>
      </c>
    </row>
    <row r="9" spans="1:12">
      <c r="B9" t="str">
        <f>'Data Sheet'!A20</f>
        <v>Power and Fuel</v>
      </c>
      <c r="C9" s="52">
        <f>'Data Sheet'!B20/'Data Sheet'!B$17</f>
        <v>9.6682371417353766E-3</v>
      </c>
      <c r="D9" s="52">
        <f>'Data Sheet'!C20/'Data Sheet'!C$17</f>
        <v>9.2135484041289354E-3</v>
      </c>
      <c r="E9" s="52">
        <f>'Data Sheet'!D20/'Data Sheet'!D$17</f>
        <v>9.2313857796583309E-3</v>
      </c>
      <c r="F9" s="52">
        <f>'Data Sheet'!E20/'Data Sheet'!E$17</f>
        <v>8.3553964211570287E-3</v>
      </c>
      <c r="G9" s="52">
        <f>'Data Sheet'!F20/'Data Sheet'!F$17</f>
        <v>8.0661469281324005E-3</v>
      </c>
      <c r="H9" s="52">
        <f>'Data Sheet'!G20/'Data Sheet'!G$17</f>
        <v>7.6382737501324701E-3</v>
      </c>
      <c r="I9" s="52">
        <f>'Data Sheet'!H20/'Data Sheet'!H$17</f>
        <v>7.5688977169463857E-3</v>
      </c>
      <c r="J9" s="52">
        <f>'Data Sheet'!I20/'Data Sheet'!I$17</f>
        <v>7.2153239895854119E-3</v>
      </c>
      <c r="K9" s="52">
        <f>'Data Sheet'!J20/'Data Sheet'!J$17</f>
        <v>6.7102979151460141E-3</v>
      </c>
      <c r="L9" s="52">
        <f>'Data Sheet'!K20/'Data Sheet'!K$17</f>
        <v>7.3441463917930071E-3</v>
      </c>
    </row>
    <row r="10" spans="1:12">
      <c r="B10" t="str">
        <f>'Data Sheet'!A21</f>
        <v>Other Mfr. Exp</v>
      </c>
      <c r="C10" s="52">
        <f>'Data Sheet'!B21/'Data Sheet'!B$17</f>
        <v>2.6358802342056301E-2</v>
      </c>
      <c r="D10" s="52">
        <f>'Data Sheet'!C21/'Data Sheet'!C$17</f>
        <v>2.4124806077556554E-2</v>
      </c>
      <c r="E10" s="52">
        <f>'Data Sheet'!D21/'Data Sheet'!D$17</f>
        <v>2.8118213929560008E-2</v>
      </c>
      <c r="F10" s="52">
        <f>'Data Sheet'!E21/'Data Sheet'!E$17</f>
        <v>2.7980197853366612E-2</v>
      </c>
      <c r="G10" s="52">
        <f>'Data Sheet'!F21/'Data Sheet'!F$17</f>
        <v>2.4859643987973287E-2</v>
      </c>
      <c r="H10" s="52">
        <f>'Data Sheet'!G21/'Data Sheet'!G$17</f>
        <v>2.4980354439896584E-2</v>
      </c>
      <c r="I10" s="52">
        <f>'Data Sheet'!H21/'Data Sheet'!H$17</f>
        <v>2.5973253130252269E-2</v>
      </c>
      <c r="J10" s="52">
        <f>'Data Sheet'!I21/'Data Sheet'!I$17</f>
        <v>3.0916959159278067E-2</v>
      </c>
      <c r="K10" s="52">
        <f>'Data Sheet'!J21/'Data Sheet'!J$17</f>
        <v>2.6015075410951674E-2</v>
      </c>
      <c r="L10" s="52">
        <f>'Data Sheet'!K21/'Data Sheet'!K$17</f>
        <v>2.6063759758503589E-2</v>
      </c>
    </row>
    <row r="11" spans="1:12">
      <c r="B11" t="str">
        <f>'Data Sheet'!A22</f>
        <v>Employee Cost</v>
      </c>
      <c r="C11" s="52">
        <f>'Data Sheet'!B22/'Data Sheet'!B$17</f>
        <v>1.8636588655024669E-2</v>
      </c>
      <c r="D11" s="52">
        <f>'Data Sheet'!C22/'Data Sheet'!C$17</f>
        <v>2.0818612827532872E-2</v>
      </c>
      <c r="E11" s="52">
        <f>'Data Sheet'!D22/'Data Sheet'!D$17</f>
        <v>1.7363020401315973E-2</v>
      </c>
      <c r="F11" s="52">
        <f>'Data Sheet'!E22/'Data Sheet'!E$17</f>
        <v>1.6193886213301728E-2</v>
      </c>
      <c r="G11" s="52">
        <f>'Data Sheet'!F22/'Data Sheet'!F$17</f>
        <v>1.8834313386371496E-2</v>
      </c>
      <c r="H11" s="52">
        <f>'Data Sheet'!G22/'Data Sheet'!G$17</f>
        <v>1.7804476188381425E-2</v>
      </c>
      <c r="I11" s="52">
        <f>'Data Sheet'!H22/'Data Sheet'!H$17</f>
        <v>1.8381034330242619E-2</v>
      </c>
      <c r="J11" s="52">
        <f>'Data Sheet'!I22/'Data Sheet'!I$17</f>
        <v>2.2266440128136201E-2</v>
      </c>
      <c r="K11" s="52">
        <f>'Data Sheet'!J22/'Data Sheet'!J$17</f>
        <v>1.9930094875851741E-2</v>
      </c>
      <c r="L11" s="52">
        <f>'Data Sheet'!K22/'Data Sheet'!K$17</f>
        <v>1.7464231658775208E-2</v>
      </c>
    </row>
    <row r="12" spans="1:12">
      <c r="B12" t="str">
        <f>'Data Sheet'!A23</f>
        <v>Selling and admin</v>
      </c>
      <c r="C12" s="52">
        <f>'Data Sheet'!B23/'Data Sheet'!B$17</f>
        <v>8.9642972977586596E-2</v>
      </c>
      <c r="D12" s="52">
        <f>'Data Sheet'!C23/'Data Sheet'!C$17</f>
        <v>9.0504904937238229E-2</v>
      </c>
      <c r="E12" s="52">
        <f>'Data Sheet'!D23/'Data Sheet'!D$17</f>
        <v>7.541799863929094E-2</v>
      </c>
      <c r="F12" s="52">
        <f>'Data Sheet'!E23/'Data Sheet'!E$17</f>
        <v>5.9877119107054301E-3</v>
      </c>
      <c r="G12" s="52">
        <f>'Data Sheet'!F23/'Data Sheet'!F$17</f>
        <v>6.3858659500305986E-3</v>
      </c>
      <c r="H12" s="52">
        <f>'Data Sheet'!G23/'Data Sheet'!G$17</f>
        <v>6.7904653548298086E-3</v>
      </c>
      <c r="I12" s="52">
        <f>'Data Sheet'!H23/'Data Sheet'!H$17</f>
        <v>4.794090920056936E-3</v>
      </c>
      <c r="J12" s="52">
        <f>'Data Sheet'!I23/'Data Sheet'!I$17</f>
        <v>4.5019148359818515E-3</v>
      </c>
      <c r="K12" s="52">
        <f>'Data Sheet'!J23/'Data Sheet'!J$17</f>
        <v>4.6296729722461738E-3</v>
      </c>
      <c r="L12" s="52">
        <f>'Data Sheet'!K23/'Data Sheet'!K$17</f>
        <v>4.9496306684755865E-3</v>
      </c>
    </row>
    <row r="13" spans="1:12">
      <c r="B13" t="str">
        <f>'Data Sheet'!A24</f>
        <v>Other Expenses</v>
      </c>
      <c r="C13" s="52">
        <f>'Data Sheet'!B24/'Data Sheet'!B$17</f>
        <v>-6.7325583380276888E-2</v>
      </c>
      <c r="D13" s="52">
        <f>'Data Sheet'!C24/'Data Sheet'!C$17</f>
        <v>-6.7639527101001171E-2</v>
      </c>
      <c r="E13" s="52">
        <f>'Data Sheet'!D24/'Data Sheet'!D$17</f>
        <v>-5.8395155502949755E-2</v>
      </c>
      <c r="F13" s="52">
        <f>'Data Sheet'!E24/'Data Sheet'!E$17</f>
        <v>1.2714222076535801E-2</v>
      </c>
      <c r="G13" s="52">
        <f>'Data Sheet'!F24/'Data Sheet'!F$17</f>
        <v>1.1346885559960621E-2</v>
      </c>
      <c r="H13" s="52">
        <f>'Data Sheet'!G24/'Data Sheet'!G$17</f>
        <v>1.1289448584619876E-2</v>
      </c>
      <c r="I13" s="52">
        <f>'Data Sheet'!H24/'Data Sheet'!H$17</f>
        <v>9.1832795876189161E-3</v>
      </c>
      <c r="J13" s="52">
        <f>'Data Sheet'!I24/'Data Sheet'!I$17</f>
        <v>1.1458779458776144E-2</v>
      </c>
      <c r="K13" s="52">
        <f>'Data Sheet'!J24/'Data Sheet'!J$17</f>
        <v>9.7510126299906342E-3</v>
      </c>
      <c r="L13" s="52">
        <f>'Data Sheet'!K24/'Data Sheet'!K$17</f>
        <v>9.931474552959927E-3</v>
      </c>
    </row>
    <row r="14" spans="1:12">
      <c r="B14" t="str">
        <f>'Data Sheet'!A25</f>
        <v>Other Income</v>
      </c>
      <c r="C14" s="52">
        <f>'Data Sheet'!B25/'Data Sheet'!B$17</f>
        <v>3.4716887728102972E-3</v>
      </c>
      <c r="D14" s="52">
        <f>'Data Sheet'!C25/'Data Sheet'!C$17</f>
        <v>3.1477941370587144E-3</v>
      </c>
      <c r="E14" s="52">
        <f>'Data Sheet'!D25/'Data Sheet'!D$17</f>
        <v>1.9828140581749721E-3</v>
      </c>
      <c r="F14" s="52">
        <f>'Data Sheet'!E25/'Data Sheet'!E$17</f>
        <v>2.3281810770148848E-3</v>
      </c>
      <c r="G14" s="52">
        <f>'Data Sheet'!F25/'Data Sheet'!F$17</f>
        <v>5.8370805949498443E-3</v>
      </c>
      <c r="H14" s="52">
        <f>'Data Sheet'!G25/'Data Sheet'!G$17</f>
        <v>2.4159539943972661E-3</v>
      </c>
      <c r="I14" s="52">
        <f>'Data Sheet'!H25/'Data Sheet'!H$17</f>
        <v>2.4121237464917854E-3</v>
      </c>
      <c r="J14" s="52">
        <f>'Data Sheet'!I25/'Data Sheet'!I$17</f>
        <v>8.0532459431405957E-3</v>
      </c>
      <c r="K14" s="52">
        <f>'Data Sheet'!J25/'Data Sheet'!J$17</f>
        <v>3.6686147170075672E-3</v>
      </c>
      <c r="L14" s="52">
        <f>'Data Sheet'!K25/'Data Sheet'!K$17</f>
        <v>2.9785553353022299E-3</v>
      </c>
    </row>
    <row r="15" spans="1:12">
      <c r="B15" t="str">
        <f>'Data Sheet'!A26</f>
        <v>Depreciation</v>
      </c>
      <c r="C15" s="52">
        <f>'Data Sheet'!B26/'Data Sheet'!B$17</f>
        <v>1.2164780389546099E-2</v>
      </c>
      <c r="D15" s="52">
        <f>'Data Sheet'!C26/'Data Sheet'!C$17</f>
        <v>1.26626114423171E-2</v>
      </c>
      <c r="E15" s="52">
        <f>'Data Sheet'!D26/'Data Sheet'!D$17</f>
        <v>1.1467002805297445E-2</v>
      </c>
      <c r="F15" s="52">
        <f>'Data Sheet'!E26/'Data Sheet'!E$17</f>
        <v>1.0743252897618866E-2</v>
      </c>
      <c r="G15" s="52">
        <f>'Data Sheet'!F26/'Data Sheet'!F$17</f>
        <v>1.0576590479738178E-2</v>
      </c>
      <c r="H15" s="52">
        <f>'Data Sheet'!G26/'Data Sheet'!G$17</f>
        <v>1.062209940553435E-2</v>
      </c>
      <c r="I15" s="52">
        <f>'Data Sheet'!H26/'Data Sheet'!H$17</f>
        <v>1.5054563292615258E-2</v>
      </c>
      <c r="J15" s="52">
        <f>'Data Sheet'!I26/'Data Sheet'!I$17</f>
        <v>1.7154412075354161E-2</v>
      </c>
      <c r="K15" s="52">
        <f>'Data Sheet'!J26/'Data Sheet'!J$17</f>
        <v>1.6079405299605148E-2</v>
      </c>
      <c r="L15" s="52">
        <f>'Data Sheet'!K26/'Data Sheet'!K$17</f>
        <v>1.4913085008342757E-2</v>
      </c>
    </row>
    <row r="16" spans="1:12">
      <c r="B16" t="str">
        <f>'Data Sheet'!A27</f>
        <v>Interest</v>
      </c>
      <c r="C16" s="52">
        <f>'Data Sheet'!B27/'Data Sheet'!B$17</f>
        <v>1.1880985302401803E-2</v>
      </c>
      <c r="D16" s="52">
        <f>'Data Sheet'!C27/'Data Sheet'!C$17</f>
        <v>1.1237019425632393E-2</v>
      </c>
      <c r="E16" s="52">
        <f>'Data Sheet'!D27/'Data Sheet'!D$17</f>
        <v>1.0641024446163452E-2</v>
      </c>
      <c r="F16" s="52">
        <f>'Data Sheet'!E27/'Data Sheet'!E$17</f>
        <v>1.0252401724703094E-2</v>
      </c>
      <c r="G16" s="52">
        <f>'Data Sheet'!F27/'Data Sheet'!F$17</f>
        <v>3.9605672777585609E-3</v>
      </c>
      <c r="H16" s="52">
        <f>'Data Sheet'!G27/'Data Sheet'!G$17</f>
        <v>2.3599666475376565E-3</v>
      </c>
      <c r="I16" s="52">
        <f>'Data Sheet'!H27/'Data Sheet'!H$17</f>
        <v>2.7792297609186899E-3</v>
      </c>
      <c r="J16" s="52">
        <f>'Data Sheet'!I27/'Data Sheet'!I$17</f>
        <v>1.7251334337900829E-3</v>
      </c>
      <c r="K16" s="52">
        <f>'Data Sheet'!J27/'Data Sheet'!J$17</f>
        <v>1.7364905458274996E-3</v>
      </c>
      <c r="L16" s="52">
        <f>'Data Sheet'!K27/'Data Sheet'!K$17</f>
        <v>1.5735455732972048E-3</v>
      </c>
    </row>
    <row r="17" spans="2:12">
      <c r="B17" t="str">
        <f>'Data Sheet'!A28</f>
        <v>Profit before tax</v>
      </c>
      <c r="C17" s="52">
        <f>'Data Sheet'!B28/'Data Sheet'!B$17</f>
        <v>5.2248169201618282E-2</v>
      </c>
      <c r="D17" s="52">
        <f>'Data Sheet'!C28/'Data Sheet'!C$17</f>
        <v>5.0102260603811205E-2</v>
      </c>
      <c r="E17" s="52">
        <f>'Data Sheet'!D28/'Data Sheet'!D$17</f>
        <v>5.7283754438614311E-2</v>
      </c>
      <c r="F17" s="52">
        <f>'Data Sheet'!E28/'Data Sheet'!E$17</f>
        <v>6.2791968195533593E-2</v>
      </c>
      <c r="G17" s="52">
        <f>'Data Sheet'!F28/'Data Sheet'!F$17</f>
        <v>8.1291408349519728E-2</v>
      </c>
      <c r="H17" s="52">
        <f>'Data Sheet'!G28/'Data Sheet'!G$17</f>
        <v>7.1080935708529872E-2</v>
      </c>
      <c r="I17" s="52">
        <f>'Data Sheet'!H28/'Data Sheet'!H$17</f>
        <v>7.0155044993606808E-2</v>
      </c>
      <c r="J17" s="52">
        <f>'Data Sheet'!I28/'Data Sheet'!I$17</f>
        <v>6.1444158279853507E-2</v>
      </c>
      <c r="K17" s="52">
        <f>'Data Sheet'!J28/'Data Sheet'!J$17</f>
        <v>6.6635524548307457E-2</v>
      </c>
      <c r="L17" s="52">
        <f>'Data Sheet'!K28/'Data Sheet'!K$17</f>
        <v>7.1431405924804084E-2</v>
      </c>
    </row>
    <row r="18" spans="2:12">
      <c r="B18" t="str">
        <f>'Data Sheet'!A29</f>
        <v>Tax</v>
      </c>
      <c r="C18" s="52">
        <f>'Data Sheet'!B29/'Data Sheet'!B$17</f>
        <v>1.7812942763011902E-2</v>
      </c>
      <c r="D18" s="52">
        <f>'Data Sheet'!C29/'Data Sheet'!C$17</f>
        <v>1.7225127068700181E-2</v>
      </c>
      <c r="E18" s="52">
        <f>'Data Sheet'!D29/'Data Sheet'!D$17</f>
        <v>1.9976094392201087E-2</v>
      </c>
      <c r="F18" s="52">
        <f>'Data Sheet'!E29/'Data Sheet'!E$17</f>
        <v>2.2548896005110227E-2</v>
      </c>
      <c r="G18" s="52">
        <f>'Data Sheet'!F29/'Data Sheet'!F$17</f>
        <v>2.7658116701700236E-2</v>
      </c>
      <c r="H18" s="52">
        <f>'Data Sheet'!G29/'Data Sheet'!G$17</f>
        <v>2.5968131202348269E-2</v>
      </c>
      <c r="I18" s="52">
        <f>'Data Sheet'!H29/'Data Sheet'!H$17</f>
        <v>1.7844247332148514E-2</v>
      </c>
      <c r="J18" s="52">
        <f>'Data Sheet'!I29/'Data Sheet'!I$17</f>
        <v>1.5906020197936795E-2</v>
      </c>
      <c r="K18" s="52">
        <f>'Data Sheet'!J29/'Data Sheet'!J$17</f>
        <v>1.8456708958179923E-2</v>
      </c>
      <c r="L18" s="52">
        <f>'Data Sheet'!K29/'Data Sheet'!K$17</f>
        <v>1.5914028995629274E-2</v>
      </c>
    </row>
    <row r="19" spans="2:12">
      <c r="B19" t="str">
        <f>'Data Sheet'!A30</f>
        <v>Net profit</v>
      </c>
      <c r="C19" s="52">
        <f>'Data Sheet'!B30/'Data Sheet'!B$17</f>
        <v>3.4433092640958674E-2</v>
      </c>
      <c r="D19" s="52">
        <f>'Data Sheet'!C30/'Data Sheet'!C$17</f>
        <v>3.2870921805190828E-2</v>
      </c>
      <c r="E19" s="52">
        <f>'Data Sheet'!D30/'Data Sheet'!D$17</f>
        <v>3.7307660046413227E-2</v>
      </c>
      <c r="F19" s="52">
        <f>'Data Sheet'!E30/'Data Sheet'!E$17</f>
        <v>4.0238869697504558E-2</v>
      </c>
      <c r="G19" s="52">
        <f>'Data Sheet'!F30/'Data Sheet'!F$17</f>
        <v>5.3631961259079902E-2</v>
      </c>
      <c r="H19" s="52">
        <f>'Data Sheet'!G30/'Data Sheet'!G$17</f>
        <v>4.511680360238586E-2</v>
      </c>
      <c r="I19" s="52">
        <f>'Data Sheet'!H30/'Data Sheet'!H$17</f>
        <v>5.2314818537848508E-2</v>
      </c>
      <c r="J19" s="52">
        <f>'Data Sheet'!I30/'Data Sheet'!I$17</f>
        <v>4.5540623268135849E-2</v>
      </c>
      <c r="K19" s="52">
        <f>'Data Sheet'!J30/'Data Sheet'!J$17</f>
        <v>4.8183658006596658E-2</v>
      </c>
      <c r="L19" s="52">
        <f>'Data Sheet'!K30/'Data Sheet'!K$17</f>
        <v>5.5521345223900537E-2</v>
      </c>
    </row>
    <row r="20" spans="2:12">
      <c r="B20" t="str">
        <f>'Data Sheet'!A31</f>
        <v>Dividend Amount</v>
      </c>
      <c r="C20" s="52">
        <f>'Data Sheet'!B31/'Data Sheet'!B$17</f>
        <v>0</v>
      </c>
      <c r="D20" s="52">
        <f>'Data Sheet'!C31/'Data Sheet'!C$17</f>
        <v>0</v>
      </c>
      <c r="E20" s="52">
        <f>'Data Sheet'!D31/'Data Sheet'!D$17</f>
        <v>0</v>
      </c>
      <c r="F20" s="52">
        <f>'Data Sheet'!E31/'Data Sheet'!E$17</f>
        <v>0</v>
      </c>
      <c r="G20" s="52">
        <f>'Data Sheet'!F31/'Data Sheet'!F$17</f>
        <v>0</v>
      </c>
      <c r="H20" s="52">
        <f>'Data Sheet'!G31/'Data Sheet'!G$17</f>
        <v>0</v>
      </c>
      <c r="I20" s="52">
        <f>'Data Sheet'!H31/'Data Sheet'!H$17</f>
        <v>0</v>
      </c>
      <c r="J20" s="52">
        <f>'Data Sheet'!I31/'Data Sheet'!I$17</f>
        <v>0</v>
      </c>
      <c r="K20" s="52">
        <f>'Data Sheet'!J31/'Data Sheet'!J$17</f>
        <v>0</v>
      </c>
      <c r="L20" s="52">
        <f>'Data Sheet'!K31/'Data Sheet'!K$17</f>
        <v>0</v>
      </c>
    </row>
    <row r="21" spans="2:12">
      <c r="B21" t="str">
        <f>'Data Sheet'!A33</f>
        <v>EBITDA</v>
      </c>
      <c r="C21" s="52">
        <f>'Data Sheet'!B33/'Data Sheet'!B$17</f>
        <v>7.6291801095918488E-2</v>
      </c>
      <c r="D21" s="52">
        <f>'Data Sheet'!C33/'Data Sheet'!C$17</f>
        <v>7.39956797418405E-2</v>
      </c>
      <c r="E21" s="52">
        <f>'Data Sheet'!D33/'Data Sheet'!D$17</f>
        <v>7.9391781690075228E-2</v>
      </c>
      <c r="F21" s="52">
        <f>'Data Sheet'!E33/'Data Sheet'!E$17</f>
        <v>8.3783420324936742E-2</v>
      </c>
      <c r="G21" s="52">
        <f>'Data Sheet'!F33/'Data Sheet'!F$17</f>
        <v>9.5827235718276865E-2</v>
      </c>
      <c r="H21" s="52">
        <f>'Data Sheet'!G33/'Data Sheet'!G$17</f>
        <v>8.4067000857806135E-2</v>
      </c>
      <c r="I21" s="52">
        <f>'Data Sheet'!H33/'Data Sheet'!H$17</f>
        <v>8.7992858923530953E-2</v>
      </c>
      <c r="J21" s="52">
        <f>'Data Sheet'!I33/'Data Sheet'!I$17</f>
        <v>8.03261889752169E-2</v>
      </c>
      <c r="K21" s="52">
        <f>'Data Sheet'!J33/'Data Sheet'!J$17</f>
        <v>8.4456262810209223E-2</v>
      </c>
      <c r="L21" s="52">
        <f>'Data Sheet'!K33/'Data Sheet'!K$17</f>
        <v>8.7922004801169767E-2</v>
      </c>
    </row>
    <row r="23" spans="2:12">
      <c r="B23" s="244" t="str">
        <f>"Common Size Balance Sheet - "&amp;'Data Sheet'!$B$1</f>
        <v>Common Size Balance Sheet - AVENUE SUPERMARTS LTD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</row>
    <row r="25" spans="2:12">
      <c r="B25" s="58" t="s">
        <v>156</v>
      </c>
      <c r="C25" s="59">
        <f>'Data Sheet'!B$16</f>
        <v>41729</v>
      </c>
      <c r="D25" s="59">
        <f>'Data Sheet'!C$16</f>
        <v>42094</v>
      </c>
      <c r="E25" s="59">
        <f>'Data Sheet'!D$16</f>
        <v>42460</v>
      </c>
      <c r="F25" s="59">
        <f>'Data Sheet'!E$16</f>
        <v>42825</v>
      </c>
      <c r="G25" s="59">
        <f>'Data Sheet'!F$16</f>
        <v>43190</v>
      </c>
      <c r="H25" s="59">
        <f>'Data Sheet'!G$16</f>
        <v>43555</v>
      </c>
      <c r="I25" s="59">
        <f>'Data Sheet'!H$16</f>
        <v>43921</v>
      </c>
      <c r="J25" s="59">
        <f>'Data Sheet'!I$16</f>
        <v>44286</v>
      </c>
      <c r="K25" s="59">
        <f>'Data Sheet'!J$16</f>
        <v>44651</v>
      </c>
      <c r="L25" s="59">
        <f>'Data Sheet'!K$16</f>
        <v>45016</v>
      </c>
    </row>
    <row r="26" spans="2:12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2:12">
      <c r="B27" s="62" t="s">
        <v>82</v>
      </c>
      <c r="C27" s="63">
        <f>'Data Sheet'!B61/'Data Sheet'!B$61</f>
        <v>1</v>
      </c>
      <c r="D27" s="63">
        <f>'Data Sheet'!C61/'Data Sheet'!C$61</f>
        <v>1</v>
      </c>
      <c r="E27" s="63">
        <f>'Data Sheet'!D61/'Data Sheet'!D$61</f>
        <v>1</v>
      </c>
      <c r="F27" s="63">
        <f>'Data Sheet'!E61/'Data Sheet'!E$61</f>
        <v>1</v>
      </c>
      <c r="G27" s="63">
        <f>'Data Sheet'!F61/'Data Sheet'!F$61</f>
        <v>1</v>
      </c>
      <c r="H27" s="63">
        <f>'Data Sheet'!G61/'Data Sheet'!G$61</f>
        <v>1</v>
      </c>
      <c r="I27" s="63">
        <f>'Data Sheet'!H61/'Data Sheet'!H$61</f>
        <v>1</v>
      </c>
      <c r="J27" s="63">
        <f>'Data Sheet'!I61/'Data Sheet'!I$61</f>
        <v>1</v>
      </c>
      <c r="K27" s="63">
        <f>'Data Sheet'!J61/'Data Sheet'!J$61</f>
        <v>1</v>
      </c>
      <c r="L27" s="63">
        <f>'Data Sheet'!K61/'Data Sheet'!K$61</f>
        <v>1</v>
      </c>
    </row>
    <row r="28" spans="2:12">
      <c r="B28" t="str">
        <f>'Data Sheet'!A57</f>
        <v>Equity Share Capital</v>
      </c>
      <c r="C28" s="52">
        <f>'Data Sheet'!B57/'Data Sheet'!B$61</f>
        <v>0.30246452576549665</v>
      </c>
      <c r="D28" s="52">
        <f>'Data Sheet'!C57/'Data Sheet'!C$61</f>
        <v>0.23846509909504376</v>
      </c>
      <c r="E28" s="52">
        <f>'Data Sheet'!D57/'Data Sheet'!D$61</f>
        <v>0.18105082603593028</v>
      </c>
      <c r="F28" s="52">
        <f>'Data Sheet'!E57/'Data Sheet'!E$61</f>
        <v>0.10724350778790505</v>
      </c>
      <c r="G28" s="52">
        <f>'Data Sheet'!F57/'Data Sheet'!F$61</f>
        <v>0.11049144686290549</v>
      </c>
      <c r="H28" s="52">
        <f>'Data Sheet'!G57/'Data Sheet'!G$61</f>
        <v>8.9084290914281647E-2</v>
      </c>
      <c r="I28" s="52">
        <f>'Data Sheet'!H57/'Data Sheet'!H$61</f>
        <v>5.3640395622449523E-2</v>
      </c>
      <c r="J28" s="52">
        <f>'Data Sheet'!I57/'Data Sheet'!I$61</f>
        <v>4.7438127286242089E-2</v>
      </c>
      <c r="K28" s="52">
        <f>'Data Sheet'!J57/'Data Sheet'!J$61</f>
        <v>4.1870004356543672E-2</v>
      </c>
      <c r="L28" s="52">
        <f>'Data Sheet'!K57/'Data Sheet'!K$61</f>
        <v>3.5806527872597561E-2</v>
      </c>
    </row>
    <row r="29" spans="2:12">
      <c r="B29" t="str">
        <f>'Data Sheet'!A58</f>
        <v>Reserves</v>
      </c>
      <c r="C29" s="52">
        <f>'Data Sheet'!B58/'Data Sheet'!B$61</f>
        <v>0.22616103781152325</v>
      </c>
      <c r="D29" s="52">
        <f>'Data Sheet'!C58/'Data Sheet'!C$61</f>
        <v>0.27078617807806149</v>
      </c>
      <c r="E29" s="52">
        <f>'Data Sheet'!D58/'Data Sheet'!D$61</f>
        <v>0.30916699983234242</v>
      </c>
      <c r="F29" s="52">
        <f>'Data Sheet'!E58/'Data Sheet'!E$61</f>
        <v>0.55293782048638318</v>
      </c>
      <c r="G29" s="52">
        <f>'Data Sheet'!F58/'Data Sheet'!F$61</f>
        <v>0.71614951258980697</v>
      </c>
      <c r="H29" s="52">
        <f>'Data Sheet'!G58/'Data Sheet'!G$61</f>
        <v>0.70849618157162231</v>
      </c>
      <c r="I29" s="52">
        <f>'Data Sheet'!H58/'Data Sheet'!H$61</f>
        <v>0.86384827627325234</v>
      </c>
      <c r="J29" s="52">
        <f>'Data Sheet'!I58/'Data Sheet'!I$61</f>
        <v>0.84481126030296494</v>
      </c>
      <c r="K29" s="52">
        <f>'Data Sheet'!J58/'Data Sheet'!J$61</f>
        <v>0.84221361542707707</v>
      </c>
      <c r="L29" s="52">
        <f>'Data Sheet'!K58/'Data Sheet'!K$61</f>
        <v>0.852297658264345</v>
      </c>
    </row>
    <row r="30" spans="2:12">
      <c r="B30" t="str">
        <f>'Data Sheet'!A59</f>
        <v>Borrowings</v>
      </c>
      <c r="C30" s="52">
        <f>'Data Sheet'!B59/'Data Sheet'!B$61</f>
        <v>0.35450446712582634</v>
      </c>
      <c r="D30" s="52">
        <f>'Data Sheet'!C59/'Data Sheet'!C$61</f>
        <v>0.38400550362874286</v>
      </c>
      <c r="E30" s="52">
        <f>'Data Sheet'!D59/'Data Sheet'!D$61</f>
        <v>0.38443235017217142</v>
      </c>
      <c r="F30" s="52">
        <f>'Data Sheet'!E59/'Data Sheet'!E$61</f>
        <v>0.25730330900042619</v>
      </c>
      <c r="G30" s="52">
        <f>'Data Sheet'!F59/'Data Sheet'!F$61</f>
        <v>7.7767863149806479E-2</v>
      </c>
      <c r="H30" s="52">
        <f>'Data Sheet'!G59/'Data Sheet'!G$61</f>
        <v>9.9942902005567047E-2</v>
      </c>
      <c r="I30" s="52">
        <f>'Data Sheet'!H59/'Data Sheet'!H$61</f>
        <v>2.7590724203720388E-2</v>
      </c>
      <c r="J30" s="52">
        <f>'Data Sheet'!I59/'Data Sheet'!I$61</f>
        <v>2.875932347373316E-2</v>
      </c>
      <c r="K30" s="52">
        <f>'Data Sheet'!J59/'Data Sheet'!J$61</f>
        <v>4.1816355524989371E-2</v>
      </c>
      <c r="L30" s="52">
        <f>'Data Sheet'!K59/'Data Sheet'!K$61</f>
        <v>3.5514887994821186E-2</v>
      </c>
    </row>
    <row r="31" spans="2:12">
      <c r="B31" t="str">
        <f>'Data Sheet'!A60</f>
        <v>Other Liabilities</v>
      </c>
      <c r="C31" s="52">
        <f>'Data Sheet'!B60/'Data Sheet'!B$61</f>
        <v>0.11686996929715375</v>
      </c>
      <c r="D31" s="52">
        <f>'Data Sheet'!C60/'Data Sheet'!C$61</f>
        <v>0.10674321919815187</v>
      </c>
      <c r="E31" s="52">
        <f>'Data Sheet'!D60/'Data Sheet'!D$61</f>
        <v>0.12534982395955582</v>
      </c>
      <c r="F31" s="52">
        <f>'Data Sheet'!E60/'Data Sheet'!E$61</f>
        <v>8.2515362725285604E-2</v>
      </c>
      <c r="G31" s="52">
        <f>'Data Sheet'!F60/'Data Sheet'!F$61</f>
        <v>9.5591177397480964E-2</v>
      </c>
      <c r="H31" s="52">
        <f>'Data Sheet'!G60/'Data Sheet'!G$61</f>
        <v>0.10247662550852901</v>
      </c>
      <c r="I31" s="52">
        <f>'Data Sheet'!H60/'Data Sheet'!H$61</f>
        <v>5.4920603900577666E-2</v>
      </c>
      <c r="J31" s="52">
        <f>'Data Sheet'!I60/'Data Sheet'!I$61</f>
        <v>7.8991288937059922E-2</v>
      </c>
      <c r="K31" s="52">
        <f>'Data Sheet'!J60/'Data Sheet'!J$61</f>
        <v>7.4100024691389946E-2</v>
      </c>
      <c r="L31" s="52">
        <f>'Data Sheet'!K60/'Data Sheet'!K$61</f>
        <v>7.6380925868236207E-2</v>
      </c>
    </row>
    <row r="32" spans="2:12"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2:12">
      <c r="B33" t="s">
        <v>86</v>
      </c>
      <c r="C33" s="64">
        <f>'Data Sheet'!B77/'Data Sheet'!B$77</f>
        <v>1</v>
      </c>
      <c r="D33" s="64">
        <f>'Data Sheet'!C77/'Data Sheet'!C$77</f>
        <v>1</v>
      </c>
      <c r="E33" s="64">
        <f>'Data Sheet'!D77/'Data Sheet'!D$77</f>
        <v>1</v>
      </c>
      <c r="F33" s="64">
        <f>'Data Sheet'!E77/'Data Sheet'!E$77</f>
        <v>1</v>
      </c>
      <c r="G33" s="64">
        <f>'Data Sheet'!F77/'Data Sheet'!F$77</f>
        <v>1</v>
      </c>
      <c r="H33" s="64">
        <f>'Data Sheet'!G77/'Data Sheet'!G$77</f>
        <v>1</v>
      </c>
      <c r="I33" s="64">
        <f>'Data Sheet'!H77/'Data Sheet'!H$77</f>
        <v>1</v>
      </c>
      <c r="J33" s="64">
        <f>'Data Sheet'!I77/'Data Sheet'!I$77</f>
        <v>1</v>
      </c>
      <c r="K33" s="64">
        <f>'Data Sheet'!J77/'Data Sheet'!J$77</f>
        <v>1</v>
      </c>
      <c r="L33" s="64">
        <f>'Data Sheet'!K77/'Data Sheet'!K$77</f>
        <v>1</v>
      </c>
    </row>
    <row r="34" spans="2:12">
      <c r="B34" t="str">
        <f>'Data Sheet'!A62</f>
        <v>Net Block</v>
      </c>
      <c r="C34" s="52">
        <f>'Data Sheet'!B62/'Data Sheet'!B$77</f>
        <v>0.64818410643653357</v>
      </c>
      <c r="D34" s="52">
        <f>'Data Sheet'!C62/'Data Sheet'!C$77</f>
        <v>0.64891859640480543</v>
      </c>
      <c r="E34" s="52">
        <f>'Data Sheet'!D62/'Data Sheet'!D$77</f>
        <v>0.67498936019293521</v>
      </c>
      <c r="F34" s="52">
        <f>'Data Sheet'!E62/'Data Sheet'!E$77</f>
        <v>0.44296717119643669</v>
      </c>
      <c r="G34" s="52">
        <f>'Data Sheet'!F62/'Data Sheet'!F$77</f>
        <v>0.60195424399191244</v>
      </c>
      <c r="H34" s="52">
        <f>'Data Sheet'!G62/'Data Sheet'!G$77</f>
        <v>0.62813075440725141</v>
      </c>
      <c r="I34" s="52">
        <f>'Data Sheet'!H62/'Data Sheet'!H$77</f>
        <v>0.49254315941491333</v>
      </c>
      <c r="J34" s="52">
        <f>'Data Sheet'!I62/'Data Sheet'!I$77</f>
        <v>0.513275308402386</v>
      </c>
      <c r="K34" s="52">
        <f>'Data Sheet'!J62/'Data Sheet'!J$77</f>
        <v>0.59854126887889458</v>
      </c>
      <c r="L34" s="52">
        <f>'Data Sheet'!K62/'Data Sheet'!K$77</f>
        <v>0.62638943203133801</v>
      </c>
    </row>
    <row r="35" spans="2:12">
      <c r="B35" t="str">
        <f>'Data Sheet'!A63</f>
        <v>Capital Work in Progress</v>
      </c>
      <c r="C35" s="52">
        <f>'Data Sheet'!B63/'Data Sheet'!B$77</f>
        <v>4.9113489890188919E-2</v>
      </c>
      <c r="D35" s="52">
        <f>'Data Sheet'!C63/'Data Sheet'!C$77</f>
        <v>4.166790526624229E-2</v>
      </c>
      <c r="E35" s="52">
        <f>'Data Sheet'!D63/'Data Sheet'!D$77</f>
        <v>2.6338358761397489E-2</v>
      </c>
      <c r="F35" s="52">
        <f>'Data Sheet'!E63/'Data Sheet'!E$77</f>
        <v>2.6273009719415458E-2</v>
      </c>
      <c r="G35" s="52">
        <f>'Data Sheet'!F63/'Data Sheet'!F$77</f>
        <v>2.6038291709600543E-2</v>
      </c>
      <c r="H35" s="52">
        <f>'Data Sheet'!G63/'Data Sheet'!G$77</f>
        <v>5.3792020555277993E-2</v>
      </c>
      <c r="I35" s="52">
        <f>'Data Sheet'!H63/'Data Sheet'!H$77</f>
        <v>3.0175155016164076E-2</v>
      </c>
      <c r="J35" s="52">
        <f>'Data Sheet'!I63/'Data Sheet'!I$77</f>
        <v>7.466761381320465E-2</v>
      </c>
      <c r="K35" s="52">
        <f>'Data Sheet'!J63/'Data Sheet'!J$77</f>
        <v>7.299731497293642E-2</v>
      </c>
      <c r="L35" s="52">
        <f>'Data Sheet'!K63/'Data Sheet'!K$77</f>
        <v>4.5798507775958709E-2</v>
      </c>
    </row>
    <row r="36" spans="2:12">
      <c r="B36" t="str">
        <f>'Data Sheet'!A64</f>
        <v>Investments</v>
      </c>
      <c r="C36" s="52">
        <f>'Data Sheet'!B64/'Data Sheet'!B$77</f>
        <v>8.5967969463115086E-3</v>
      </c>
      <c r="D36" s="52">
        <f>'Data Sheet'!C64/'Data Sheet'!C$77</f>
        <v>6.4676130982966786E-3</v>
      </c>
      <c r="E36" s="52">
        <f>'Data Sheet'!D64/'Data Sheet'!D$77</f>
        <v>9.4565315518642234E-3</v>
      </c>
      <c r="F36" s="52">
        <f>'Data Sheet'!E64/'Data Sheet'!E$77</f>
        <v>4.4146354875517248E-3</v>
      </c>
      <c r="G36" s="52">
        <f>'Data Sheet'!F64/'Data Sheet'!F$77</f>
        <v>1.2071059555045661E-2</v>
      </c>
      <c r="H36" s="52">
        <f>'Data Sheet'!G64/'Data Sheet'!G$77</f>
        <v>2.3595746199414746E-3</v>
      </c>
      <c r="I36" s="52">
        <f>'Data Sheet'!H64/'Data Sheet'!H$77</f>
        <v>1.2156182097620436E-3</v>
      </c>
      <c r="J36" s="52">
        <f>'Data Sheet'!I64/'Data Sheet'!I$77</f>
        <v>2.1603729023328367E-4</v>
      </c>
      <c r="K36" s="52">
        <f>'Data Sheet'!J64/'Data Sheet'!J$77</f>
        <v>3.8394464991875114E-4</v>
      </c>
      <c r="L36" s="52">
        <f>'Data Sheet'!K64/'Data Sheet'!K$77</f>
        <v>1.1168481683027221E-2</v>
      </c>
    </row>
    <row r="37" spans="2:12">
      <c r="B37" t="str">
        <f>'Data Sheet'!A65</f>
        <v>Other Assets</v>
      </c>
      <c r="C37" s="52">
        <f>'Data Sheet'!B75/'Data Sheet'!B$77</f>
        <v>4.8881144026775097E-2</v>
      </c>
      <c r="D37" s="52">
        <f>'Data Sheet'!C75/'Data Sheet'!C$77</f>
        <v>5.4637104479766933E-2</v>
      </c>
      <c r="E37" s="52">
        <f>'Data Sheet'!D75/'Data Sheet'!D$77</f>
        <v>5.8618888559305624E-2</v>
      </c>
      <c r="F37" s="52">
        <f>'Data Sheet'!E75/'Data Sheet'!E$77</f>
        <v>3.6045696374809214E-2</v>
      </c>
      <c r="G37" s="52">
        <f>'Data Sheet'!F75/'Data Sheet'!F$77</f>
        <v>4.8838395105006517E-2</v>
      </c>
      <c r="H37" s="52">
        <f>'Data Sheet'!G75/'Data Sheet'!G$77</f>
        <v>4.5631289700949297E-2</v>
      </c>
      <c r="I37" s="52">
        <f>'Data Sheet'!H75/'Data Sheet'!H$77</f>
        <v>0.30425400127192753</v>
      </c>
      <c r="J37" s="52">
        <f>'Data Sheet'!I75/'Data Sheet'!I$77</f>
        <v>0.13813717269435119</v>
      </c>
      <c r="K37" s="52">
        <f>'Data Sheet'!J75/'Data Sheet'!J$77</f>
        <v>0.12717681749960252</v>
      </c>
      <c r="L37" s="52">
        <f>'Data Sheet'!K75/'Data Sheet'!K$77</f>
        <v>5.626826891848008E-2</v>
      </c>
    </row>
    <row r="38" spans="2:12">
      <c r="B38" t="str">
        <f>'Data Sheet'!A67</f>
        <v>Receivables</v>
      </c>
      <c r="C38" s="52">
        <f>'Data Sheet'!B67/'Data Sheet'!B$77</f>
        <v>5.2775703261140148E-3</v>
      </c>
      <c r="D38" s="52">
        <f>'Data Sheet'!C67/'Data Sheet'!C$77</f>
        <v>3.0023653713038422E-3</v>
      </c>
      <c r="E38" s="52">
        <f>'Data Sheet'!D67/'Data Sheet'!D$77</f>
        <v>2.7147628935116522E-3</v>
      </c>
      <c r="F38" s="52">
        <f>'Data Sheet'!E67/'Data Sheet'!E$77</f>
        <v>3.6086938590341074E-3</v>
      </c>
      <c r="G38" s="52">
        <f>'Data Sheet'!F67/'Data Sheet'!F$77</f>
        <v>5.9346130285293421E-3</v>
      </c>
      <c r="H38" s="52">
        <f>'Data Sheet'!G67/'Data Sheet'!G$77</f>
        <v>9.1884947541217617E-3</v>
      </c>
      <c r="I38" s="52">
        <f>'Data Sheet'!H67/'Data Sheet'!H$77</f>
        <v>1.6188920981504056E-3</v>
      </c>
      <c r="J38" s="52">
        <f>'Data Sheet'!I67/'Data Sheet'!I$77</f>
        <v>3.1914932570733905E-3</v>
      </c>
      <c r="K38" s="52">
        <f>'Data Sheet'!J67/'Data Sheet'!J$77</f>
        <v>4.3235787261052634E-3</v>
      </c>
      <c r="L38" s="52">
        <f>'Data Sheet'!K67/'Data Sheet'!K$77</f>
        <v>3.4333967429128194E-3</v>
      </c>
    </row>
    <row r="39" spans="2:12">
      <c r="B39" t="str">
        <f>'Data Sheet'!A68</f>
        <v>Inventory</v>
      </c>
      <c r="C39" s="52">
        <f>'Data Sheet'!B68/'Data Sheet'!B$77</f>
        <v>0.20929383453655295</v>
      </c>
      <c r="D39" s="52">
        <f>'Data Sheet'!C68/'Data Sheet'!C$77</f>
        <v>0.22915224582875052</v>
      </c>
      <c r="E39" s="52">
        <f>'Data Sheet'!D68/'Data Sheet'!D$77</f>
        <v>0.21656521234475556</v>
      </c>
      <c r="F39" s="52">
        <f>'Data Sheet'!E68/'Data Sheet'!E$77</f>
        <v>0.16288956709421096</v>
      </c>
      <c r="G39" s="52">
        <f>'Data Sheet'!F68/'Data Sheet'!F$77</f>
        <v>0.20598524844995414</v>
      </c>
      <c r="H39" s="52">
        <f>'Data Sheet'!G68/'Data Sheet'!G$77</f>
        <v>0.22962672186139463</v>
      </c>
      <c r="I39" s="52">
        <f>'Data Sheet'!H68/'Data Sheet'!H$77</f>
        <v>0.16125987068737083</v>
      </c>
      <c r="J39" s="52">
        <f>'Data Sheet'!I68/'Data Sheet'!I$77</f>
        <v>0.16464824369006339</v>
      </c>
      <c r="K39" s="52">
        <f>'Data Sheet'!J68/'Data Sheet'!J$77</f>
        <v>0.17727771608521245</v>
      </c>
      <c r="L39" s="52">
        <f>'Data Sheet'!K68/'Data Sheet'!K$77</f>
        <v>0.17915305128222123</v>
      </c>
    </row>
    <row r="40" spans="2:12">
      <c r="B40" t="str">
        <f>'Data Sheet'!A69</f>
        <v>Cash &amp; Bank</v>
      </c>
      <c r="C40" s="52">
        <f>'Data Sheet'!B69/'Data Sheet'!B$77</f>
        <v>3.0653057837523853E-2</v>
      </c>
      <c r="D40" s="52">
        <f>'Data Sheet'!C69/'Data Sheet'!C$77</f>
        <v>1.6154169550834249E-2</v>
      </c>
      <c r="E40" s="52">
        <f>'Data Sheet'!D69/'Data Sheet'!D$77</f>
        <v>1.1316885696230284E-2</v>
      </c>
      <c r="F40" s="52">
        <f>'Data Sheet'!E69/'Data Sheet'!E$77</f>
        <v>0.3238012262685418</v>
      </c>
      <c r="G40" s="52">
        <f>'Data Sheet'!F69/'Data Sheet'!F$77</f>
        <v>9.9178148159951268E-2</v>
      </c>
      <c r="H40" s="52">
        <f>'Data Sheet'!G69/'Data Sheet'!G$77</f>
        <v>3.127114410106345E-2</v>
      </c>
      <c r="I40" s="52">
        <f>'Data Sheet'!H69/'Data Sheet'!H$77</f>
        <v>8.9333033017118015E-3</v>
      </c>
      <c r="J40" s="52">
        <f>'Data Sheet'!I69/'Data Sheet'!I$77</f>
        <v>0.1058641308526882</v>
      </c>
      <c r="K40" s="52">
        <f>'Data Sheet'!J69/'Data Sheet'!J$77</f>
        <v>1.9299359187330084E-2</v>
      </c>
      <c r="L40" s="52">
        <f>'Data Sheet'!K69/'Data Sheet'!K$77</f>
        <v>7.7788861566061948E-2</v>
      </c>
    </row>
  </sheetData>
  <mergeCells count="2">
    <mergeCell ref="B2:L2"/>
    <mergeCell ref="B23:L23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workbookViewId="0">
      <selection activeCell="D12" sqref="D12"/>
    </sheetView>
  </sheetViews>
  <sheetFormatPr defaultRowHeight="15"/>
  <cols>
    <col min="1" max="1" width="1.85546875" style="49" customWidth="1"/>
    <col min="2" max="2" width="12" bestFit="1" customWidth="1"/>
    <col min="3" max="3" width="9.85546875" bestFit="1" customWidth="1"/>
    <col min="4" max="4" width="13.5703125" customWidth="1"/>
    <col min="5" max="5" width="12.7109375" bestFit="1" customWidth="1"/>
    <col min="6" max="6" width="2.7109375" customWidth="1"/>
    <col min="10" max="10" width="14.5703125" bestFit="1" customWidth="1"/>
    <col min="11" max="11" width="2.7109375" customWidth="1"/>
    <col min="12" max="12" width="17.42578125" customWidth="1"/>
    <col min="13" max="13" width="7.7109375" customWidth="1"/>
    <col min="14" max="14" width="9.5703125" customWidth="1"/>
    <col min="15" max="15" width="17.140625" customWidth="1"/>
  </cols>
  <sheetData>
    <row r="2" spans="1:15">
      <c r="A2" s="50"/>
      <c r="B2" s="245" t="str">
        <f>'Data Sheet'!$B$1&amp;" - "&amp;HistoricalFS!$B$6&amp;" Forecasting"</f>
        <v>AVENUE SUPERMARTS LTD - Sales Forecasting</v>
      </c>
      <c r="C2" s="245"/>
      <c r="D2" s="245"/>
      <c r="E2" s="245"/>
      <c r="G2" s="245" t="str">
        <f>'Data Sheet'!$B$1&amp;" - "&amp;HistoricalFS!B18&amp;" Forecasting"</f>
        <v>AVENUE SUPERMARTS LTD - EBITDA Forecasting</v>
      </c>
      <c r="H2" s="245"/>
      <c r="I2" s="245"/>
      <c r="J2" s="245"/>
      <c r="L2" s="245" t="str">
        <f>'Data Sheet'!$B$1&amp;" - Earnings per Share Forecasting"</f>
        <v>AVENUE SUPERMARTS LTD - Earnings per Share Forecasting</v>
      </c>
      <c r="M2" s="245"/>
      <c r="N2" s="245"/>
      <c r="O2" s="245"/>
    </row>
    <row r="3" spans="1:15">
      <c r="B3" s="145" t="s">
        <v>154</v>
      </c>
      <c r="C3" s="165" t="s">
        <v>155</v>
      </c>
      <c r="D3" s="165" t="s">
        <v>1</v>
      </c>
      <c r="E3" s="145" t="s">
        <v>10</v>
      </c>
      <c r="G3" s="145" t="s">
        <v>154</v>
      </c>
      <c r="H3" s="165" t="s">
        <v>155</v>
      </c>
      <c r="I3" s="165" t="str">
        <f>HistoricalFS!B18</f>
        <v>EBITDA</v>
      </c>
      <c r="J3" s="165" t="str">
        <f>I3&amp;" Growth"</f>
        <v>EBITDA Growth</v>
      </c>
      <c r="L3" s="145" t="s">
        <v>154</v>
      </c>
      <c r="M3" s="165" t="s">
        <v>155</v>
      </c>
      <c r="N3" s="165" t="str">
        <f>HistoricalFS!B38</f>
        <v>EPS</v>
      </c>
      <c r="O3" s="165" t="str">
        <f>N3&amp;" Growth"</f>
        <v>EPS Growth</v>
      </c>
    </row>
    <row r="4" spans="1:15">
      <c r="B4" s="51">
        <v>1</v>
      </c>
      <c r="C4" s="53">
        <f>HistoricalFS!$C$3</f>
        <v>41729</v>
      </c>
      <c r="D4" s="10">
        <f t="array" ref="D4:D13">TRANSPOSE('Data Sheet'!B17:K17)</f>
        <v>4686.4799999999996</v>
      </c>
      <c r="G4" s="51">
        <v>1</v>
      </c>
      <c r="H4" s="53">
        <f>HistoricalFS!$C$3</f>
        <v>41729</v>
      </c>
      <c r="I4" s="10">
        <f t="array" ref="I4:I13">TRANSPOSE(HistoricalFS!C18:L18)</f>
        <v>341.27999999999986</v>
      </c>
      <c r="L4" s="51">
        <v>1</v>
      </c>
      <c r="M4" s="53">
        <f>HistoricalFS!$C$3</f>
        <v>41729</v>
      </c>
      <c r="N4" s="10">
        <f t="array" ref="N4:N13">TRANSPOSE(HistoricalFS!C38:L38)</f>
        <v>2.6538039502560324</v>
      </c>
    </row>
    <row r="5" spans="1:15">
      <c r="B5" s="51">
        <f>B4+1</f>
        <v>2</v>
      </c>
      <c r="C5" s="53">
        <f>C4+365</f>
        <v>42094</v>
      </c>
      <c r="D5" s="10">
        <v>6439.43</v>
      </c>
      <c r="E5" s="52">
        <f>D5/D4-1</f>
        <v>0.37404405865382984</v>
      </c>
      <c r="G5" s="51">
        <f>G4+1</f>
        <v>2</v>
      </c>
      <c r="H5" s="53">
        <f>H4+365</f>
        <v>42094</v>
      </c>
      <c r="I5" s="10">
        <v>456.25999999999914</v>
      </c>
      <c r="J5" s="52">
        <f>I5/I4-1</f>
        <v>0.33690811064228599</v>
      </c>
      <c r="L5" s="51">
        <f>L4+1</f>
        <v>2</v>
      </c>
      <c r="M5" s="53">
        <f>M4+365</f>
        <v>42094</v>
      </c>
      <c r="N5" s="10">
        <v>3.4094390026713999</v>
      </c>
      <c r="O5" s="52">
        <f>N5/N4-1</f>
        <v>0.28473657684565046</v>
      </c>
    </row>
    <row r="6" spans="1:15">
      <c r="B6" s="51">
        <f>B5+1</f>
        <v>3</v>
      </c>
      <c r="C6" s="53">
        <f t="shared" ref="C6:C18" si="0">C5+365</f>
        <v>42459</v>
      </c>
      <c r="D6" s="10">
        <v>8583.76</v>
      </c>
      <c r="E6" s="52">
        <f t="shared" ref="E6:E18" si="1">D6/D5-1</f>
        <v>0.33299997049428276</v>
      </c>
      <c r="G6" s="51">
        <f>G5+1</f>
        <v>3</v>
      </c>
      <c r="H6" s="53">
        <f t="shared" ref="H6:H18" si="2">H5+365</f>
        <v>42459</v>
      </c>
      <c r="I6" s="10">
        <v>664.46000000000083</v>
      </c>
      <c r="J6" s="52">
        <f t="shared" ref="J6:J18" si="3">I6/I5-1</f>
        <v>0.45631876561610074</v>
      </c>
      <c r="L6" s="51">
        <f>L5+1</f>
        <v>3</v>
      </c>
      <c r="M6" s="53">
        <f t="shared" ref="M6:M18" si="4">M5+365</f>
        <v>42459</v>
      </c>
      <c r="N6" s="10">
        <v>5.4001780943900419</v>
      </c>
      <c r="O6" s="52">
        <f t="shared" ref="O6:O18" si="5">N6/N5-1</f>
        <v>0.58389051399917613</v>
      </c>
    </row>
    <row r="7" spans="1:15">
      <c r="B7" s="51">
        <f>B6+1</f>
        <v>4</v>
      </c>
      <c r="C7" s="53">
        <f t="shared" si="0"/>
        <v>42824</v>
      </c>
      <c r="D7" s="10">
        <v>11897.7</v>
      </c>
      <c r="E7" s="52">
        <f t="shared" si="1"/>
        <v>0.38607090598991589</v>
      </c>
      <c r="G7" s="51">
        <f>G6+1</f>
        <v>4</v>
      </c>
      <c r="H7" s="53">
        <f t="shared" si="2"/>
        <v>42824</v>
      </c>
      <c r="I7" s="10">
        <v>969.18000000000052</v>
      </c>
      <c r="J7" s="52">
        <f t="shared" si="3"/>
        <v>0.45859795924510016</v>
      </c>
      <c r="L7" s="51">
        <f>L6+1</f>
        <v>4</v>
      </c>
      <c r="M7" s="53">
        <f t="shared" si="4"/>
        <v>42824</v>
      </c>
      <c r="N7" s="10">
        <v>7.2280083319980868</v>
      </c>
      <c r="O7" s="52">
        <f t="shared" si="5"/>
        <v>0.33847591795294307</v>
      </c>
    </row>
    <row r="8" spans="1:15">
      <c r="B8" s="51">
        <f t="shared" ref="B8:B18" si="6">B7+1</f>
        <v>5</v>
      </c>
      <c r="C8" s="53">
        <f t="shared" si="0"/>
        <v>43189</v>
      </c>
      <c r="D8" s="10">
        <v>15033.2</v>
      </c>
      <c r="E8" s="52">
        <f t="shared" si="1"/>
        <v>0.26353833093791246</v>
      </c>
      <c r="G8" s="51">
        <f t="shared" ref="G8:G18" si="7">G7+1</f>
        <v>5</v>
      </c>
      <c r="H8" s="53">
        <f t="shared" si="2"/>
        <v>43189</v>
      </c>
      <c r="I8" s="10">
        <v>1352.8600000000006</v>
      </c>
      <c r="J8" s="52">
        <f t="shared" si="3"/>
        <v>0.39588105408695995</v>
      </c>
      <c r="L8" s="51">
        <f t="shared" ref="L8:L18" si="8">L7+1</f>
        <v>5</v>
      </c>
      <c r="M8" s="53">
        <f t="shared" si="4"/>
        <v>43189</v>
      </c>
      <c r="N8" s="10">
        <v>11.513058804678748</v>
      </c>
      <c r="O8" s="52">
        <f t="shared" si="5"/>
        <v>0.5928397251163815</v>
      </c>
    </row>
    <row r="9" spans="1:15">
      <c r="B9" s="51">
        <f t="shared" si="6"/>
        <v>6</v>
      </c>
      <c r="C9" s="53">
        <f t="shared" si="0"/>
        <v>43554</v>
      </c>
      <c r="D9" s="10">
        <v>20004.52</v>
      </c>
      <c r="E9" s="52">
        <f t="shared" si="1"/>
        <v>0.33068940744485542</v>
      </c>
      <c r="G9" s="51">
        <f t="shared" si="7"/>
        <v>6</v>
      </c>
      <c r="H9" s="53">
        <f t="shared" si="2"/>
        <v>43554</v>
      </c>
      <c r="I9" s="10">
        <v>1633.3100000000015</v>
      </c>
      <c r="J9" s="52">
        <f t="shared" si="3"/>
        <v>0.20730156852889503</v>
      </c>
      <c r="L9" s="51">
        <f t="shared" si="8"/>
        <v>6</v>
      </c>
      <c r="M9" s="53">
        <f t="shared" si="4"/>
        <v>43554</v>
      </c>
      <c r="N9" s="10">
        <v>13.685787534049055</v>
      </c>
      <c r="O9" s="52">
        <f t="shared" si="5"/>
        <v>0.18871863387750087</v>
      </c>
    </row>
    <row r="10" spans="1:15">
      <c r="B10" s="51">
        <f t="shared" si="6"/>
        <v>7</v>
      </c>
      <c r="C10" s="53">
        <f t="shared" si="0"/>
        <v>43919</v>
      </c>
      <c r="D10" s="10">
        <v>24870.2</v>
      </c>
      <c r="E10" s="52">
        <f t="shared" si="1"/>
        <v>0.24322903023916598</v>
      </c>
      <c r="G10" s="51">
        <f t="shared" si="7"/>
        <v>7</v>
      </c>
      <c r="H10" s="53">
        <f t="shared" si="2"/>
        <v>43919</v>
      </c>
      <c r="I10" s="10">
        <v>2128.3100000000004</v>
      </c>
      <c r="J10" s="52">
        <f t="shared" si="3"/>
        <v>0.30306555399770918</v>
      </c>
      <c r="L10" s="51">
        <f t="shared" si="8"/>
        <v>7</v>
      </c>
      <c r="M10" s="53">
        <f t="shared" si="4"/>
        <v>43919</v>
      </c>
      <c r="N10" s="10">
        <v>19.156992899042923</v>
      </c>
      <c r="O10" s="52">
        <f t="shared" si="5"/>
        <v>0.39977278263176164</v>
      </c>
    </row>
    <row r="11" spans="1:15">
      <c r="B11" s="51">
        <f t="shared" si="6"/>
        <v>8</v>
      </c>
      <c r="C11" s="53">
        <f t="shared" si="0"/>
        <v>44284</v>
      </c>
      <c r="D11" s="10">
        <v>24143.06</v>
      </c>
      <c r="E11" s="52">
        <f t="shared" si="1"/>
        <v>-2.9237400583831175E-2</v>
      </c>
      <c r="G11" s="51">
        <f t="shared" si="7"/>
        <v>8</v>
      </c>
      <c r="H11" s="53">
        <f t="shared" si="2"/>
        <v>44284</v>
      </c>
      <c r="I11" s="10">
        <v>1744.8299999999983</v>
      </c>
      <c r="J11" s="52">
        <f t="shared" si="3"/>
        <v>-0.18018051881539909</v>
      </c>
      <c r="L11" s="51">
        <f t="shared" si="8"/>
        <v>8</v>
      </c>
      <c r="M11" s="53">
        <f t="shared" si="4"/>
        <v>44284</v>
      </c>
      <c r="N11" s="10">
        <v>13.970361222599543</v>
      </c>
      <c r="O11" s="52">
        <f t="shared" si="5"/>
        <v>-0.27074351928702245</v>
      </c>
    </row>
    <row r="12" spans="1:15">
      <c r="B12" s="51">
        <f t="shared" si="6"/>
        <v>9</v>
      </c>
      <c r="C12" s="53">
        <f t="shared" si="0"/>
        <v>44649</v>
      </c>
      <c r="D12" s="10">
        <v>30976.27</v>
      </c>
      <c r="E12" s="52">
        <f t="shared" si="1"/>
        <v>0.28302998874210639</v>
      </c>
      <c r="G12" s="51">
        <f t="shared" si="7"/>
        <v>9</v>
      </c>
      <c r="H12" s="53">
        <f t="shared" si="2"/>
        <v>44649</v>
      </c>
      <c r="I12" s="10">
        <v>2502.3500000000013</v>
      </c>
      <c r="J12" s="52">
        <f t="shared" si="3"/>
        <v>0.43415117805173198</v>
      </c>
      <c r="L12" s="51">
        <f t="shared" si="8"/>
        <v>9</v>
      </c>
      <c r="M12" s="53">
        <f t="shared" si="4"/>
        <v>44649</v>
      </c>
      <c r="N12" s="10">
        <v>21.283729546156241</v>
      </c>
      <c r="O12" s="52">
        <f t="shared" si="5"/>
        <v>0.52349171270718653</v>
      </c>
    </row>
    <row r="13" spans="1:15">
      <c r="B13" s="51">
        <f t="shared" si="6"/>
        <v>10</v>
      </c>
      <c r="C13" s="53">
        <f t="shared" si="0"/>
        <v>45014</v>
      </c>
      <c r="D13" s="10">
        <v>42839.56</v>
      </c>
      <c r="E13" s="52">
        <f t="shared" si="1"/>
        <v>0.38297993915987938</v>
      </c>
      <c r="G13" s="51">
        <f t="shared" si="7"/>
        <v>10</v>
      </c>
      <c r="H13" s="53">
        <f t="shared" si="2"/>
        <v>45014</v>
      </c>
      <c r="I13" s="10">
        <v>3638.7699999999968</v>
      </c>
      <c r="J13" s="52">
        <f t="shared" si="3"/>
        <v>0.45414110735908042</v>
      </c>
      <c r="L13" s="51">
        <f t="shared" si="8"/>
        <v>10</v>
      </c>
      <c r="M13" s="53">
        <f t="shared" si="4"/>
        <v>45014</v>
      </c>
      <c r="N13" s="10">
        <v>34.717569026685133</v>
      </c>
      <c r="O13" s="52">
        <f t="shared" si="5"/>
        <v>0.63117882847534079</v>
      </c>
    </row>
    <row r="14" spans="1:15">
      <c r="B14" s="54">
        <f t="shared" si="6"/>
        <v>11</v>
      </c>
      <c r="C14" s="55">
        <f t="shared" si="0"/>
        <v>45379</v>
      </c>
      <c r="D14" s="227">
        <f>FORECAST(B14,$D$4:$D$13,$B$4:$B$13)</f>
        <v>40174.781999999992</v>
      </c>
      <c r="E14" s="56">
        <f t="shared" si="1"/>
        <v>-6.2203673427084771E-2</v>
      </c>
      <c r="G14" s="54">
        <f t="shared" si="7"/>
        <v>11</v>
      </c>
      <c r="H14" s="55">
        <f t="shared" si="2"/>
        <v>45379</v>
      </c>
      <c r="I14" s="227">
        <f>FORECAST(G14,$I$4:$I$13,$G$4:$G$13)</f>
        <v>3315.1519999999996</v>
      </c>
      <c r="J14" s="56">
        <f t="shared" si="3"/>
        <v>-8.8936096538115184E-2</v>
      </c>
      <c r="L14" s="54">
        <f t="shared" si="8"/>
        <v>11</v>
      </c>
      <c r="M14" s="55">
        <f t="shared" si="4"/>
        <v>45379</v>
      </c>
      <c r="N14" s="227">
        <f>FORECAST(L14,$N$4:$N$13,$L$4:$L$13)</f>
        <v>29.785376760046322</v>
      </c>
      <c r="O14" s="56">
        <f t="shared" si="5"/>
        <v>-0.1420661758560271</v>
      </c>
    </row>
    <row r="15" spans="1:15">
      <c r="B15" s="54">
        <f t="shared" si="6"/>
        <v>12</v>
      </c>
      <c r="C15" s="55">
        <f t="shared" si="0"/>
        <v>45744</v>
      </c>
      <c r="D15" s="227">
        <f t="shared" ref="D15:D18" si="9">FORECAST(B15,$D$4:$D$13,$B$4:$B$13)</f>
        <v>44034.302727272719</v>
      </c>
      <c r="E15" s="56">
        <f t="shared" si="1"/>
        <v>9.6068243189788349E-2</v>
      </c>
      <c r="G15" s="54">
        <f t="shared" si="7"/>
        <v>12</v>
      </c>
      <c r="H15" s="55">
        <f t="shared" si="2"/>
        <v>45744</v>
      </c>
      <c r="I15" s="227">
        <f t="shared" ref="I15:I18" si="10">FORECAST(G15,$I$4:$I$13,$G$4:$G$13)</f>
        <v>3637.3321818181812</v>
      </c>
      <c r="J15" s="56">
        <f t="shared" si="3"/>
        <v>9.7184135695190355E-2</v>
      </c>
      <c r="L15" s="54">
        <f t="shared" si="8"/>
        <v>12</v>
      </c>
      <c r="M15" s="55">
        <f t="shared" si="4"/>
        <v>45744</v>
      </c>
      <c r="N15" s="227">
        <f t="shared" ref="N15:N18" si="11">FORECAST(L15,$N$4:$N$13,$L$4:$L$13)</f>
        <v>32.782373836190615</v>
      </c>
      <c r="O15" s="56">
        <f t="shared" si="5"/>
        <v>0.10061974707549859</v>
      </c>
    </row>
    <row r="16" spans="1:15">
      <c r="B16" s="54">
        <f t="shared" si="6"/>
        <v>13</v>
      </c>
      <c r="C16" s="55">
        <f t="shared" si="0"/>
        <v>46109</v>
      </c>
      <c r="D16" s="227">
        <f t="shared" si="9"/>
        <v>47893.823454545447</v>
      </c>
      <c r="E16" s="56">
        <f t="shared" si="1"/>
        <v>8.7648049094287694E-2</v>
      </c>
      <c r="G16" s="54">
        <f t="shared" si="7"/>
        <v>13</v>
      </c>
      <c r="H16" s="55">
        <f t="shared" si="2"/>
        <v>46109</v>
      </c>
      <c r="I16" s="227">
        <f t="shared" si="10"/>
        <v>3959.5123636363628</v>
      </c>
      <c r="J16" s="56">
        <f t="shared" si="3"/>
        <v>8.857595779364158E-2</v>
      </c>
      <c r="L16" s="54">
        <f t="shared" si="8"/>
        <v>13</v>
      </c>
      <c r="M16" s="55">
        <f t="shared" si="4"/>
        <v>46109</v>
      </c>
      <c r="N16" s="227">
        <f t="shared" si="11"/>
        <v>35.779370912334912</v>
      </c>
      <c r="O16" s="56">
        <f t="shared" si="5"/>
        <v>9.1420990167457417E-2</v>
      </c>
    </row>
    <row r="17" spans="2:15">
      <c r="B17" s="54">
        <f t="shared" si="6"/>
        <v>14</v>
      </c>
      <c r="C17" s="55">
        <f t="shared" si="0"/>
        <v>46474</v>
      </c>
      <c r="D17" s="227">
        <f t="shared" si="9"/>
        <v>51753.344181818175</v>
      </c>
      <c r="E17" s="56">
        <f t="shared" si="1"/>
        <v>8.0584936613709246E-2</v>
      </c>
      <c r="G17" s="54">
        <f t="shared" si="7"/>
        <v>14</v>
      </c>
      <c r="H17" s="55">
        <f t="shared" si="2"/>
        <v>46474</v>
      </c>
      <c r="I17" s="227">
        <f t="shared" si="10"/>
        <v>4281.6925454545453</v>
      </c>
      <c r="J17" s="56">
        <f t="shared" si="3"/>
        <v>8.1368651548368032E-2</v>
      </c>
      <c r="L17" s="54">
        <f t="shared" si="8"/>
        <v>14</v>
      </c>
      <c r="M17" s="55">
        <f t="shared" si="4"/>
        <v>46474</v>
      </c>
      <c r="N17" s="227">
        <f t="shared" si="11"/>
        <v>38.776367988479194</v>
      </c>
      <c r="O17" s="56">
        <f t="shared" si="5"/>
        <v>8.3763269161087228E-2</v>
      </c>
    </row>
    <row r="18" spans="2:15">
      <c r="B18" s="54">
        <f t="shared" si="6"/>
        <v>15</v>
      </c>
      <c r="C18" s="55">
        <f t="shared" si="0"/>
        <v>46839</v>
      </c>
      <c r="D18" s="227">
        <f t="shared" si="9"/>
        <v>55612.864909090902</v>
      </c>
      <c r="E18" s="56">
        <f t="shared" si="1"/>
        <v>7.4575291477079864E-2</v>
      </c>
      <c r="G18" s="54">
        <f t="shared" si="7"/>
        <v>15</v>
      </c>
      <c r="H18" s="55">
        <f t="shared" si="2"/>
        <v>46839</v>
      </c>
      <c r="I18" s="227">
        <f t="shared" si="10"/>
        <v>4603.8727272727265</v>
      </c>
      <c r="J18" s="56">
        <f t="shared" si="3"/>
        <v>7.5245987047857676E-2</v>
      </c>
      <c r="L18" s="54">
        <f t="shared" si="8"/>
        <v>15</v>
      </c>
      <c r="M18" s="55">
        <f t="shared" si="4"/>
        <v>46839</v>
      </c>
      <c r="N18" s="227">
        <f t="shared" si="11"/>
        <v>41.773365064623491</v>
      </c>
      <c r="O18" s="56">
        <f t="shared" si="5"/>
        <v>7.7289267448532817E-2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F12" sqref="F1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8"/>
  <sheetViews>
    <sheetView showGridLines="0" workbookViewId="0">
      <selection activeCell="D9" sqref="D9"/>
    </sheetView>
  </sheetViews>
  <sheetFormatPr defaultRowHeight="15" outlineLevelRow="1"/>
  <cols>
    <col min="1" max="1" width="1.85546875" customWidth="1"/>
    <col min="2" max="2" width="27.7109375" customWidth="1"/>
    <col min="4" max="4" width="12.140625" bestFit="1" customWidth="1"/>
    <col min="6" max="10" width="9.5703125" bestFit="1" customWidth="1"/>
  </cols>
  <sheetData>
    <row r="5" spans="2:11">
      <c r="B5" s="145" t="s">
        <v>314</v>
      </c>
      <c r="C5" s="175"/>
      <c r="D5" s="175"/>
      <c r="E5" s="176">
        <f>'Data Sheet'!K16</f>
        <v>45016</v>
      </c>
      <c r="F5" s="177">
        <f>E5+365</f>
        <v>45381</v>
      </c>
      <c r="G5" s="177">
        <f t="shared" ref="G5:J5" si="0">F5+365</f>
        <v>45746</v>
      </c>
      <c r="H5" s="177">
        <f t="shared" si="0"/>
        <v>46111</v>
      </c>
      <c r="I5" s="177">
        <f t="shared" si="0"/>
        <v>46476</v>
      </c>
      <c r="J5" s="177">
        <f t="shared" si="0"/>
        <v>46841</v>
      </c>
    </row>
    <row r="7" spans="2:11">
      <c r="B7" s="149" t="s">
        <v>295</v>
      </c>
      <c r="C7" s="149"/>
      <c r="D7" s="149"/>
      <c r="E7" s="228">
        <f>IFERROR('Data Sheet'!K33-'Data Sheet'!K26,0)</f>
        <v>3127.67</v>
      </c>
      <c r="F7" s="229">
        <f>E7*($D$17+1)</f>
        <v>3821.4910698336262</v>
      </c>
      <c r="G7" s="229">
        <f>F7*($D$17+1)</f>
        <v>4669.2246934037648</v>
      </c>
      <c r="H7" s="229">
        <f>G7*($D$17+1)</f>
        <v>5705.0137862655392</v>
      </c>
      <c r="I7" s="229">
        <f>H7*($D$17+1)</f>
        <v>6970.575296463976</v>
      </c>
      <c r="J7" s="229">
        <f>I7*($D$17+1)</f>
        <v>8516.880376459143</v>
      </c>
    </row>
    <row r="8" spans="2:11">
      <c r="B8" s="149" t="s">
        <v>241</v>
      </c>
      <c r="C8" s="149"/>
      <c r="D8" s="149"/>
      <c r="E8" s="217">
        <v>0.25</v>
      </c>
      <c r="F8" s="214">
        <f>E8</f>
        <v>0.25</v>
      </c>
      <c r="G8" s="214">
        <f t="shared" ref="G8:J8" si="1">F8</f>
        <v>0.25</v>
      </c>
      <c r="H8" s="214">
        <f t="shared" si="1"/>
        <v>0.25</v>
      </c>
      <c r="I8" s="214">
        <f t="shared" si="1"/>
        <v>0.25</v>
      </c>
      <c r="J8" s="214">
        <f t="shared" si="1"/>
        <v>0.25</v>
      </c>
    </row>
    <row r="9" spans="2:11">
      <c r="B9" s="149" t="s">
        <v>315</v>
      </c>
      <c r="C9" s="149"/>
      <c r="D9" s="149"/>
      <c r="E9" s="228">
        <f t="shared" ref="E9:K9" si="2">IFERROR(E7*(1-E8),0)</f>
        <v>2345.7525000000001</v>
      </c>
      <c r="F9" s="229">
        <f t="shared" si="2"/>
        <v>2866.1183023752196</v>
      </c>
      <c r="G9" s="229">
        <f t="shared" si="2"/>
        <v>3501.9185200528236</v>
      </c>
      <c r="H9" s="229">
        <f t="shared" si="2"/>
        <v>4278.7603396991544</v>
      </c>
      <c r="I9" s="229">
        <f t="shared" si="2"/>
        <v>5227.931472347982</v>
      </c>
      <c r="J9" s="229">
        <f t="shared" si="2"/>
        <v>6387.6602823443573</v>
      </c>
      <c r="K9">
        <f t="shared" si="2"/>
        <v>0</v>
      </c>
    </row>
    <row r="10" spans="2:11">
      <c r="B10" s="149" t="s">
        <v>317</v>
      </c>
      <c r="C10" s="149"/>
      <c r="D10" s="149"/>
      <c r="E10" s="218">
        <f>IFERROR('Intrinsic Growth'!K52,0)</f>
        <v>0.67424469704545786</v>
      </c>
      <c r="F10" s="214">
        <f>IFERROR('Intrinsic Growth'!L52,0)</f>
        <v>0</v>
      </c>
      <c r="G10" s="214">
        <f>IFERROR('Intrinsic Growth'!M52,0)</f>
        <v>0</v>
      </c>
      <c r="H10" s="214">
        <f>IFERROR('Intrinsic Growth'!N52,0)</f>
        <v>0</v>
      </c>
      <c r="I10" s="214">
        <f>IFERROR('Intrinsic Growth'!O52,0)</f>
        <v>0</v>
      </c>
      <c r="J10" s="214">
        <f>IFERROR('Intrinsic Growth'!P52,0)</f>
        <v>0</v>
      </c>
    </row>
    <row r="11" spans="2:11">
      <c r="B11" s="149" t="s">
        <v>316</v>
      </c>
      <c r="C11" s="149"/>
      <c r="D11" s="149"/>
      <c r="E11" s="228">
        <f t="shared" ref="E11:J11" si="3">E9*(1-E10)</f>
        <v>764.14131629387464</v>
      </c>
      <c r="F11" s="229">
        <f t="shared" si="3"/>
        <v>2866.1183023752196</v>
      </c>
      <c r="G11" s="229">
        <f t="shared" si="3"/>
        <v>3501.9185200528236</v>
      </c>
      <c r="H11" s="229">
        <f t="shared" si="3"/>
        <v>4278.7603396991544</v>
      </c>
      <c r="I11" s="229">
        <f t="shared" si="3"/>
        <v>5227.931472347982</v>
      </c>
      <c r="J11" s="229">
        <f t="shared" si="3"/>
        <v>6387.6602823443573</v>
      </c>
    </row>
    <row r="12" spans="2:11">
      <c r="B12" s="149" t="s">
        <v>428</v>
      </c>
      <c r="C12" s="149"/>
      <c r="D12" s="149"/>
      <c r="E12" s="216"/>
      <c r="F12" s="215">
        <v>0.5</v>
      </c>
      <c r="G12" s="149">
        <f>F12+1</f>
        <v>1.5</v>
      </c>
      <c r="H12" s="149">
        <f t="shared" ref="H12:J12" si="4">G12+1</f>
        <v>2.5</v>
      </c>
      <c r="I12" s="149">
        <f t="shared" si="4"/>
        <v>3.5</v>
      </c>
      <c r="J12" s="149">
        <f t="shared" si="4"/>
        <v>4.5</v>
      </c>
    </row>
    <row r="13" spans="2:11">
      <c r="B13" s="149" t="s">
        <v>429</v>
      </c>
      <c r="C13" s="149"/>
      <c r="D13" s="149"/>
      <c r="E13" s="216"/>
      <c r="F13" s="220">
        <f>1/(1+$D$19)^F12</f>
        <v>0.9133577664274386</v>
      </c>
      <c r="G13" s="220">
        <f t="shared" ref="G13:J13" si="5">1/(1+$D$19)^G12</f>
        <v>0.76194351663853388</v>
      </c>
      <c r="H13" s="220">
        <f t="shared" si="5"/>
        <v>0.63563035634801079</v>
      </c>
      <c r="I13" s="220">
        <f t="shared" si="5"/>
        <v>0.53025708741973465</v>
      </c>
      <c r="J13" s="220">
        <f t="shared" si="5"/>
        <v>0.44235234511820071</v>
      </c>
    </row>
    <row r="14" spans="2:11" ht="4.5" customHeight="1">
      <c r="E14" s="209"/>
    </row>
    <row r="15" spans="2:11" ht="15.75" thickBot="1">
      <c r="B15" s="157" t="s">
        <v>430</v>
      </c>
      <c r="C15" s="157"/>
      <c r="D15" s="157"/>
      <c r="E15" s="219"/>
      <c r="F15" s="230">
        <f>F11*F13</f>
        <v>2617.7914109742328</v>
      </c>
      <c r="G15" s="230">
        <f t="shared" ref="G15:J15" si="6">G11*G13</f>
        <v>2668.2641121506585</v>
      </c>
      <c r="H15" s="230">
        <f t="shared" si="6"/>
        <v>2719.7099594507094</v>
      </c>
      <c r="I15" s="230">
        <f t="shared" si="6"/>
        <v>2772.1477157572058</v>
      </c>
      <c r="J15" s="230">
        <f t="shared" si="6"/>
        <v>2825.5965057134144</v>
      </c>
    </row>
    <row r="17" spans="2:5" outlineLevel="1">
      <c r="B17" s="210" t="s">
        <v>431</v>
      </c>
      <c r="C17" s="210"/>
      <c r="D17" s="211">
        <f>'Intrinsic Growth'!K65</f>
        <v>0.22183320805379919</v>
      </c>
    </row>
    <row r="18" spans="2:5" ht="17.25" outlineLevel="1">
      <c r="B18" s="210" t="s">
        <v>432</v>
      </c>
      <c r="C18" s="210"/>
      <c r="D18" s="212">
        <v>8.4000000000000005E-2</v>
      </c>
      <c r="E18" s="221">
        <v>1</v>
      </c>
    </row>
    <row r="19" spans="2:5" outlineLevel="1">
      <c r="B19" s="210" t="s">
        <v>260</v>
      </c>
      <c r="C19" s="210"/>
      <c r="D19" s="211">
        <f>WACC!J44</f>
        <v>0.19872109478258784</v>
      </c>
    </row>
    <row r="21" spans="2:5">
      <c r="B21" s="145" t="s">
        <v>434</v>
      </c>
      <c r="C21" s="174"/>
      <c r="D21" s="174"/>
      <c r="E21" s="78"/>
    </row>
    <row r="23" spans="2:5">
      <c r="B23" t="s">
        <v>435</v>
      </c>
      <c r="D23" s="231">
        <f>J11*(1+D17)</f>
        <v>7804.6554547346432</v>
      </c>
    </row>
    <row r="24" spans="2:5">
      <c r="B24" t="s">
        <v>260</v>
      </c>
      <c r="D24" s="118">
        <f>D19</f>
        <v>0.19872109478258784</v>
      </c>
    </row>
    <row r="25" spans="2:5">
      <c r="B25" s="213" t="s">
        <v>436</v>
      </c>
      <c r="C25" s="213"/>
      <c r="D25" s="222">
        <f>D18</f>
        <v>8.4000000000000005E-2</v>
      </c>
    </row>
    <row r="26" spans="2:5" ht="4.5" customHeight="1"/>
    <row r="27" spans="2:5" ht="15.75" thickBot="1">
      <c r="B27" s="153" t="s">
        <v>437</v>
      </c>
      <c r="C27" s="153"/>
      <c r="D27" s="232">
        <f>D23/(D24-D25)</f>
        <v>68031.563589290468</v>
      </c>
    </row>
    <row r="29" spans="2:5">
      <c r="B29" s="145" t="s">
        <v>442</v>
      </c>
      <c r="C29" s="174"/>
      <c r="D29" s="174"/>
    </row>
    <row r="31" spans="2:5">
      <c r="B31" t="s">
        <v>430</v>
      </c>
      <c r="D31" s="231">
        <f>SUM(F15:J15)</f>
        <v>13603.509704046221</v>
      </c>
    </row>
    <row r="32" spans="2:5">
      <c r="B32" t="s">
        <v>438</v>
      </c>
      <c r="D32" s="231">
        <f>D27*J13</f>
        <v>30093.921695780635</v>
      </c>
    </row>
    <row r="33" spans="2:4">
      <c r="B33" s="4" t="s">
        <v>439</v>
      </c>
      <c r="C33" s="4"/>
      <c r="D33" s="231">
        <f>SUM(D32)</f>
        <v>30093.921695780635</v>
      </c>
    </row>
    <row r="34" spans="2:4">
      <c r="B34" s="4"/>
      <c r="C34" s="4"/>
      <c r="D34" s="223"/>
    </row>
    <row r="35" spans="2:4">
      <c r="B35" s="122" t="s">
        <v>440</v>
      </c>
      <c r="C35" s="4"/>
      <c r="D35" s="231">
        <f>'Data Sheet'!K69</f>
        <v>1408.33</v>
      </c>
    </row>
    <row r="36" spans="2:4">
      <c r="B36" s="122" t="s">
        <v>441</v>
      </c>
      <c r="C36" s="4"/>
      <c r="D36" s="231">
        <f>SUM('Raw FS'!N7:N8)</f>
        <v>0</v>
      </c>
    </row>
    <row r="37" spans="2:4">
      <c r="B37" s="224" t="s">
        <v>443</v>
      </c>
      <c r="C37" s="4"/>
      <c r="D37" s="233">
        <f>D33+D35-D36</f>
        <v>31502.251695780637</v>
      </c>
    </row>
    <row r="38" spans="2:4">
      <c r="B38" s="122" t="s">
        <v>444</v>
      </c>
      <c r="D38" s="85">
        <f>'Data Sheet'!B6</f>
        <v>65.073307626392449</v>
      </c>
    </row>
    <row r="39" spans="2:4">
      <c r="B39" s="213"/>
      <c r="C39" s="213"/>
      <c r="D39" s="213"/>
    </row>
    <row r="40" spans="2:4" ht="15.75" thickBot="1">
      <c r="B40" s="153" t="s">
        <v>437</v>
      </c>
      <c r="C40" s="153"/>
      <c r="D40" s="225">
        <f>D37/D38</f>
        <v>484.10404887739173</v>
      </c>
    </row>
    <row r="42" spans="2:4" ht="17.25">
      <c r="B42" t="s">
        <v>445</v>
      </c>
      <c r="D42" s="231">
        <v>4297.6000000000004</v>
      </c>
    </row>
    <row r="43" spans="2:4">
      <c r="B43" t="s">
        <v>447</v>
      </c>
      <c r="D43" s="226">
        <f>D42/D40</f>
        <v>8.8774303994479631</v>
      </c>
    </row>
    <row r="46" spans="2:4">
      <c r="B46" s="121" t="s">
        <v>253</v>
      </c>
    </row>
    <row r="47" spans="2:4">
      <c r="B47" s="124" t="s">
        <v>433</v>
      </c>
    </row>
    <row r="48" spans="2:4">
      <c r="B48" s="124" t="s">
        <v>446</v>
      </c>
    </row>
  </sheetData>
  <pageMargins left="0.7" right="0.7" top="0.75" bottom="0.75" header="0.3" footer="0.3"/>
  <ignoredErrors>
    <ignoredError sqref="D3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4"/>
  <sheetViews>
    <sheetView showGridLines="0" workbookViewId="0">
      <selection activeCell="D11" sqref="D11:E15"/>
    </sheetView>
  </sheetViews>
  <sheetFormatPr defaultRowHeight="15"/>
  <cols>
    <col min="1" max="1" width="1.85546875" customWidth="1"/>
    <col min="2" max="2" width="48.7109375" bestFit="1" customWidth="1"/>
    <col min="3" max="3" width="11.7109375" bestFit="1" customWidth="1"/>
    <col min="4" max="4" width="9.7109375" bestFit="1" customWidth="1"/>
    <col min="5" max="5" width="10.7109375" bestFit="1" customWidth="1"/>
  </cols>
  <sheetData>
    <row r="3" spans="2:10" ht="18.75">
      <c r="B3" s="167" t="s">
        <v>220</v>
      </c>
      <c r="C3" s="168"/>
      <c r="D3" s="168"/>
      <c r="E3" s="168"/>
      <c r="F3" s="168"/>
      <c r="G3" s="168"/>
      <c r="H3" s="168"/>
      <c r="I3" s="168"/>
      <c r="J3" s="168"/>
    </row>
    <row r="5" spans="2:10">
      <c r="B5" s="97" t="s">
        <v>221</v>
      </c>
    </row>
    <row r="7" spans="2:10">
      <c r="B7" s="79" t="s">
        <v>222</v>
      </c>
    </row>
    <row r="8" spans="2:10">
      <c r="B8" s="98"/>
      <c r="C8" s="98"/>
      <c r="D8" s="98"/>
      <c r="E8" s="98"/>
      <c r="F8" s="98"/>
      <c r="G8" s="99" t="s">
        <v>223</v>
      </c>
      <c r="H8" s="99" t="s">
        <v>223</v>
      </c>
      <c r="I8" s="99" t="s">
        <v>224</v>
      </c>
      <c r="J8" s="99" t="s">
        <v>225</v>
      </c>
    </row>
    <row r="9" spans="2:10" ht="17.25">
      <c r="B9" s="100" t="s">
        <v>226</v>
      </c>
      <c r="C9" s="100" t="s">
        <v>227</v>
      </c>
      <c r="D9" s="100" t="s">
        <v>228</v>
      </c>
      <c r="E9" s="100" t="s">
        <v>229</v>
      </c>
      <c r="F9" s="100" t="s">
        <v>230</v>
      </c>
      <c r="G9" s="101" t="s">
        <v>231</v>
      </c>
      <c r="H9" s="101" t="s">
        <v>232</v>
      </c>
      <c r="I9" s="101" t="s">
        <v>233</v>
      </c>
      <c r="J9" s="101" t="s">
        <v>234</v>
      </c>
    </row>
    <row r="11" spans="2:10">
      <c r="B11" s="102" t="s">
        <v>164</v>
      </c>
      <c r="C11" s="102" t="s">
        <v>235</v>
      </c>
      <c r="D11" s="234">
        <v>630.38</v>
      </c>
      <c r="E11" s="234">
        <v>249523.59</v>
      </c>
      <c r="F11" s="103">
        <v>0.3</v>
      </c>
      <c r="G11" s="104">
        <f>D11/E11</f>
        <v>2.5263342836643219E-3</v>
      </c>
      <c r="H11" s="104">
        <f>D11/(D11+E11)</f>
        <v>2.5199680021068625E-3</v>
      </c>
      <c r="I11" s="129">
        <f>'Beta Regression'!J15</f>
        <v>1.1826333875795472</v>
      </c>
      <c r="J11" s="105">
        <f>I11/(1+(1-F11)*G11)</f>
        <v>1.1805456704790134</v>
      </c>
    </row>
    <row r="12" spans="2:10">
      <c r="B12" s="102" t="s">
        <v>165</v>
      </c>
      <c r="C12" s="102" t="s">
        <v>235</v>
      </c>
      <c r="D12" s="234">
        <v>4839.33</v>
      </c>
      <c r="E12" s="234">
        <v>136944.43</v>
      </c>
      <c r="F12" s="103">
        <v>0.3</v>
      </c>
      <c r="G12" s="104">
        <f>D12/E12</f>
        <v>3.5337910421037205E-2</v>
      </c>
      <c r="H12" s="104">
        <f>D12/(D12+E12)</f>
        <v>3.4131765161256836E-2</v>
      </c>
      <c r="I12" s="129">
        <f>'Beta of Comparables'!J357</f>
        <v>0.84173439487320711</v>
      </c>
      <c r="J12" s="105">
        <f>I12/(1+(1-F12)*G12)</f>
        <v>0.82141542166083081</v>
      </c>
    </row>
    <row r="13" spans="2:10">
      <c r="B13" s="102" t="s">
        <v>166</v>
      </c>
      <c r="C13" s="102" t="s">
        <v>235</v>
      </c>
      <c r="D13" s="234">
        <v>365.02</v>
      </c>
      <c r="E13" s="234">
        <v>24281.89</v>
      </c>
      <c r="F13" s="103">
        <v>0.3</v>
      </c>
      <c r="G13" s="104">
        <f>D13/E13</f>
        <v>1.5032602486873962E-2</v>
      </c>
      <c r="H13" s="104">
        <f>D13/(D13+E13)</f>
        <v>1.4809970093614169E-2</v>
      </c>
      <c r="I13" s="129">
        <f>'Beta of Comparables'!J246</f>
        <v>0.85984303085531599</v>
      </c>
      <c r="J13" s="105">
        <f>I13/(1+(1-F13)*G13)</f>
        <v>0.85088927469651598</v>
      </c>
    </row>
    <row r="14" spans="2:10">
      <c r="B14" s="102" t="s">
        <v>167</v>
      </c>
      <c r="C14" s="102" t="s">
        <v>235</v>
      </c>
      <c r="D14" s="234">
        <v>10174.77</v>
      </c>
      <c r="E14" s="234">
        <v>21735.47</v>
      </c>
      <c r="F14" s="103">
        <v>0.3</v>
      </c>
      <c r="G14" s="104">
        <f>D14/E14</f>
        <v>0.4681182417495458</v>
      </c>
      <c r="H14" s="104">
        <f>D14/(D14+E14)</f>
        <v>0.31885595344942563</v>
      </c>
      <c r="I14" s="129">
        <f>'Beta of Comparables'!J135</f>
        <v>1.114381267415689</v>
      </c>
      <c r="J14" s="105">
        <f>I14/(1+(1-F14)*G14)</f>
        <v>0.83934302172682917</v>
      </c>
    </row>
    <row r="15" spans="2:10">
      <c r="B15" s="102" t="s">
        <v>168</v>
      </c>
      <c r="C15" s="102" t="s">
        <v>235</v>
      </c>
      <c r="D15" s="234">
        <v>1059.75</v>
      </c>
      <c r="E15" s="234">
        <v>30829.71</v>
      </c>
      <c r="F15" s="103">
        <v>0.3</v>
      </c>
      <c r="G15" s="104">
        <f>D15/E15</f>
        <v>3.4374309716179621E-2</v>
      </c>
      <c r="H15" s="104">
        <f>D15/(D15+E15)</f>
        <v>3.3231983232077308E-2</v>
      </c>
      <c r="I15" s="129">
        <f>'Beta of Comparables'!J24</f>
        <v>0.81283098832253775</v>
      </c>
      <c r="J15" s="105">
        <f>I15/(1+(1-F15)*G15)</f>
        <v>0.79373219100677961</v>
      </c>
    </row>
    <row r="17" spans="2:10">
      <c r="E17" s="106" t="s">
        <v>236</v>
      </c>
      <c r="F17" s="107">
        <f>AVERAGE(F11:F15)</f>
        <v>0.3</v>
      </c>
      <c r="G17" s="108">
        <f t="shared" ref="G17:J17" si="0">AVERAGE(G11:G15)</f>
        <v>0.11107787973146017</v>
      </c>
      <c r="H17" s="108">
        <f t="shared" si="0"/>
        <v>8.0709927987696162E-2</v>
      </c>
      <c r="I17" s="109">
        <f t="shared" si="0"/>
        <v>0.96228461380925945</v>
      </c>
      <c r="J17" s="109">
        <f t="shared" si="0"/>
        <v>0.89718511591399375</v>
      </c>
    </row>
    <row r="18" spans="2:10">
      <c r="E18" s="110" t="s">
        <v>153</v>
      </c>
      <c r="F18" s="111">
        <f>MEDIAN(F11:F15)</f>
        <v>0.3</v>
      </c>
      <c r="G18" s="112">
        <f t="shared" ref="G18:J18" si="1">MEDIAN(G11:G15)</f>
        <v>3.4374309716179621E-2</v>
      </c>
      <c r="H18" s="112">
        <f t="shared" si="1"/>
        <v>3.3231983232077308E-2</v>
      </c>
      <c r="I18" s="113">
        <f t="shared" si="1"/>
        <v>0.85984303085531599</v>
      </c>
      <c r="J18" s="113">
        <f t="shared" si="1"/>
        <v>0.83934302172682917</v>
      </c>
    </row>
    <row r="19" spans="2:10">
      <c r="J19" s="78"/>
    </row>
    <row r="20" spans="2:10">
      <c r="J20" s="78"/>
    </row>
    <row r="21" spans="2:10">
      <c r="B21" s="110" t="s">
        <v>237</v>
      </c>
      <c r="C21" s="110"/>
      <c r="D21" s="100"/>
      <c r="E21" s="100"/>
      <c r="G21" s="110" t="s">
        <v>238</v>
      </c>
      <c r="H21" s="100"/>
      <c r="I21" s="100"/>
      <c r="J21" s="100"/>
    </row>
    <row r="23" spans="2:10">
      <c r="B23" t="s">
        <v>239</v>
      </c>
      <c r="E23" s="114">
        <f>67/630.4</f>
        <v>0.10628172588832488</v>
      </c>
      <c r="G23" t="s">
        <v>240</v>
      </c>
      <c r="J23" s="103">
        <v>7.0569999999999994E-2</v>
      </c>
    </row>
    <row r="24" spans="2:10">
      <c r="B24" t="s">
        <v>241</v>
      </c>
      <c r="E24" s="114">
        <f>F18</f>
        <v>0.3</v>
      </c>
      <c r="G24" t="s">
        <v>242</v>
      </c>
      <c r="J24" s="114">
        <f>'Rm (Nifty 50)'!G11</f>
        <v>0.15609166666666666</v>
      </c>
    </row>
    <row r="25" spans="2:10" ht="17.25">
      <c r="B25" s="23" t="s">
        <v>243</v>
      </c>
      <c r="C25" s="23"/>
      <c r="D25" s="23"/>
      <c r="E25" s="115">
        <f>E23*(1-E24)</f>
        <v>7.4397208121827416E-2</v>
      </c>
      <c r="G25" t="s">
        <v>244</v>
      </c>
      <c r="J25" s="85">
        <f>J34</f>
        <v>0.89092665330525078</v>
      </c>
    </row>
    <row r="26" spans="2:10">
      <c r="G26" s="23" t="s">
        <v>238</v>
      </c>
      <c r="H26" s="23"/>
      <c r="I26" s="23"/>
      <c r="J26" s="116">
        <f>J23+J24*J25</f>
        <v>0.20963622619217209</v>
      </c>
    </row>
    <row r="29" spans="2:10">
      <c r="B29" s="110" t="s">
        <v>245</v>
      </c>
      <c r="C29" s="110"/>
      <c r="D29" s="100"/>
      <c r="E29" s="100"/>
      <c r="G29" s="110" t="s">
        <v>246</v>
      </c>
      <c r="H29" s="110"/>
      <c r="I29" s="100"/>
      <c r="J29" s="100"/>
    </row>
    <row r="31" spans="2:10">
      <c r="B31" s="4"/>
      <c r="C31" s="4"/>
      <c r="D31" s="117" t="s">
        <v>247</v>
      </c>
      <c r="E31" s="117" t="s">
        <v>248</v>
      </c>
      <c r="G31" t="s">
        <v>249</v>
      </c>
      <c r="J31" s="85">
        <f>J18</f>
        <v>0.83934302172682917</v>
      </c>
    </row>
    <row r="32" spans="2:10">
      <c r="B32" t="s">
        <v>228</v>
      </c>
      <c r="C32" s="235">
        <f>D11</f>
        <v>630.38</v>
      </c>
      <c r="D32" s="52">
        <f>C32/$C$34</f>
        <v>2.5199680021068625E-3</v>
      </c>
      <c r="E32" s="114">
        <f>H17</f>
        <v>8.0709927987696162E-2</v>
      </c>
      <c r="G32" t="s">
        <v>250</v>
      </c>
      <c r="J32" s="52">
        <f>E36</f>
        <v>8.7795931278822653E-2</v>
      </c>
    </row>
    <row r="33" spans="2:10">
      <c r="B33" t="s">
        <v>45</v>
      </c>
      <c r="C33" s="235">
        <f>E11</f>
        <v>249523.59</v>
      </c>
      <c r="D33" s="52">
        <f>C33/$C$34</f>
        <v>0.99748003199789315</v>
      </c>
      <c r="E33" s="118">
        <f>E34-E32</f>
        <v>0.91929007201230384</v>
      </c>
      <c r="G33" t="s">
        <v>241</v>
      </c>
      <c r="J33" s="52">
        <f>E24</f>
        <v>0.3</v>
      </c>
    </row>
    <row r="34" spans="2:10">
      <c r="B34" s="23" t="s">
        <v>251</v>
      </c>
      <c r="C34" s="236">
        <f>SUM(C32:C33)</f>
        <v>250153.97</v>
      </c>
      <c r="D34" s="52">
        <f>C34/$C$34</f>
        <v>1</v>
      </c>
      <c r="E34" s="30">
        <f>D34</f>
        <v>1</v>
      </c>
      <c r="G34" s="23" t="s">
        <v>246</v>
      </c>
      <c r="H34" s="23"/>
      <c r="I34" s="23"/>
      <c r="J34" s="119">
        <f>J31*(1+(1-J33)*J32)</f>
        <v>0.89092665330525078</v>
      </c>
    </row>
    <row r="36" spans="2:10">
      <c r="B36" t="s">
        <v>252</v>
      </c>
      <c r="D36" s="120">
        <f>D32/D33</f>
        <v>2.5263342836643219E-3</v>
      </c>
      <c r="E36" s="120">
        <f>E32/E33</f>
        <v>8.7795931278822653E-2</v>
      </c>
      <c r="G36" s="110" t="s">
        <v>220</v>
      </c>
      <c r="H36" s="110"/>
      <c r="I36" s="100"/>
      <c r="J36" s="100"/>
    </row>
    <row r="38" spans="2:10">
      <c r="B38" s="121" t="s">
        <v>253</v>
      </c>
      <c r="G38" s="122" t="s">
        <v>238</v>
      </c>
      <c r="H38" s="122"/>
      <c r="I38" s="122"/>
      <c r="J38" s="123">
        <f>J26</f>
        <v>0.20963622619217209</v>
      </c>
    </row>
    <row r="39" spans="2:10">
      <c r="B39" s="124" t="s">
        <v>254</v>
      </c>
      <c r="G39" s="122" t="s">
        <v>255</v>
      </c>
      <c r="H39" s="122"/>
      <c r="I39" s="122"/>
      <c r="J39" s="125">
        <f>E33</f>
        <v>0.91929007201230384</v>
      </c>
    </row>
    <row r="40" spans="2:10">
      <c r="B40" s="124" t="s">
        <v>256</v>
      </c>
      <c r="G40" s="122"/>
      <c r="H40" s="122"/>
      <c r="I40" s="122"/>
      <c r="J40" s="125"/>
    </row>
    <row r="41" spans="2:10">
      <c r="B41" s="124" t="s">
        <v>257</v>
      </c>
      <c r="G41" s="122" t="s">
        <v>237</v>
      </c>
      <c r="H41" s="122"/>
      <c r="I41" s="122"/>
      <c r="J41" s="126">
        <f>E25</f>
        <v>7.4397208121827416E-2</v>
      </c>
    </row>
    <row r="42" spans="2:10">
      <c r="B42" s="124" t="s">
        <v>258</v>
      </c>
      <c r="G42" s="122" t="s">
        <v>259</v>
      </c>
      <c r="H42" s="122"/>
      <c r="I42" s="122"/>
      <c r="J42" s="125">
        <f>E32</f>
        <v>8.0709927987696162E-2</v>
      </c>
    </row>
    <row r="44" spans="2:10">
      <c r="G44" s="127" t="s">
        <v>260</v>
      </c>
      <c r="H44" s="127"/>
      <c r="I44" s="127"/>
      <c r="J44" s="128">
        <f>(Cost_of_Equity*Equity_Weight)+(Cost_of_Debt*Debt_Weight)</f>
        <v>0.19872109478258784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5"/>
  <sheetViews>
    <sheetView showGridLines="0" workbookViewId="0">
      <selection activeCell="F10" sqref="F10:F115"/>
    </sheetView>
  </sheetViews>
  <sheetFormatPr defaultRowHeight="15"/>
  <cols>
    <col min="1" max="1" width="1.85546875" customWidth="1"/>
    <col min="2" max="2" width="11.42578125" customWidth="1"/>
    <col min="3" max="3" width="12.28515625" bestFit="1" customWidth="1"/>
    <col min="4" max="4" width="10.85546875" customWidth="1"/>
    <col min="6" max="6" width="12.28515625" bestFit="1" customWidth="1"/>
    <col min="7" max="7" width="13.85546875" customWidth="1"/>
    <col min="9" max="9" width="18.85546875" bestFit="1" customWidth="1"/>
    <col min="10" max="10" width="10" customWidth="1"/>
  </cols>
  <sheetData>
    <row r="2" spans="2:13">
      <c r="B2" s="247" t="str">
        <f>"Calculation of Beta for "&amp;'Data Sheet'!B1</f>
        <v>Calculation of Beta for AVENUE SUPERMARTS LTD</v>
      </c>
      <c r="C2" s="247"/>
      <c r="D2" s="247"/>
      <c r="E2" s="247"/>
      <c r="F2" s="247"/>
      <c r="G2" s="247"/>
      <c r="H2" s="247"/>
      <c r="I2" s="247"/>
      <c r="J2" s="247"/>
    </row>
    <row r="3" spans="2:13">
      <c r="B3" s="247"/>
      <c r="C3" s="247"/>
      <c r="D3" s="247"/>
      <c r="E3" s="247"/>
      <c r="F3" s="247"/>
      <c r="G3" s="247"/>
      <c r="H3" s="247"/>
      <c r="I3" s="247"/>
      <c r="J3" s="247"/>
    </row>
    <row r="5" spans="2:13">
      <c r="B5" s="79" t="s">
        <v>176</v>
      </c>
    </row>
    <row r="7" spans="2:13">
      <c r="B7" s="246" t="s">
        <v>177</v>
      </c>
      <c r="C7" s="246"/>
      <c r="D7" s="246"/>
      <c r="F7" s="246" t="s">
        <v>178</v>
      </c>
      <c r="G7" s="246"/>
      <c r="H7" s="80"/>
      <c r="I7" s="246" t="s">
        <v>179</v>
      </c>
      <c r="J7" s="246"/>
    </row>
    <row r="9" spans="2:13">
      <c r="B9" s="81" t="s">
        <v>180</v>
      </c>
      <c r="C9" s="82" t="s">
        <v>181</v>
      </c>
      <c r="D9" s="82" t="s">
        <v>182</v>
      </c>
      <c r="F9" s="82" t="s">
        <v>181</v>
      </c>
      <c r="G9" s="82" t="s">
        <v>182</v>
      </c>
      <c r="H9" s="83"/>
      <c r="I9" s="84" t="s">
        <v>183</v>
      </c>
      <c r="J9" s="85">
        <f>M29</f>
        <v>1.2435111834393964</v>
      </c>
    </row>
    <row r="10" spans="2:13">
      <c r="B10" s="86">
        <v>44620</v>
      </c>
      <c r="C10" s="237">
        <v>4110.2001950000003</v>
      </c>
      <c r="D10" s="87"/>
      <c r="F10" s="237">
        <v>16245.349609000001</v>
      </c>
      <c r="G10" s="87"/>
      <c r="H10" s="87"/>
      <c r="I10" s="88" t="s">
        <v>184</v>
      </c>
      <c r="J10" s="52">
        <v>0.75</v>
      </c>
    </row>
    <row r="11" spans="2:13">
      <c r="B11" s="86">
        <v>44627</v>
      </c>
      <c r="C11" s="237">
        <v>4198.9501950000003</v>
      </c>
      <c r="D11" s="89">
        <f>C11/C10-1</f>
        <v>2.1592622205595546E-2</v>
      </c>
      <c r="F11" s="237">
        <v>16630.449218999998</v>
      </c>
      <c r="G11" s="89">
        <f>F11/F10-1</f>
        <v>2.3705221449137115E-2</v>
      </c>
      <c r="H11" s="89"/>
      <c r="I11" s="90"/>
    </row>
    <row r="12" spans="2:13">
      <c r="B12" s="86">
        <v>44634</v>
      </c>
      <c r="C12" s="237">
        <v>4192.75</v>
      </c>
      <c r="D12" s="89">
        <f t="shared" ref="D12:D75" si="0">C12/C11-1</f>
        <v>-1.476605987702162E-3</v>
      </c>
      <c r="F12" s="237">
        <v>17287.050781000002</v>
      </c>
      <c r="G12" s="89">
        <f t="shared" ref="G12:G75" si="1">F12/F11-1</f>
        <v>3.9481889716475482E-2</v>
      </c>
      <c r="H12" s="89"/>
      <c r="I12" s="90" t="s">
        <v>185</v>
      </c>
      <c r="J12" s="85">
        <v>1</v>
      </c>
      <c r="L12" t="s">
        <v>188</v>
      </c>
    </row>
    <row r="13" spans="2:13" ht="15.75" thickBot="1">
      <c r="B13" s="86">
        <v>44641</v>
      </c>
      <c r="C13" s="237">
        <v>4001.3000489999999</v>
      </c>
      <c r="D13" s="89">
        <f t="shared" si="0"/>
        <v>-4.5662143223421436E-2</v>
      </c>
      <c r="F13" s="237">
        <v>17153</v>
      </c>
      <c r="G13" s="89">
        <f t="shared" si="1"/>
        <v>-7.7544043051771538E-3</v>
      </c>
      <c r="H13" s="89"/>
      <c r="I13" s="90" t="s">
        <v>186</v>
      </c>
      <c r="J13" s="52">
        <v>0.25</v>
      </c>
    </row>
    <row r="14" spans="2:13">
      <c r="B14" s="86">
        <v>44648</v>
      </c>
      <c r="C14" s="237">
        <v>4082.1999510000001</v>
      </c>
      <c r="D14" s="89">
        <f t="shared" si="0"/>
        <v>2.0218404270936574E-2</v>
      </c>
      <c r="F14" s="237">
        <v>17670.449218999998</v>
      </c>
      <c r="G14" s="89">
        <f t="shared" si="1"/>
        <v>3.0166689150585846E-2</v>
      </c>
      <c r="H14" s="89"/>
      <c r="I14" s="90"/>
      <c r="L14" s="96" t="s">
        <v>189</v>
      </c>
      <c r="M14" s="96"/>
    </row>
    <row r="15" spans="2:13">
      <c r="B15" s="86">
        <v>44655</v>
      </c>
      <c r="C15" s="237">
        <v>4146.25</v>
      </c>
      <c r="D15" s="89">
        <f t="shared" si="0"/>
        <v>1.5690081272062617E-2</v>
      </c>
      <c r="F15" s="237">
        <v>17784.349609000001</v>
      </c>
      <c r="G15" s="89">
        <f t="shared" si="1"/>
        <v>6.4458117950692007E-3</v>
      </c>
      <c r="H15" s="89"/>
      <c r="I15" s="91" t="s">
        <v>187</v>
      </c>
      <c r="J15" s="92">
        <f>(Levered_Raw_Beta*Raw_Beta_Weight)+(Market_Beta*Market_Beta_Weight)</f>
        <v>1.1826333875795472</v>
      </c>
      <c r="L15" s="93" t="s">
        <v>190</v>
      </c>
      <c r="M15" s="93">
        <v>0.5410443987756951</v>
      </c>
    </row>
    <row r="16" spans="2:13">
      <c r="B16" s="86">
        <v>44662</v>
      </c>
      <c r="C16" s="237">
        <v>4090.8999020000001</v>
      </c>
      <c r="D16" s="89">
        <f t="shared" si="0"/>
        <v>-1.3349435755200423E-2</v>
      </c>
      <c r="F16" s="237">
        <v>17475.650390999999</v>
      </c>
      <c r="G16" s="89">
        <f t="shared" si="1"/>
        <v>-1.7357914390289553E-2</v>
      </c>
      <c r="H16" s="89"/>
      <c r="I16" s="89"/>
      <c r="L16" s="93" t="s">
        <v>191</v>
      </c>
      <c r="M16" s="93">
        <v>0.29272904144655343</v>
      </c>
    </row>
    <row r="17" spans="2:20">
      <c r="B17" s="86">
        <v>44669</v>
      </c>
      <c r="C17" s="237">
        <v>4028.8500979999999</v>
      </c>
      <c r="D17" s="89">
        <f t="shared" si="0"/>
        <v>-1.5167763936161038E-2</v>
      </c>
      <c r="F17" s="237">
        <v>17171.949218999998</v>
      </c>
      <c r="G17" s="89">
        <f t="shared" si="1"/>
        <v>-1.7378533285170805E-2</v>
      </c>
      <c r="H17" s="89"/>
      <c r="I17" s="89"/>
      <c r="L17" s="93" t="s">
        <v>192</v>
      </c>
      <c r="M17" s="93">
        <v>0.28586233311108306</v>
      </c>
    </row>
    <row r="18" spans="2:20">
      <c r="B18" s="86">
        <v>44676</v>
      </c>
      <c r="C18" s="237">
        <v>3944.25</v>
      </c>
      <c r="D18" s="89">
        <f t="shared" si="0"/>
        <v>-2.0998571786524645E-2</v>
      </c>
      <c r="F18" s="237">
        <v>17102.550781000002</v>
      </c>
      <c r="G18" s="89">
        <f t="shared" si="1"/>
        <v>-4.041383835634127E-3</v>
      </c>
      <c r="H18" s="89"/>
      <c r="I18" s="89"/>
      <c r="L18" s="93" t="s">
        <v>193</v>
      </c>
      <c r="M18" s="93">
        <v>3.385964883936763E-2</v>
      </c>
    </row>
    <row r="19" spans="2:20" ht="15.75" thickBot="1">
      <c r="B19" s="86">
        <v>44683</v>
      </c>
      <c r="C19" s="237">
        <v>3666.1999510000001</v>
      </c>
      <c r="D19" s="89">
        <f t="shared" si="0"/>
        <v>-7.0495036825758972E-2</v>
      </c>
      <c r="F19" s="237">
        <v>16411.25</v>
      </c>
      <c r="G19" s="89">
        <f t="shared" si="1"/>
        <v>-4.0420916730619982E-2</v>
      </c>
      <c r="H19" s="89"/>
      <c r="I19" s="89"/>
      <c r="L19" s="94" t="s">
        <v>194</v>
      </c>
      <c r="M19" s="94">
        <v>105</v>
      </c>
    </row>
    <row r="20" spans="2:20">
      <c r="B20" s="86">
        <v>44690</v>
      </c>
      <c r="C20" s="237">
        <v>3230.6000979999999</v>
      </c>
      <c r="D20" s="89">
        <f t="shared" si="0"/>
        <v>-0.11881508341660008</v>
      </c>
      <c r="F20" s="237">
        <v>15782.150390999999</v>
      </c>
      <c r="G20" s="89">
        <f t="shared" si="1"/>
        <v>-3.8333436453652281E-2</v>
      </c>
      <c r="H20" s="89"/>
      <c r="I20" s="89"/>
    </row>
    <row r="21" spans="2:20" ht="15.75" thickBot="1">
      <c r="B21" s="86">
        <v>44697</v>
      </c>
      <c r="C21" s="237">
        <v>3630.3999020000001</v>
      </c>
      <c r="D21" s="89">
        <f t="shared" si="0"/>
        <v>0.12375403698139809</v>
      </c>
      <c r="F21" s="237">
        <v>16266.150390999999</v>
      </c>
      <c r="G21" s="89">
        <f t="shared" si="1"/>
        <v>3.0667557209187901E-2</v>
      </c>
      <c r="H21" s="89"/>
      <c r="I21" s="89"/>
      <c r="L21" t="s">
        <v>195</v>
      </c>
    </row>
    <row r="22" spans="2:20">
      <c r="B22" s="86">
        <v>44704</v>
      </c>
      <c r="C22" s="237">
        <v>3613.8500979999999</v>
      </c>
      <c r="D22" s="89">
        <f t="shared" si="0"/>
        <v>-4.5586724456672112E-3</v>
      </c>
      <c r="F22" s="237">
        <v>16352.450194999999</v>
      </c>
      <c r="G22" s="89">
        <f t="shared" si="1"/>
        <v>5.3054842064996777E-3</v>
      </c>
      <c r="H22" s="89"/>
      <c r="I22" s="89"/>
      <c r="L22" s="95"/>
      <c r="M22" s="95" t="s">
        <v>199</v>
      </c>
      <c r="N22" s="95" t="s">
        <v>200</v>
      </c>
      <c r="O22" s="95" t="s">
        <v>201</v>
      </c>
      <c r="P22" s="95" t="s">
        <v>202</v>
      </c>
      <c r="Q22" s="95" t="s">
        <v>203</v>
      </c>
    </row>
    <row r="23" spans="2:20">
      <c r="B23" s="86">
        <v>44711</v>
      </c>
      <c r="C23" s="237">
        <v>3820.1000979999999</v>
      </c>
      <c r="D23" s="89">
        <f t="shared" si="0"/>
        <v>5.7072096076742129E-2</v>
      </c>
      <c r="F23" s="237">
        <v>16584.300781000002</v>
      </c>
      <c r="G23" s="89">
        <f t="shared" si="1"/>
        <v>1.4178339223494207E-2</v>
      </c>
      <c r="H23" s="89"/>
      <c r="I23" s="89"/>
      <c r="L23" s="93" t="s">
        <v>196</v>
      </c>
      <c r="M23" s="93">
        <v>1</v>
      </c>
      <c r="N23" s="93">
        <v>4.887447541024785E-2</v>
      </c>
      <c r="O23" s="93">
        <v>4.887447541024785E-2</v>
      </c>
      <c r="P23" s="93">
        <v>42.630184237540085</v>
      </c>
      <c r="Q23" s="93">
        <v>2.5434300298107859E-9</v>
      </c>
    </row>
    <row r="24" spans="2:20">
      <c r="B24" s="86">
        <v>44718</v>
      </c>
      <c r="C24" s="237">
        <v>3755.6499020000001</v>
      </c>
      <c r="D24" s="89">
        <f t="shared" si="0"/>
        <v>-1.6871336966730932E-2</v>
      </c>
      <c r="F24" s="237">
        <v>16201.799805000001</v>
      </c>
      <c r="G24" s="89">
        <f t="shared" si="1"/>
        <v>-2.3064039964724836E-2</v>
      </c>
      <c r="H24" s="89"/>
      <c r="I24" s="89"/>
      <c r="L24" s="93" t="s">
        <v>197</v>
      </c>
      <c r="M24" s="93">
        <v>103</v>
      </c>
      <c r="N24" s="93">
        <v>0.11808700941110482</v>
      </c>
      <c r="O24" s="93">
        <v>1.1464758195252895E-3</v>
      </c>
      <c r="P24" s="93"/>
      <c r="Q24" s="93"/>
    </row>
    <row r="25" spans="2:20" ht="15.75" thickBot="1">
      <c r="B25" s="86">
        <v>44725</v>
      </c>
      <c r="C25" s="237">
        <v>3460.5500489999999</v>
      </c>
      <c r="D25" s="89">
        <f t="shared" si="0"/>
        <v>-7.857490998904082E-2</v>
      </c>
      <c r="F25" s="237">
        <v>15293.5</v>
      </c>
      <c r="G25" s="89">
        <f t="shared" si="1"/>
        <v>-5.606166079892505E-2</v>
      </c>
      <c r="H25" s="89"/>
      <c r="I25" s="89"/>
      <c r="L25" s="94" t="s">
        <v>13</v>
      </c>
      <c r="M25" s="94">
        <v>104</v>
      </c>
      <c r="N25" s="94">
        <v>0.16696148482135267</v>
      </c>
      <c r="O25" s="94"/>
      <c r="P25" s="94"/>
      <c r="Q25" s="94"/>
    </row>
    <row r="26" spans="2:20" ht="15.75" thickBot="1">
      <c r="B26" s="86">
        <v>44732</v>
      </c>
      <c r="C26" s="237">
        <v>3412</v>
      </c>
      <c r="D26" s="89">
        <f t="shared" si="0"/>
        <v>-1.4029575735808097E-2</v>
      </c>
      <c r="F26" s="237">
        <v>15699.25</v>
      </c>
      <c r="G26" s="89">
        <f t="shared" si="1"/>
        <v>2.6530879131657192E-2</v>
      </c>
      <c r="H26" s="89"/>
      <c r="I26" s="89"/>
    </row>
    <row r="27" spans="2:20">
      <c r="B27" s="86">
        <v>44739</v>
      </c>
      <c r="C27" s="237">
        <v>3388.75</v>
      </c>
      <c r="D27" s="89">
        <f t="shared" si="0"/>
        <v>-6.8141852286048854E-3</v>
      </c>
      <c r="F27" s="237">
        <v>15752.049805000001</v>
      </c>
      <c r="G27" s="89">
        <f t="shared" si="1"/>
        <v>3.3632055671448668E-3</v>
      </c>
      <c r="H27" s="89"/>
      <c r="I27" s="89"/>
      <c r="L27" s="95"/>
      <c r="M27" s="95" t="s">
        <v>204</v>
      </c>
      <c r="N27" s="95" t="s">
        <v>193</v>
      </c>
      <c r="O27" s="95" t="s">
        <v>205</v>
      </c>
      <c r="P27" s="95" t="s">
        <v>206</v>
      </c>
      <c r="Q27" s="95" t="s">
        <v>207</v>
      </c>
      <c r="R27" s="95" t="s">
        <v>208</v>
      </c>
      <c r="S27" s="95" t="s">
        <v>209</v>
      </c>
      <c r="T27" s="95" t="s">
        <v>210</v>
      </c>
    </row>
    <row r="28" spans="2:20">
      <c r="B28" s="86">
        <v>44746</v>
      </c>
      <c r="C28" s="237">
        <v>3941.6999510000001</v>
      </c>
      <c r="D28" s="89">
        <f t="shared" si="0"/>
        <v>0.16317224669863517</v>
      </c>
      <c r="F28" s="237">
        <v>16220.599609000001</v>
      </c>
      <c r="G28" s="89">
        <f t="shared" si="1"/>
        <v>2.9745322659611828E-2</v>
      </c>
      <c r="H28" s="89"/>
      <c r="I28" s="89"/>
      <c r="L28" s="93" t="s">
        <v>198</v>
      </c>
      <c r="M28" s="93">
        <v>-3.7791246566257408E-3</v>
      </c>
      <c r="N28" s="93">
        <v>3.3603012345508787E-3</v>
      </c>
      <c r="O28" s="93">
        <v>-1.124638653751779</v>
      </c>
      <c r="P28" s="93">
        <v>0.26335623742660985</v>
      </c>
      <c r="Q28" s="93">
        <v>-1.0443489610748494E-2</v>
      </c>
      <c r="R28" s="93">
        <v>2.8852402974970113E-3</v>
      </c>
      <c r="S28" s="93">
        <v>-1.0443489610748494E-2</v>
      </c>
      <c r="T28" s="93">
        <v>2.8852402974970113E-3</v>
      </c>
    </row>
    <row r="29" spans="2:20" ht="15.75" thickBot="1">
      <c r="B29" s="86">
        <v>44753</v>
      </c>
      <c r="C29" s="237">
        <v>3926.8000489999999</v>
      </c>
      <c r="D29" s="89">
        <f t="shared" si="0"/>
        <v>-3.7800700675403309E-3</v>
      </c>
      <c r="F29" s="237">
        <v>16049.200194999999</v>
      </c>
      <c r="G29" s="89">
        <f t="shared" si="1"/>
        <v>-1.0566774233481513E-2</v>
      </c>
      <c r="H29" s="89"/>
      <c r="I29" s="89"/>
      <c r="L29" s="94" t="s">
        <v>211</v>
      </c>
      <c r="M29" s="94">
        <v>1.2435111834393964</v>
      </c>
      <c r="N29" s="94">
        <v>0.19045443516013771</v>
      </c>
      <c r="O29" s="94">
        <v>6.5291794459594943</v>
      </c>
      <c r="P29" s="94">
        <v>2.5434300298108971E-9</v>
      </c>
      <c r="Q29" s="94">
        <v>0.86578973097321343</v>
      </c>
      <c r="R29" s="94">
        <v>1.6212326359055793</v>
      </c>
      <c r="S29" s="94">
        <v>0.86578973097321343</v>
      </c>
      <c r="T29" s="94">
        <v>1.6212326359055793</v>
      </c>
    </row>
    <row r="30" spans="2:20">
      <c r="B30" s="86">
        <v>44760</v>
      </c>
      <c r="C30" s="237">
        <v>3963.3999020000001</v>
      </c>
      <c r="D30" s="89">
        <f t="shared" si="0"/>
        <v>9.3205288131033015E-3</v>
      </c>
      <c r="F30" s="237">
        <v>16719.449218999998</v>
      </c>
      <c r="G30" s="89">
        <f t="shared" si="1"/>
        <v>4.1762144895470144E-2</v>
      </c>
      <c r="H30" s="89"/>
      <c r="I30" s="89"/>
    </row>
    <row r="31" spans="2:20">
      <c r="B31" s="86">
        <v>44767</v>
      </c>
      <c r="C31" s="237">
        <v>4243.8500979999999</v>
      </c>
      <c r="D31" s="89">
        <f t="shared" si="0"/>
        <v>7.0760004777332686E-2</v>
      </c>
      <c r="F31" s="237">
        <v>17158.25</v>
      </c>
      <c r="G31" s="89">
        <f t="shared" si="1"/>
        <v>2.6244930395275645E-2</v>
      </c>
      <c r="H31" s="89"/>
      <c r="I31" s="89"/>
    </row>
    <row r="32" spans="2:20">
      <c r="B32" s="86">
        <v>44774</v>
      </c>
      <c r="C32" s="237">
        <v>4232.25</v>
      </c>
      <c r="D32" s="89">
        <f t="shared" si="0"/>
        <v>-2.7333901368162827E-3</v>
      </c>
      <c r="F32" s="237">
        <v>17397.5</v>
      </c>
      <c r="G32" s="89">
        <f t="shared" si="1"/>
        <v>1.3943729692713402E-2</v>
      </c>
      <c r="H32" s="89"/>
      <c r="I32" s="89"/>
    </row>
    <row r="33" spans="2:9">
      <c r="B33" s="86">
        <v>44781</v>
      </c>
      <c r="C33" s="237">
        <v>4336.7001950000003</v>
      </c>
      <c r="D33" s="89">
        <f t="shared" si="0"/>
        <v>2.4679590052572697E-2</v>
      </c>
      <c r="F33" s="237">
        <v>17698.150390999999</v>
      </c>
      <c r="G33" s="89">
        <f t="shared" si="1"/>
        <v>1.7281241040379314E-2</v>
      </c>
      <c r="H33" s="89"/>
      <c r="I33" s="89"/>
    </row>
    <row r="34" spans="2:9">
      <c r="B34" s="86">
        <v>44788</v>
      </c>
      <c r="C34" s="237">
        <v>4382</v>
      </c>
      <c r="D34" s="89">
        <f t="shared" si="0"/>
        <v>1.0445685189911957E-2</v>
      </c>
      <c r="F34" s="237">
        <v>17758.449218999998</v>
      </c>
      <c r="G34" s="89">
        <f t="shared" si="1"/>
        <v>3.4070694771959342E-3</v>
      </c>
      <c r="H34" s="89"/>
      <c r="I34" s="89"/>
    </row>
    <row r="35" spans="2:9">
      <c r="B35" s="86">
        <v>44795</v>
      </c>
      <c r="C35" s="237">
        <v>4409.6499020000001</v>
      </c>
      <c r="D35" s="89">
        <f t="shared" si="0"/>
        <v>6.3098817891373837E-3</v>
      </c>
      <c r="F35" s="237">
        <v>17558.900390999999</v>
      </c>
      <c r="G35" s="89">
        <f t="shared" si="1"/>
        <v>-1.1236838619134604E-2</v>
      </c>
      <c r="H35" s="89"/>
      <c r="I35" s="89"/>
    </row>
    <row r="36" spans="2:9">
      <c r="B36" s="86">
        <v>44802</v>
      </c>
      <c r="C36" s="237">
        <v>4576.7998049999997</v>
      </c>
      <c r="D36" s="89">
        <f t="shared" si="0"/>
        <v>3.7905481549496356E-2</v>
      </c>
      <c r="F36" s="237">
        <v>17539.449218999998</v>
      </c>
      <c r="G36" s="89">
        <f t="shared" si="1"/>
        <v>-1.1077670905844661E-3</v>
      </c>
      <c r="H36" s="89"/>
      <c r="I36" s="89"/>
    </row>
    <row r="37" spans="2:9">
      <c r="B37" s="86">
        <v>44809</v>
      </c>
      <c r="C37" s="237">
        <v>4386.1000979999999</v>
      </c>
      <c r="D37" s="89">
        <f t="shared" si="0"/>
        <v>-4.1666604423393538E-2</v>
      </c>
      <c r="F37" s="237">
        <v>17833.349609000001</v>
      </c>
      <c r="G37" s="89">
        <f t="shared" si="1"/>
        <v>1.6756534730955508E-2</v>
      </c>
      <c r="H37" s="89"/>
      <c r="I37" s="89"/>
    </row>
    <row r="38" spans="2:9">
      <c r="B38" s="86">
        <v>44816</v>
      </c>
      <c r="C38" s="237">
        <v>4327.5498049999997</v>
      </c>
      <c r="D38" s="89">
        <f t="shared" si="0"/>
        <v>-1.334905535482378E-2</v>
      </c>
      <c r="F38" s="237">
        <v>17530.849609000001</v>
      </c>
      <c r="G38" s="89">
        <f t="shared" si="1"/>
        <v>-1.6962601341440453E-2</v>
      </c>
      <c r="H38" s="89"/>
      <c r="I38" s="89"/>
    </row>
    <row r="39" spans="2:9">
      <c r="B39" s="86">
        <v>44823</v>
      </c>
      <c r="C39" s="237">
        <v>4367</v>
      </c>
      <c r="D39" s="89">
        <f t="shared" si="0"/>
        <v>9.1160579953164511E-3</v>
      </c>
      <c r="F39" s="237">
        <v>17327.349609000001</v>
      </c>
      <c r="G39" s="89">
        <f t="shared" si="1"/>
        <v>-1.1608108251383698E-2</v>
      </c>
      <c r="H39" s="89"/>
      <c r="I39" s="89"/>
    </row>
    <row r="40" spans="2:9">
      <c r="B40" s="86">
        <v>44830</v>
      </c>
      <c r="C40" s="237">
        <v>4386.5498049999997</v>
      </c>
      <c r="D40" s="89">
        <f t="shared" si="0"/>
        <v>4.4767128463474304E-3</v>
      </c>
      <c r="F40" s="237">
        <v>17094.349609000001</v>
      </c>
      <c r="G40" s="89">
        <f t="shared" si="1"/>
        <v>-1.3446949779265527E-2</v>
      </c>
      <c r="H40" s="89"/>
      <c r="I40" s="89"/>
    </row>
    <row r="41" spans="2:9">
      <c r="B41" s="86">
        <v>44837</v>
      </c>
      <c r="C41" s="237">
        <v>4471.4501950000003</v>
      </c>
      <c r="D41" s="89">
        <f t="shared" si="0"/>
        <v>1.9354707862481613E-2</v>
      </c>
      <c r="F41" s="237">
        <v>17314.650390999999</v>
      </c>
      <c r="G41" s="89">
        <f t="shared" si="1"/>
        <v>1.2887345060733635E-2</v>
      </c>
      <c r="H41" s="89"/>
      <c r="I41" s="89"/>
    </row>
    <row r="42" spans="2:9">
      <c r="B42" s="86">
        <v>44844</v>
      </c>
      <c r="C42" s="237">
        <v>4306.1499020000001</v>
      </c>
      <c r="D42" s="89">
        <f t="shared" si="0"/>
        <v>-3.6967937870545864E-2</v>
      </c>
      <c r="F42" s="237">
        <v>17185.699218999998</v>
      </c>
      <c r="G42" s="89">
        <f t="shared" si="1"/>
        <v>-7.4475180894804094E-3</v>
      </c>
      <c r="H42" s="89"/>
      <c r="I42" s="89"/>
    </row>
    <row r="43" spans="2:9">
      <c r="B43" s="86">
        <v>44851</v>
      </c>
      <c r="C43" s="237">
        <v>4215.5498049999997</v>
      </c>
      <c r="D43" s="89">
        <f t="shared" si="0"/>
        <v>-2.1039698817247654E-2</v>
      </c>
      <c r="F43" s="237">
        <v>17576.300781000002</v>
      </c>
      <c r="G43" s="89">
        <f t="shared" si="1"/>
        <v>2.2728290366455628E-2</v>
      </c>
      <c r="H43" s="89"/>
      <c r="I43" s="89"/>
    </row>
    <row r="44" spans="2:9">
      <c r="B44" s="86">
        <v>44858</v>
      </c>
      <c r="C44" s="237">
        <v>4307.3500979999999</v>
      </c>
      <c r="D44" s="89">
        <f t="shared" si="0"/>
        <v>2.1776588403988884E-2</v>
      </c>
      <c r="F44" s="237">
        <v>17786.800781000002</v>
      </c>
      <c r="G44" s="89">
        <f t="shared" si="1"/>
        <v>1.197635399068453E-2</v>
      </c>
      <c r="H44" s="89"/>
      <c r="I44" s="89"/>
    </row>
    <row r="45" spans="2:9">
      <c r="B45" s="86">
        <v>44865</v>
      </c>
      <c r="C45" s="237">
        <v>4167.3500979999999</v>
      </c>
      <c r="D45" s="89">
        <f t="shared" si="0"/>
        <v>-3.2502582055033091E-2</v>
      </c>
      <c r="F45" s="237">
        <v>18117.150390999999</v>
      </c>
      <c r="G45" s="89">
        <f t="shared" si="1"/>
        <v>1.8572739081492262E-2</v>
      </c>
      <c r="H45" s="89"/>
      <c r="I45" s="89"/>
    </row>
    <row r="46" spans="2:9">
      <c r="B46" s="86">
        <v>44872</v>
      </c>
      <c r="C46" s="237">
        <v>4128.3500979999999</v>
      </c>
      <c r="D46" s="89">
        <f t="shared" si="0"/>
        <v>-9.3584649916302887E-3</v>
      </c>
      <c r="F46" s="237">
        <v>18349.699218999998</v>
      </c>
      <c r="G46" s="89">
        <f t="shared" si="1"/>
        <v>1.2835839134808014E-2</v>
      </c>
      <c r="H46" s="89"/>
      <c r="I46" s="89"/>
    </row>
    <row r="47" spans="2:9">
      <c r="B47" s="86">
        <v>44879</v>
      </c>
      <c r="C47" s="237">
        <v>3910.6000979999999</v>
      </c>
      <c r="D47" s="89">
        <f t="shared" si="0"/>
        <v>-5.2745042167206213E-2</v>
      </c>
      <c r="F47" s="237">
        <v>18307.650390999999</v>
      </c>
      <c r="G47" s="89">
        <f t="shared" si="1"/>
        <v>-2.2915268254892762E-3</v>
      </c>
      <c r="H47" s="89"/>
      <c r="I47" s="89"/>
    </row>
    <row r="48" spans="2:9">
      <c r="B48" s="86">
        <v>44886</v>
      </c>
      <c r="C48" s="237">
        <v>3904.4499510000001</v>
      </c>
      <c r="D48" s="89">
        <f t="shared" si="0"/>
        <v>-1.5726862491373117E-3</v>
      </c>
      <c r="F48" s="237">
        <v>18512.75</v>
      </c>
      <c r="G48" s="89">
        <f t="shared" si="1"/>
        <v>1.1202945469224623E-2</v>
      </c>
      <c r="H48" s="89"/>
      <c r="I48" s="89"/>
    </row>
    <row r="49" spans="2:9">
      <c r="B49" s="86">
        <v>44893</v>
      </c>
      <c r="C49" s="237">
        <v>4005.75</v>
      </c>
      <c r="D49" s="89">
        <f t="shared" si="0"/>
        <v>2.5944768218646219E-2</v>
      </c>
      <c r="F49" s="237">
        <v>18696.099609000001</v>
      </c>
      <c r="G49" s="89">
        <f t="shared" si="1"/>
        <v>9.9039639707769744E-3</v>
      </c>
      <c r="H49" s="89"/>
      <c r="I49" s="89"/>
    </row>
    <row r="50" spans="2:9">
      <c r="B50" s="86">
        <v>44900</v>
      </c>
      <c r="C50" s="237">
        <v>4002.3999020000001</v>
      </c>
      <c r="D50" s="89">
        <f t="shared" si="0"/>
        <v>-8.3632228671282061E-4</v>
      </c>
      <c r="F50" s="237">
        <v>18496.599609000001</v>
      </c>
      <c r="G50" s="89">
        <f t="shared" si="1"/>
        <v>-1.0670674855838058E-2</v>
      </c>
      <c r="H50" s="89"/>
      <c r="I50" s="89"/>
    </row>
    <row r="51" spans="2:9">
      <c r="B51" s="86">
        <v>44907</v>
      </c>
      <c r="C51" s="237">
        <v>3990</v>
      </c>
      <c r="D51" s="89">
        <f t="shared" si="0"/>
        <v>-3.0981167058803383E-3</v>
      </c>
      <c r="F51" s="237">
        <v>18269</v>
      </c>
      <c r="G51" s="89">
        <f t="shared" si="1"/>
        <v>-1.2304943276668867E-2</v>
      </c>
      <c r="H51" s="89"/>
      <c r="I51" s="89"/>
    </row>
    <row r="52" spans="2:9">
      <c r="B52" s="86">
        <v>44914</v>
      </c>
      <c r="C52" s="237">
        <v>3875.6000979999999</v>
      </c>
      <c r="D52" s="89">
        <f t="shared" si="0"/>
        <v>-2.8671654636591493E-2</v>
      </c>
      <c r="F52" s="237">
        <v>17806.800781000002</v>
      </c>
      <c r="G52" s="89">
        <f t="shared" si="1"/>
        <v>-2.529964524604511E-2</v>
      </c>
      <c r="H52" s="89"/>
      <c r="I52" s="89"/>
    </row>
    <row r="53" spans="2:9">
      <c r="B53" s="86">
        <v>44921</v>
      </c>
      <c r="C53" s="237">
        <v>4068.75</v>
      </c>
      <c r="D53" s="89">
        <f t="shared" si="0"/>
        <v>4.9837417978102261E-2</v>
      </c>
      <c r="F53" s="237">
        <v>18105.300781000002</v>
      </c>
      <c r="G53" s="89">
        <f t="shared" si="1"/>
        <v>1.6763258244484991E-2</v>
      </c>
      <c r="H53" s="89"/>
      <c r="I53" s="89"/>
    </row>
    <row r="54" spans="2:9">
      <c r="B54" s="86">
        <v>44928</v>
      </c>
      <c r="C54" s="237">
        <v>3842.5</v>
      </c>
      <c r="D54" s="89">
        <f t="shared" si="0"/>
        <v>-5.5606758832565273E-2</v>
      </c>
      <c r="F54" s="237">
        <v>17859.449218999998</v>
      </c>
      <c r="G54" s="89">
        <f t="shared" si="1"/>
        <v>-1.3578982474458767E-2</v>
      </c>
      <c r="H54" s="89"/>
      <c r="I54" s="89"/>
    </row>
    <row r="55" spans="2:9">
      <c r="B55" s="86">
        <v>44935</v>
      </c>
      <c r="C55" s="237">
        <v>3863.6999510000001</v>
      </c>
      <c r="D55" s="89">
        <f t="shared" si="0"/>
        <v>5.517228627195836E-3</v>
      </c>
      <c r="F55" s="237">
        <v>17956.599609000001</v>
      </c>
      <c r="G55" s="89">
        <f t="shared" si="1"/>
        <v>5.4397192661825855E-3</v>
      </c>
      <c r="H55" s="89"/>
      <c r="I55" s="89"/>
    </row>
    <row r="56" spans="2:9">
      <c r="B56" s="86">
        <v>44942</v>
      </c>
      <c r="C56" s="237">
        <v>3513.75</v>
      </c>
      <c r="D56" s="89">
        <f t="shared" si="0"/>
        <v>-9.0573790780370089E-2</v>
      </c>
      <c r="F56" s="237">
        <v>18027.650390999999</v>
      </c>
      <c r="G56" s="89">
        <f t="shared" si="1"/>
        <v>3.9568060516528281E-3</v>
      </c>
      <c r="H56" s="89"/>
      <c r="I56" s="89"/>
    </row>
    <row r="57" spans="2:9">
      <c r="B57" s="86">
        <v>44949</v>
      </c>
      <c r="C57" s="237">
        <v>3562.3500979999999</v>
      </c>
      <c r="D57" s="89">
        <f t="shared" si="0"/>
        <v>1.3831404624688792E-2</v>
      </c>
      <c r="F57" s="237">
        <v>17604.349609000001</v>
      </c>
      <c r="G57" s="89">
        <f t="shared" si="1"/>
        <v>-2.3480640727941093E-2</v>
      </c>
      <c r="H57" s="89"/>
      <c r="I57" s="89"/>
    </row>
    <row r="58" spans="2:9">
      <c r="B58" s="86">
        <v>44956</v>
      </c>
      <c r="C58" s="237">
        <v>3470.3500979999999</v>
      </c>
      <c r="D58" s="89">
        <f t="shared" si="0"/>
        <v>-2.5825648088785957E-2</v>
      </c>
      <c r="F58" s="237">
        <v>17854.050781000002</v>
      </c>
      <c r="G58" s="89">
        <f t="shared" si="1"/>
        <v>1.4184061186352848E-2</v>
      </c>
      <c r="H58" s="89"/>
      <c r="I58" s="89"/>
    </row>
    <row r="59" spans="2:9">
      <c r="B59" s="86">
        <v>44963</v>
      </c>
      <c r="C59" s="237">
        <v>3498.8500979999999</v>
      </c>
      <c r="D59" s="89">
        <f t="shared" si="0"/>
        <v>8.2124279093411801E-3</v>
      </c>
      <c r="F59" s="237">
        <v>17856.5</v>
      </c>
      <c r="G59" s="89">
        <f t="shared" si="1"/>
        <v>1.371800175793414E-4</v>
      </c>
      <c r="H59" s="89"/>
      <c r="I59" s="89"/>
    </row>
    <row r="60" spans="2:9">
      <c r="B60" s="86">
        <v>44970</v>
      </c>
      <c r="C60" s="237">
        <v>3545</v>
      </c>
      <c r="D60" s="89">
        <f t="shared" si="0"/>
        <v>1.3190019780035867E-2</v>
      </c>
      <c r="F60" s="237">
        <v>17944.199218999998</v>
      </c>
      <c r="G60" s="89">
        <f t="shared" si="1"/>
        <v>4.9113330719905424E-3</v>
      </c>
      <c r="H60" s="89"/>
      <c r="I60" s="89"/>
    </row>
    <row r="61" spans="2:9">
      <c r="B61" s="86">
        <v>44977</v>
      </c>
      <c r="C61" s="237">
        <v>3499.1999510000001</v>
      </c>
      <c r="D61" s="89">
        <f t="shared" si="0"/>
        <v>-1.2919618899858931E-2</v>
      </c>
      <c r="F61" s="237">
        <v>17465.800781000002</v>
      </c>
      <c r="G61" s="89">
        <f t="shared" si="1"/>
        <v>-2.6660339208308015E-2</v>
      </c>
      <c r="H61" s="89"/>
      <c r="I61" s="89"/>
    </row>
    <row r="62" spans="2:9">
      <c r="B62" s="86">
        <v>44984</v>
      </c>
      <c r="C62" s="237">
        <v>3463.25</v>
      </c>
      <c r="D62" s="89">
        <f t="shared" si="0"/>
        <v>-1.0273763003947889E-2</v>
      </c>
      <c r="F62" s="237">
        <v>17594.349609000001</v>
      </c>
      <c r="G62" s="89">
        <f t="shared" si="1"/>
        <v>7.3600305884538031E-3</v>
      </c>
      <c r="H62" s="89"/>
      <c r="I62" s="89"/>
    </row>
    <row r="63" spans="2:9">
      <c r="B63" s="86">
        <v>44991</v>
      </c>
      <c r="C63" s="237">
        <v>3391.8500979999999</v>
      </c>
      <c r="D63" s="89">
        <f t="shared" si="0"/>
        <v>-2.0616444669024792E-2</v>
      </c>
      <c r="F63" s="237">
        <v>17412.900390999999</v>
      </c>
      <c r="G63" s="89">
        <f t="shared" si="1"/>
        <v>-1.0312925571695164E-2</v>
      </c>
      <c r="H63" s="89"/>
      <c r="I63" s="89"/>
    </row>
    <row r="64" spans="2:9">
      <c r="B64" s="86">
        <v>44998</v>
      </c>
      <c r="C64" s="237">
        <v>3311.3000489999999</v>
      </c>
      <c r="D64" s="89">
        <f t="shared" si="0"/>
        <v>-2.3748115828437166E-2</v>
      </c>
      <c r="F64" s="237">
        <v>17100.050781000002</v>
      </c>
      <c r="G64" s="89">
        <f t="shared" si="1"/>
        <v>-1.7966542217268788E-2</v>
      </c>
      <c r="H64" s="89"/>
      <c r="I64" s="89"/>
    </row>
    <row r="65" spans="2:9">
      <c r="B65" s="86">
        <v>45005</v>
      </c>
      <c r="C65" s="237">
        <v>3358.3999020000001</v>
      </c>
      <c r="D65" s="89">
        <f t="shared" si="0"/>
        <v>1.4223976173413977E-2</v>
      </c>
      <c r="F65" s="237">
        <v>16945.050781000002</v>
      </c>
      <c r="G65" s="89">
        <f t="shared" si="1"/>
        <v>-9.0643005675878907E-3</v>
      </c>
      <c r="H65" s="89"/>
      <c r="I65" s="89"/>
    </row>
    <row r="66" spans="2:9">
      <c r="B66" s="86">
        <v>45012</v>
      </c>
      <c r="C66" s="237">
        <v>3401.0500489999999</v>
      </c>
      <c r="D66" s="89">
        <f t="shared" si="0"/>
        <v>1.2699543903214261E-2</v>
      </c>
      <c r="F66" s="237">
        <v>17359.75</v>
      </c>
      <c r="G66" s="89">
        <f t="shared" si="1"/>
        <v>2.4473176525678486E-2</v>
      </c>
      <c r="H66" s="89"/>
      <c r="I66" s="89"/>
    </row>
    <row r="67" spans="2:9">
      <c r="B67" s="86">
        <v>45019</v>
      </c>
      <c r="C67" s="237">
        <v>3496.1000979999999</v>
      </c>
      <c r="D67" s="89">
        <f t="shared" si="0"/>
        <v>2.7947265588739834E-2</v>
      </c>
      <c r="F67" s="237">
        <v>17599.150390999999</v>
      </c>
      <c r="G67" s="89">
        <f t="shared" si="1"/>
        <v>1.3790543700226143E-2</v>
      </c>
      <c r="H67" s="89"/>
      <c r="I67" s="89"/>
    </row>
    <row r="68" spans="2:9">
      <c r="B68" s="86">
        <v>45026</v>
      </c>
      <c r="C68" s="237">
        <v>3501.0500489999999</v>
      </c>
      <c r="D68" s="89">
        <f t="shared" si="0"/>
        <v>1.4158493353297885E-3</v>
      </c>
      <c r="F68" s="237">
        <v>17828</v>
      </c>
      <c r="G68" s="89">
        <f t="shared" si="1"/>
        <v>1.3003446411653519E-2</v>
      </c>
      <c r="H68" s="89"/>
      <c r="I68" s="89"/>
    </row>
    <row r="69" spans="2:9">
      <c r="B69" s="86">
        <v>45033</v>
      </c>
      <c r="C69" s="237">
        <v>3455.8999020000001</v>
      </c>
      <c r="D69" s="89">
        <f t="shared" si="0"/>
        <v>-1.2896172967563291E-2</v>
      </c>
      <c r="F69" s="237">
        <v>17624.050781000002</v>
      </c>
      <c r="G69" s="89">
        <f t="shared" si="1"/>
        <v>-1.1439826060130054E-2</v>
      </c>
      <c r="H69" s="89"/>
      <c r="I69" s="89"/>
    </row>
    <row r="70" spans="2:9">
      <c r="B70" s="86">
        <v>45040</v>
      </c>
      <c r="C70" s="237">
        <v>3511.9499510000001</v>
      </c>
      <c r="D70" s="89">
        <f t="shared" si="0"/>
        <v>1.621865522423338E-2</v>
      </c>
      <c r="F70" s="237">
        <v>18065</v>
      </c>
      <c r="G70" s="89">
        <f t="shared" si="1"/>
        <v>2.5019742877464557E-2</v>
      </c>
      <c r="H70" s="89"/>
      <c r="I70" s="89"/>
    </row>
    <row r="71" spans="2:9">
      <c r="B71" s="86">
        <v>45047</v>
      </c>
      <c r="C71" s="237">
        <v>3598.1999510000001</v>
      </c>
      <c r="D71" s="89">
        <f t="shared" si="0"/>
        <v>2.4559006023260999E-2</v>
      </c>
      <c r="F71" s="237">
        <v>18069</v>
      </c>
      <c r="G71" s="89">
        <f t="shared" si="1"/>
        <v>2.2142264046509652E-4</v>
      </c>
      <c r="H71" s="89"/>
      <c r="I71" s="89"/>
    </row>
    <row r="72" spans="2:9">
      <c r="B72" s="86">
        <v>45054</v>
      </c>
      <c r="C72" s="237">
        <v>3677.5500489999999</v>
      </c>
      <c r="D72" s="89">
        <f t="shared" si="0"/>
        <v>2.20527205493255E-2</v>
      </c>
      <c r="F72" s="237">
        <v>18314.800781000002</v>
      </c>
      <c r="G72" s="89">
        <f t="shared" si="1"/>
        <v>1.3603452376999448E-2</v>
      </c>
      <c r="H72" s="89"/>
      <c r="I72" s="89"/>
    </row>
    <row r="73" spans="2:9">
      <c r="B73" s="86">
        <v>45061</v>
      </c>
      <c r="C73" s="237">
        <v>3395.25</v>
      </c>
      <c r="D73" s="89">
        <f t="shared" si="0"/>
        <v>-7.6763074666179709E-2</v>
      </c>
      <c r="F73" s="237">
        <v>18203.400390999999</v>
      </c>
      <c r="G73" s="89">
        <f t="shared" si="1"/>
        <v>-6.0825335384249168E-3</v>
      </c>
      <c r="H73" s="89"/>
      <c r="I73" s="89"/>
    </row>
    <row r="74" spans="2:9">
      <c r="B74" s="86">
        <v>45068</v>
      </c>
      <c r="C74" s="237">
        <v>3501.75</v>
      </c>
      <c r="D74" s="89">
        <f t="shared" si="0"/>
        <v>3.1367351446874414E-2</v>
      </c>
      <c r="F74" s="237">
        <v>18499.349609000001</v>
      </c>
      <c r="G74" s="89">
        <f t="shared" si="1"/>
        <v>1.6257908502980811E-2</v>
      </c>
      <c r="H74" s="89"/>
      <c r="I74" s="89"/>
    </row>
    <row r="75" spans="2:9">
      <c r="B75" s="86">
        <v>45075</v>
      </c>
      <c r="C75" s="237">
        <v>3531.6000979999999</v>
      </c>
      <c r="D75" s="89">
        <f t="shared" si="0"/>
        <v>8.5243372599415057E-3</v>
      </c>
      <c r="F75" s="237">
        <v>18534.099609000001</v>
      </c>
      <c r="G75" s="89">
        <f t="shared" si="1"/>
        <v>1.8784444174779757E-3</v>
      </c>
      <c r="H75" s="89"/>
      <c r="I75" s="89"/>
    </row>
    <row r="76" spans="2:9">
      <c r="B76" s="86">
        <v>45082</v>
      </c>
      <c r="C76" s="237">
        <v>3632.1000979999999</v>
      </c>
      <c r="D76" s="89">
        <f t="shared" ref="D76:D115" si="2">C76/C75-1</f>
        <v>2.8457355649331495E-2</v>
      </c>
      <c r="F76" s="237">
        <v>18563.400390999999</v>
      </c>
      <c r="G76" s="89">
        <f t="shared" ref="G76:G115" si="3">F76/F75-1</f>
        <v>1.5809120819534339E-3</v>
      </c>
      <c r="H76" s="89"/>
      <c r="I76" s="89"/>
    </row>
    <row r="77" spans="2:9">
      <c r="B77" s="86">
        <v>45089</v>
      </c>
      <c r="C77" s="237">
        <v>4085.6000979999999</v>
      </c>
      <c r="D77" s="89">
        <f t="shared" si="2"/>
        <v>0.12485889368790182</v>
      </c>
      <c r="F77" s="237">
        <v>18826</v>
      </c>
      <c r="G77" s="89">
        <f t="shared" si="3"/>
        <v>1.4146094113625551E-2</v>
      </c>
      <c r="H77" s="89"/>
      <c r="I77" s="89"/>
    </row>
    <row r="78" spans="2:9">
      <c r="B78" s="86">
        <v>45096</v>
      </c>
      <c r="C78" s="237">
        <v>3744.0500489999999</v>
      </c>
      <c r="D78" s="89">
        <f t="shared" si="2"/>
        <v>-8.359850225360943E-2</v>
      </c>
      <c r="F78" s="237">
        <v>18665.5</v>
      </c>
      <c r="G78" s="89">
        <f t="shared" si="3"/>
        <v>-8.5254435355359703E-3</v>
      </c>
      <c r="H78" s="89"/>
      <c r="I78" s="89"/>
    </row>
    <row r="79" spans="2:9">
      <c r="B79" s="86">
        <v>45103</v>
      </c>
      <c r="C79" s="237">
        <v>3889.1999510000001</v>
      </c>
      <c r="D79" s="89">
        <f t="shared" si="2"/>
        <v>3.8768152161525737E-2</v>
      </c>
      <c r="F79" s="237">
        <v>19189.050781000002</v>
      </c>
      <c r="G79" s="89">
        <f t="shared" si="3"/>
        <v>2.804911633762841E-2</v>
      </c>
      <c r="H79" s="89"/>
      <c r="I79" s="89"/>
    </row>
    <row r="80" spans="2:9">
      <c r="B80" s="86">
        <v>45110</v>
      </c>
      <c r="C80" s="237">
        <v>3808.9499510000001</v>
      </c>
      <c r="D80" s="89">
        <f t="shared" si="2"/>
        <v>-2.0634063820597848E-2</v>
      </c>
      <c r="F80" s="237">
        <v>19331.800781000002</v>
      </c>
      <c r="G80" s="89">
        <f t="shared" si="3"/>
        <v>7.4391381642151533E-3</v>
      </c>
      <c r="H80" s="89"/>
      <c r="I80" s="89"/>
    </row>
    <row r="81" spans="2:9">
      <c r="B81" s="86">
        <v>45117</v>
      </c>
      <c r="C81" s="237">
        <v>3838.75</v>
      </c>
      <c r="D81" s="89">
        <f t="shared" si="2"/>
        <v>7.8236914066502905E-3</v>
      </c>
      <c r="F81" s="237">
        <v>19564.5</v>
      </c>
      <c r="G81" s="89">
        <f t="shared" si="3"/>
        <v>1.2037120681933855E-2</v>
      </c>
      <c r="H81" s="89"/>
      <c r="I81" s="89"/>
    </row>
    <row r="82" spans="2:9">
      <c r="B82" s="86">
        <v>45124</v>
      </c>
      <c r="C82" s="237">
        <v>3675.6999510000001</v>
      </c>
      <c r="D82" s="89">
        <f t="shared" si="2"/>
        <v>-4.2474776685118787E-2</v>
      </c>
      <c r="F82" s="237">
        <v>19745</v>
      </c>
      <c r="G82" s="89">
        <f t="shared" si="3"/>
        <v>9.225893838329613E-3</v>
      </c>
      <c r="H82" s="89"/>
      <c r="I82" s="89"/>
    </row>
    <row r="83" spans="2:9">
      <c r="B83" s="86">
        <v>45131</v>
      </c>
      <c r="C83" s="237">
        <v>3713.8999020000001</v>
      </c>
      <c r="D83" s="89">
        <f t="shared" si="2"/>
        <v>1.039256509215547E-2</v>
      </c>
      <c r="F83" s="237">
        <v>19646.050781000002</v>
      </c>
      <c r="G83" s="89">
        <f t="shared" si="3"/>
        <v>-5.0113557356291638E-3</v>
      </c>
      <c r="H83" s="89"/>
      <c r="I83" s="89"/>
    </row>
    <row r="84" spans="2:9">
      <c r="B84" s="86">
        <v>45138</v>
      </c>
      <c r="C84" s="237">
        <v>3652.1000979999999</v>
      </c>
      <c r="D84" s="89">
        <f t="shared" si="2"/>
        <v>-1.6640137222524443E-2</v>
      </c>
      <c r="F84" s="237">
        <v>19517</v>
      </c>
      <c r="G84" s="89">
        <f t="shared" si="3"/>
        <v>-6.568789953694365E-3</v>
      </c>
      <c r="H84" s="89"/>
      <c r="I84" s="89"/>
    </row>
    <row r="85" spans="2:9">
      <c r="B85" s="86">
        <v>45145</v>
      </c>
      <c r="C85" s="237">
        <v>3550.0500489999999</v>
      </c>
      <c r="D85" s="89">
        <f t="shared" si="2"/>
        <v>-2.7942840081487841E-2</v>
      </c>
      <c r="F85" s="237">
        <v>19428.300781000002</v>
      </c>
      <c r="G85" s="89">
        <f t="shared" si="3"/>
        <v>-4.5447158374749552E-3</v>
      </c>
      <c r="H85" s="89"/>
      <c r="I85" s="89"/>
    </row>
    <row r="86" spans="2:9">
      <c r="B86" s="86">
        <v>45152</v>
      </c>
      <c r="C86" s="237">
        <v>3540.9499510000001</v>
      </c>
      <c r="D86" s="89">
        <f t="shared" si="2"/>
        <v>-2.5633717481147178E-3</v>
      </c>
      <c r="F86" s="237">
        <v>19310.150390999999</v>
      </c>
      <c r="G86" s="89">
        <f t="shared" si="3"/>
        <v>-6.0813547891717112E-3</v>
      </c>
      <c r="H86" s="89"/>
      <c r="I86" s="89"/>
    </row>
    <row r="87" spans="2:9">
      <c r="B87" s="86">
        <v>45159</v>
      </c>
      <c r="C87" s="237">
        <v>3534.6000979999999</v>
      </c>
      <c r="D87" s="89">
        <f t="shared" si="2"/>
        <v>-1.7932625673533487E-3</v>
      </c>
      <c r="F87" s="237">
        <v>19265.800781000002</v>
      </c>
      <c r="G87" s="89">
        <f t="shared" si="3"/>
        <v>-2.2966993576947203E-3</v>
      </c>
      <c r="H87" s="89"/>
      <c r="I87" s="89"/>
    </row>
    <row r="88" spans="2:9">
      <c r="B88" s="86">
        <v>45166</v>
      </c>
      <c r="C88" s="237">
        <v>3761.0500489999999</v>
      </c>
      <c r="D88" s="89">
        <f t="shared" si="2"/>
        <v>6.406663971070814E-2</v>
      </c>
      <c r="F88" s="237">
        <v>19435.300781000002</v>
      </c>
      <c r="G88" s="89">
        <f t="shared" si="3"/>
        <v>8.797973254616176E-3</v>
      </c>
      <c r="H88" s="89"/>
      <c r="I88" s="89"/>
    </row>
    <row r="89" spans="2:9">
      <c r="B89" s="86">
        <v>45173</v>
      </c>
      <c r="C89" s="237">
        <v>3782.3999020000001</v>
      </c>
      <c r="D89" s="89">
        <f t="shared" si="2"/>
        <v>5.6765671080811764E-3</v>
      </c>
      <c r="F89" s="237">
        <v>19819.949218999998</v>
      </c>
      <c r="G89" s="89">
        <f t="shared" si="3"/>
        <v>1.9791226404688889E-2</v>
      </c>
      <c r="H89" s="89"/>
      <c r="I89" s="89"/>
    </row>
    <row r="90" spans="2:9">
      <c r="B90" s="86">
        <v>45180</v>
      </c>
      <c r="C90" s="237">
        <v>3796</v>
      </c>
      <c r="D90" s="89">
        <f t="shared" si="2"/>
        <v>3.5956266794552327E-3</v>
      </c>
      <c r="F90" s="237">
        <v>20192.349609000001</v>
      </c>
      <c r="G90" s="89">
        <f t="shared" si="3"/>
        <v>1.8789169734249711E-2</v>
      </c>
      <c r="H90" s="89"/>
      <c r="I90" s="89"/>
    </row>
    <row r="91" spans="2:9">
      <c r="B91" s="86">
        <v>45187</v>
      </c>
      <c r="C91" s="237">
        <v>3689.1000979999999</v>
      </c>
      <c r="D91" s="89">
        <f t="shared" si="2"/>
        <v>-2.8161196522655474E-2</v>
      </c>
      <c r="F91" s="237">
        <v>19674.25</v>
      </c>
      <c r="G91" s="89">
        <f t="shared" si="3"/>
        <v>-2.5658213087251469E-2</v>
      </c>
      <c r="H91" s="89"/>
      <c r="I91" s="89"/>
    </row>
    <row r="92" spans="2:9">
      <c r="B92" s="86">
        <v>45194</v>
      </c>
      <c r="C92" s="237">
        <v>3675.6000979999999</v>
      </c>
      <c r="D92" s="89">
        <f t="shared" si="2"/>
        <v>-3.6594290318440192E-3</v>
      </c>
      <c r="F92" s="237">
        <v>19638.300781000002</v>
      </c>
      <c r="G92" s="89">
        <f t="shared" si="3"/>
        <v>-1.8272218254824502E-3</v>
      </c>
      <c r="H92" s="89"/>
      <c r="I92" s="89"/>
    </row>
    <row r="93" spans="2:9">
      <c r="B93" s="86">
        <v>45201</v>
      </c>
      <c r="C93" s="237">
        <v>3833.9499510000001</v>
      </c>
      <c r="D93" s="89">
        <f t="shared" si="2"/>
        <v>4.308136053379763E-2</v>
      </c>
      <c r="F93" s="237">
        <v>19653.5</v>
      </c>
      <c r="G93" s="89">
        <f t="shared" si="3"/>
        <v>7.7395794928980521E-4</v>
      </c>
      <c r="H93" s="89"/>
      <c r="I93" s="89"/>
    </row>
    <row r="94" spans="2:9">
      <c r="B94" s="86">
        <v>45208</v>
      </c>
      <c r="C94" s="237">
        <v>3935.8500979999999</v>
      </c>
      <c r="D94" s="89">
        <f t="shared" si="2"/>
        <v>2.6578371732114414E-2</v>
      </c>
      <c r="F94" s="237">
        <v>19751.050781000002</v>
      </c>
      <c r="G94" s="89">
        <f t="shared" si="3"/>
        <v>4.96353224616497E-3</v>
      </c>
      <c r="H94" s="89"/>
      <c r="I94" s="89"/>
    </row>
    <row r="95" spans="2:9">
      <c r="B95" s="86">
        <v>45215</v>
      </c>
      <c r="C95" s="237">
        <v>3749.5</v>
      </c>
      <c r="D95" s="89">
        <f t="shared" si="2"/>
        <v>-4.7346848421563004E-2</v>
      </c>
      <c r="F95" s="237">
        <v>19542.650390999999</v>
      </c>
      <c r="G95" s="89">
        <f t="shared" si="3"/>
        <v>-1.0551357105540893E-2</v>
      </c>
      <c r="H95" s="89"/>
      <c r="I95" s="89"/>
    </row>
    <row r="96" spans="2:9">
      <c r="B96" s="86">
        <v>45222</v>
      </c>
      <c r="C96" s="237">
        <v>3665.4499510000001</v>
      </c>
      <c r="D96" s="89">
        <f t="shared" si="2"/>
        <v>-2.2416335244699326E-2</v>
      </c>
      <c r="F96" s="237">
        <v>19047.25</v>
      </c>
      <c r="G96" s="89">
        <f t="shared" si="3"/>
        <v>-2.5349703396840506E-2</v>
      </c>
      <c r="H96" s="89"/>
      <c r="I96" s="89"/>
    </row>
    <row r="97" spans="2:9">
      <c r="B97" s="86">
        <v>45229</v>
      </c>
      <c r="C97" s="237">
        <v>3649.6999510000001</v>
      </c>
      <c r="D97" s="89">
        <f t="shared" si="2"/>
        <v>-4.2968803859135818E-3</v>
      </c>
      <c r="F97" s="237">
        <v>19230.599609000001</v>
      </c>
      <c r="G97" s="89">
        <f t="shared" si="3"/>
        <v>9.6260409770438926E-3</v>
      </c>
      <c r="H97" s="89"/>
      <c r="I97" s="89"/>
    </row>
    <row r="98" spans="2:9">
      <c r="B98" s="86">
        <v>45236</v>
      </c>
      <c r="C98" s="237">
        <v>3798.3999020000001</v>
      </c>
      <c r="D98" s="89">
        <f t="shared" si="2"/>
        <v>4.0743061894514598E-2</v>
      </c>
      <c r="F98" s="237">
        <v>19425.349609000001</v>
      </c>
      <c r="G98" s="89">
        <f t="shared" si="3"/>
        <v>1.0127089324289962E-2</v>
      </c>
      <c r="H98" s="89"/>
      <c r="I98" s="89"/>
    </row>
    <row r="99" spans="2:9">
      <c r="B99" s="86">
        <v>45243</v>
      </c>
      <c r="C99" s="237">
        <v>3810.8999020000001</v>
      </c>
      <c r="D99" s="89">
        <f t="shared" si="2"/>
        <v>3.2908593940881303E-3</v>
      </c>
      <c r="F99" s="237">
        <v>19731.800781000002</v>
      </c>
      <c r="G99" s="89">
        <f t="shared" si="3"/>
        <v>1.5775838178892609E-2</v>
      </c>
      <c r="H99" s="89"/>
      <c r="I99" s="89"/>
    </row>
    <row r="100" spans="2:9">
      <c r="B100" s="86">
        <v>45250</v>
      </c>
      <c r="C100" s="237">
        <v>3842.8999020000001</v>
      </c>
      <c r="D100" s="89">
        <f t="shared" si="2"/>
        <v>8.396966811751172E-3</v>
      </c>
      <c r="F100" s="237">
        <v>19794.699218999998</v>
      </c>
      <c r="G100" s="89">
        <f t="shared" si="3"/>
        <v>3.1876684088845142E-3</v>
      </c>
      <c r="H100" s="89"/>
      <c r="I100" s="89"/>
    </row>
    <row r="101" spans="2:9">
      <c r="B101" s="86">
        <v>45257</v>
      </c>
      <c r="C101" s="237">
        <v>3988.3999020000001</v>
      </c>
      <c r="D101" s="89">
        <f t="shared" si="2"/>
        <v>3.7862032244003085E-2</v>
      </c>
      <c r="F101" s="237">
        <v>20267.900390999999</v>
      </c>
      <c r="G101" s="89">
        <f t="shared" si="3"/>
        <v>2.390544896715574E-2</v>
      </c>
      <c r="H101" s="89"/>
      <c r="I101" s="89"/>
    </row>
    <row r="102" spans="2:9">
      <c r="B102" s="86">
        <v>45264</v>
      </c>
      <c r="C102" s="237">
        <v>4070.6499020000001</v>
      </c>
      <c r="D102" s="89">
        <f t="shared" si="2"/>
        <v>2.0622305190298285E-2</v>
      </c>
      <c r="F102" s="237">
        <v>20969.400390999999</v>
      </c>
      <c r="G102" s="89">
        <f t="shared" si="3"/>
        <v>3.4611379889724736E-2</v>
      </c>
      <c r="H102" s="89"/>
      <c r="I102" s="89"/>
    </row>
    <row r="103" spans="2:9">
      <c r="B103" s="86">
        <v>45271</v>
      </c>
      <c r="C103" s="237">
        <v>4045.6499020000001</v>
      </c>
      <c r="D103" s="89">
        <f t="shared" si="2"/>
        <v>-6.1415254570816868E-3</v>
      </c>
      <c r="F103" s="237">
        <v>21456.650390999999</v>
      </c>
      <c r="G103" s="89">
        <f t="shared" si="3"/>
        <v>2.3236239039487572E-2</v>
      </c>
      <c r="H103" s="89"/>
      <c r="I103" s="89"/>
    </row>
    <row r="104" spans="2:9">
      <c r="B104" s="86">
        <v>45278</v>
      </c>
      <c r="C104" s="237">
        <v>4007.9499510000001</v>
      </c>
      <c r="D104" s="89">
        <f t="shared" si="2"/>
        <v>-9.3186390105982619E-3</v>
      </c>
      <c r="F104" s="237">
        <v>21349.400390999999</v>
      </c>
      <c r="G104" s="89">
        <f t="shared" si="3"/>
        <v>-4.9984502727874469E-3</v>
      </c>
      <c r="H104" s="89"/>
      <c r="I104" s="89"/>
    </row>
    <row r="105" spans="2:9">
      <c r="B105" s="86">
        <v>45285</v>
      </c>
      <c r="C105" s="237">
        <v>4082.6499020000001</v>
      </c>
      <c r="D105" s="89">
        <f t="shared" si="2"/>
        <v>1.8637945062503158E-2</v>
      </c>
      <c r="F105" s="237">
        <v>21731.400390999999</v>
      </c>
      <c r="G105" s="89">
        <f t="shared" si="3"/>
        <v>1.7892774176507364E-2</v>
      </c>
      <c r="H105" s="89"/>
      <c r="I105" s="89"/>
    </row>
    <row r="106" spans="2:9">
      <c r="B106" s="86">
        <v>45292</v>
      </c>
      <c r="C106" s="237">
        <v>3863.5</v>
      </c>
      <c r="D106" s="89">
        <f t="shared" si="2"/>
        <v>-5.3678347950590455E-2</v>
      </c>
      <c r="F106" s="237">
        <v>21710.800781000002</v>
      </c>
      <c r="G106" s="89">
        <f t="shared" si="3"/>
        <v>-9.4791912299074799E-4</v>
      </c>
      <c r="H106" s="89"/>
      <c r="I106" s="89"/>
    </row>
    <row r="107" spans="2:9">
      <c r="B107" s="86">
        <v>45299</v>
      </c>
      <c r="C107" s="237">
        <v>3841</v>
      </c>
      <c r="D107" s="89">
        <f t="shared" si="2"/>
        <v>-5.8237349553513784E-3</v>
      </c>
      <c r="F107" s="237">
        <v>21894.550781000002</v>
      </c>
      <c r="G107" s="89">
        <f t="shared" si="3"/>
        <v>8.4635293674109047E-3</v>
      </c>
      <c r="H107" s="89"/>
      <c r="I107" s="89"/>
    </row>
    <row r="108" spans="2:9">
      <c r="B108" s="86">
        <v>45306</v>
      </c>
      <c r="C108" s="237">
        <v>3731.6999510000001</v>
      </c>
      <c r="D108" s="89">
        <f t="shared" si="2"/>
        <v>-2.8456143972923731E-2</v>
      </c>
      <c r="F108" s="237">
        <v>21622.400390999999</v>
      </c>
      <c r="G108" s="89">
        <f t="shared" si="3"/>
        <v>-1.2430051327482539E-2</v>
      </c>
      <c r="H108" s="89"/>
      <c r="I108" s="89"/>
    </row>
    <row r="109" spans="2:9">
      <c r="B109" s="86">
        <v>45313</v>
      </c>
      <c r="C109" s="237">
        <v>3734.25</v>
      </c>
      <c r="D109" s="89">
        <f t="shared" si="2"/>
        <v>6.8334781292289648E-4</v>
      </c>
      <c r="F109" s="237">
        <v>21352.599609000001</v>
      </c>
      <c r="G109" s="89">
        <f t="shared" si="3"/>
        <v>-1.2477836739731241E-2</v>
      </c>
      <c r="H109" s="89"/>
      <c r="I109" s="89"/>
    </row>
    <row r="110" spans="2:9">
      <c r="B110" s="86">
        <v>45320</v>
      </c>
      <c r="C110" s="237">
        <v>3784.3000489999999</v>
      </c>
      <c r="D110" s="89">
        <f t="shared" si="2"/>
        <v>1.3402972216643327E-2</v>
      </c>
      <c r="F110" s="237">
        <v>21853.800781000002</v>
      </c>
      <c r="G110" s="89">
        <f t="shared" si="3"/>
        <v>2.3472606669810325E-2</v>
      </c>
      <c r="H110" s="89"/>
      <c r="I110" s="89"/>
    </row>
    <row r="111" spans="2:9">
      <c r="B111" s="86">
        <v>45327</v>
      </c>
      <c r="C111" s="237">
        <v>3719.1999510000001</v>
      </c>
      <c r="D111" s="89">
        <f t="shared" si="2"/>
        <v>-1.7202678740339983E-2</v>
      </c>
      <c r="F111" s="237">
        <v>21782.5</v>
      </c>
      <c r="G111" s="89">
        <f t="shared" si="3"/>
        <v>-3.2626261085894059E-3</v>
      </c>
      <c r="H111" s="89"/>
      <c r="I111" s="89"/>
    </row>
    <row r="112" spans="2:9">
      <c r="B112" s="86">
        <v>45334</v>
      </c>
      <c r="C112" s="237">
        <v>3693.3000489999999</v>
      </c>
      <c r="D112" s="89">
        <f t="shared" si="2"/>
        <v>-6.9638369383814291E-3</v>
      </c>
      <c r="F112" s="237">
        <v>22040.699218999998</v>
      </c>
      <c r="G112" s="89">
        <f t="shared" si="3"/>
        <v>1.1853516308963474E-2</v>
      </c>
      <c r="H112" s="89"/>
      <c r="I112" s="89"/>
    </row>
    <row r="113" spans="2:9">
      <c r="B113" s="86">
        <v>45341</v>
      </c>
      <c r="C113" s="237">
        <v>3840.5500489999999</v>
      </c>
      <c r="D113" s="89">
        <f t="shared" si="2"/>
        <v>3.9869492878020996E-2</v>
      </c>
      <c r="F113" s="237">
        <v>22212.699218999998</v>
      </c>
      <c r="G113" s="89">
        <f t="shared" si="3"/>
        <v>7.803745166656384E-3</v>
      </c>
      <c r="H113" s="89"/>
      <c r="I113" s="89"/>
    </row>
    <row r="114" spans="2:9">
      <c r="B114" s="86">
        <v>45348</v>
      </c>
      <c r="C114" s="237">
        <v>3884.1499020000001</v>
      </c>
      <c r="D114" s="89">
        <f t="shared" si="2"/>
        <v>1.1352502231119832E-2</v>
      </c>
      <c r="F114" s="237">
        <v>22338.75</v>
      </c>
      <c r="G114" s="89">
        <f t="shared" si="3"/>
        <v>5.6747169606556902E-3</v>
      </c>
      <c r="H114" s="89"/>
      <c r="I114" s="89"/>
    </row>
    <row r="115" spans="2:9">
      <c r="B115" s="86">
        <v>45353</v>
      </c>
      <c r="C115" s="237">
        <v>3868.25</v>
      </c>
      <c r="D115" s="89">
        <f t="shared" si="2"/>
        <v>-4.0935345960291247E-3</v>
      </c>
      <c r="F115" s="237">
        <v>22378.400390999999</v>
      </c>
      <c r="G115" s="89">
        <f t="shared" si="3"/>
        <v>1.7749601477252686E-3</v>
      </c>
      <c r="H115" s="89"/>
      <c r="I115" s="89"/>
    </row>
  </sheetData>
  <mergeCells count="4">
    <mergeCell ref="B7:D7"/>
    <mergeCell ref="F7:G7"/>
    <mergeCell ref="I7:J7"/>
    <mergeCell ref="B2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7"/>
  <sheetViews>
    <sheetView showGridLines="0" workbookViewId="0">
      <selection activeCell="F457" sqref="F457"/>
    </sheetView>
  </sheetViews>
  <sheetFormatPr defaultRowHeight="15" outlineLevelRow="1"/>
  <cols>
    <col min="1" max="1" width="1.85546875" customWidth="1"/>
    <col min="3" max="3" width="12.28515625" bestFit="1" customWidth="1"/>
    <col min="4" max="4" width="15.7109375" bestFit="1" customWidth="1"/>
    <col min="6" max="6" width="14.140625" bestFit="1" customWidth="1"/>
    <col min="7" max="7" width="10.7109375" bestFit="1" customWidth="1"/>
    <col min="9" max="9" width="18.85546875" bestFit="1" customWidth="1"/>
    <col min="12" max="12" width="18" bestFit="1" customWidth="1"/>
  </cols>
  <sheetData>
    <row r="2" spans="1:13">
      <c r="B2" s="247" t="s">
        <v>313</v>
      </c>
      <c r="C2" s="247"/>
      <c r="D2" s="247"/>
      <c r="E2" s="247"/>
      <c r="F2" s="247"/>
      <c r="G2" s="247"/>
      <c r="H2" s="247"/>
      <c r="I2" s="247"/>
      <c r="J2" s="247"/>
    </row>
    <row r="3" spans="1:13">
      <c r="B3" s="247"/>
      <c r="C3" s="247"/>
      <c r="D3" s="247"/>
      <c r="E3" s="247"/>
      <c r="F3" s="247"/>
      <c r="G3" s="247"/>
      <c r="H3" s="247"/>
      <c r="I3" s="247"/>
      <c r="J3" s="247"/>
    </row>
    <row r="4" spans="1:13" ht="15.75" thickBot="1"/>
    <row r="5" spans="1:13" ht="15.75" thickBot="1">
      <c r="C5" s="162" t="s">
        <v>158</v>
      </c>
      <c r="D5" s="163" t="s">
        <v>159</v>
      </c>
      <c r="E5" s="163" t="s">
        <v>160</v>
      </c>
      <c r="F5" s="163" t="s">
        <v>161</v>
      </c>
      <c r="G5" s="163" t="s">
        <v>162</v>
      </c>
      <c r="H5" s="164" t="s">
        <v>163</v>
      </c>
    </row>
    <row r="6" spans="1:13">
      <c r="C6" s="67">
        <v>1</v>
      </c>
      <c r="D6" s="66" t="s">
        <v>164</v>
      </c>
      <c r="E6" s="66">
        <v>3834.5</v>
      </c>
      <c r="F6" s="66">
        <v>249523.59</v>
      </c>
      <c r="G6" s="66">
        <v>630.38</v>
      </c>
      <c r="H6" s="68">
        <v>0.04</v>
      </c>
    </row>
    <row r="7" spans="1:13">
      <c r="C7" s="69">
        <v>2</v>
      </c>
      <c r="D7" s="65" t="s">
        <v>165</v>
      </c>
      <c r="E7" s="65">
        <v>3852.3</v>
      </c>
      <c r="F7" s="65">
        <v>136944.43</v>
      </c>
      <c r="G7" s="65">
        <v>4839.33</v>
      </c>
      <c r="H7" s="70">
        <v>1.66</v>
      </c>
    </row>
    <row r="8" spans="1:13">
      <c r="C8" s="69">
        <v>3</v>
      </c>
      <c r="D8" s="65" t="s">
        <v>166</v>
      </c>
      <c r="E8" s="65">
        <v>999.95</v>
      </c>
      <c r="F8" s="65">
        <v>24281.89</v>
      </c>
      <c r="G8" s="65">
        <v>365.02</v>
      </c>
      <c r="H8" s="70">
        <v>0.27</v>
      </c>
    </row>
    <row r="9" spans="1:13">
      <c r="C9" s="69">
        <v>4</v>
      </c>
      <c r="D9" s="65" t="s">
        <v>167</v>
      </c>
      <c r="E9" s="65">
        <v>229</v>
      </c>
      <c r="F9" s="65">
        <v>21735.47</v>
      </c>
      <c r="G9" s="65">
        <v>10174.77</v>
      </c>
      <c r="H9" s="70">
        <v>3.46</v>
      </c>
    </row>
    <row r="10" spans="1:13" ht="15.75" thickBot="1">
      <c r="C10" s="71">
        <v>5</v>
      </c>
      <c r="D10" s="72" t="s">
        <v>168</v>
      </c>
      <c r="E10" s="72">
        <v>1133.8499999999999</v>
      </c>
      <c r="F10" s="72">
        <v>30829.71</v>
      </c>
      <c r="G10" s="72">
        <v>1059.75</v>
      </c>
      <c r="H10" s="73">
        <v>0.63</v>
      </c>
    </row>
    <row r="14" spans="1:13">
      <c r="A14" t="s">
        <v>59</v>
      </c>
      <c r="B14" s="246" t="s">
        <v>213</v>
      </c>
      <c r="C14" s="246"/>
      <c r="D14" s="246"/>
      <c r="E14" s="246"/>
      <c r="F14" s="246"/>
      <c r="G14" s="246"/>
      <c r="H14" s="246"/>
      <c r="I14" s="246"/>
      <c r="J14" s="246"/>
      <c r="K14" s="161"/>
      <c r="L14" s="161"/>
      <c r="M14" s="161"/>
    </row>
    <row r="15" spans="1:13" hidden="1" outlineLevel="1"/>
    <row r="16" spans="1:13" hidden="1" outlineLevel="1">
      <c r="B16" s="246" t="s">
        <v>212</v>
      </c>
      <c r="C16" s="246"/>
      <c r="D16" s="246"/>
      <c r="F16" s="246" t="s">
        <v>178</v>
      </c>
      <c r="G16" s="246"/>
      <c r="H16" s="80"/>
      <c r="I16" s="246" t="s">
        <v>179</v>
      </c>
      <c r="J16" s="246"/>
    </row>
    <row r="17" spans="2:17" hidden="1" outlineLevel="1"/>
    <row r="18" spans="2:17" hidden="1" outlineLevel="1">
      <c r="B18" s="81" t="s">
        <v>180</v>
      </c>
      <c r="C18" s="82" t="s">
        <v>181</v>
      </c>
      <c r="D18" s="82" t="s">
        <v>182</v>
      </c>
      <c r="F18" s="82" t="s">
        <v>181</v>
      </c>
      <c r="G18" s="82" t="s">
        <v>182</v>
      </c>
      <c r="H18" s="83"/>
      <c r="I18" s="84" t="s">
        <v>183</v>
      </c>
      <c r="J18" s="85">
        <f>M38</f>
        <v>0.75044131776338374</v>
      </c>
    </row>
    <row r="19" spans="2:17" hidden="1" outlineLevel="1">
      <c r="B19" s="86">
        <v>44620</v>
      </c>
      <c r="C19" s="237">
        <v>512.78552200000001</v>
      </c>
      <c r="D19" s="87"/>
      <c r="F19" s="237">
        <v>16245.349609000001</v>
      </c>
      <c r="G19" s="87"/>
      <c r="H19" s="87"/>
      <c r="I19" s="88" t="s">
        <v>184</v>
      </c>
      <c r="J19" s="52">
        <v>0.75</v>
      </c>
    </row>
    <row r="20" spans="2:17" hidden="1" outlineLevel="1">
      <c r="B20" s="86">
        <v>44627</v>
      </c>
      <c r="C20" s="237">
        <v>542.22863800000005</v>
      </c>
      <c r="D20" s="89">
        <f>C20/C19-1</f>
        <v>5.7417993950305002E-2</v>
      </c>
      <c r="F20" s="237">
        <v>16630.449218999998</v>
      </c>
      <c r="G20" s="89">
        <f>F20/F19-1</f>
        <v>2.3705221449137115E-2</v>
      </c>
      <c r="H20" s="89"/>
      <c r="I20" s="90"/>
    </row>
    <row r="21" spans="2:17" hidden="1" outlineLevel="1">
      <c r="B21" s="86">
        <v>44634</v>
      </c>
      <c r="C21" s="237">
        <v>566.28716999999995</v>
      </c>
      <c r="D21" s="89">
        <f>C21/C20-1</f>
        <v>4.4369718443384665E-2</v>
      </c>
      <c r="F21" s="237">
        <v>17287.050781000002</v>
      </c>
      <c r="G21" s="89">
        <f t="shared" ref="G21:G84" si="0">F21/F20-1</f>
        <v>3.9481889716475482E-2</v>
      </c>
      <c r="H21" s="89"/>
      <c r="I21" s="90" t="s">
        <v>185</v>
      </c>
      <c r="J21" s="85">
        <v>1</v>
      </c>
      <c r="L21" t="s">
        <v>188</v>
      </c>
    </row>
    <row r="22" spans="2:17" ht="15.75" hidden="1" outlineLevel="1" thickBot="1">
      <c r="B22" s="86">
        <v>44641</v>
      </c>
      <c r="C22" s="237">
        <v>577.49078399999996</v>
      </c>
      <c r="D22" s="89">
        <f t="shared" ref="D22:D85" si="1">C22/C21-1</f>
        <v>1.978433309728711E-2</v>
      </c>
      <c r="F22" s="237">
        <v>17153</v>
      </c>
      <c r="G22" s="89">
        <f t="shared" si="0"/>
        <v>-7.7544043051771538E-3</v>
      </c>
      <c r="H22" s="89"/>
      <c r="I22" s="90" t="s">
        <v>186</v>
      </c>
      <c r="J22" s="52">
        <v>0.25</v>
      </c>
    </row>
    <row r="23" spans="2:17" hidden="1" outlineLevel="1">
      <c r="B23" s="86">
        <v>44648</v>
      </c>
      <c r="C23" s="237">
        <v>600.624146</v>
      </c>
      <c r="D23" s="89">
        <f t="shared" si="1"/>
        <v>4.0058408966748171E-2</v>
      </c>
      <c r="F23" s="237">
        <v>17670.449218999998</v>
      </c>
      <c r="G23" s="89">
        <f t="shared" si="0"/>
        <v>3.0166689150585846E-2</v>
      </c>
      <c r="H23" s="89"/>
      <c r="I23" s="90"/>
      <c r="L23" s="96" t="s">
        <v>189</v>
      </c>
      <c r="M23" s="96"/>
    </row>
    <row r="24" spans="2:17" hidden="1" outlineLevel="1">
      <c r="B24" s="86">
        <v>44655</v>
      </c>
      <c r="C24" s="237">
        <v>586.95208700000001</v>
      </c>
      <c r="D24" s="89">
        <f t="shared" si="1"/>
        <v>-2.2763085851696618E-2</v>
      </c>
      <c r="F24" s="237">
        <v>17784.349609000001</v>
      </c>
      <c r="G24" s="89">
        <f t="shared" si="0"/>
        <v>6.4458117950692007E-3</v>
      </c>
      <c r="H24" s="89"/>
      <c r="I24" s="91" t="s">
        <v>187</v>
      </c>
      <c r="J24" s="92">
        <f>(J18*J19)+(J21*J22)</f>
        <v>0.81283098832253775</v>
      </c>
      <c r="L24" s="93" t="s">
        <v>190</v>
      </c>
      <c r="M24" s="93">
        <v>0.27753906247201476</v>
      </c>
    </row>
    <row r="25" spans="2:17" hidden="1" outlineLevel="1">
      <c r="B25" s="86">
        <v>44662</v>
      </c>
      <c r="C25" s="237">
        <v>595.12561000000005</v>
      </c>
      <c r="D25" s="89">
        <f>C25/C24-1</f>
        <v>1.3925366620257007E-2</v>
      </c>
      <c r="F25" s="237">
        <v>17475.650390999999</v>
      </c>
      <c r="G25" s="89">
        <f>F25/F24-1</f>
        <v>-1.7357914390289553E-2</v>
      </c>
      <c r="H25" s="89"/>
      <c r="I25" s="89"/>
      <c r="L25" s="93" t="s">
        <v>191</v>
      </c>
      <c r="M25" s="93">
        <v>7.7027931197844915E-2</v>
      </c>
    </row>
    <row r="26" spans="2:17" hidden="1" outlineLevel="1">
      <c r="B26" s="86">
        <v>44669</v>
      </c>
      <c r="C26" s="237">
        <v>562.43188499999997</v>
      </c>
      <c r="D26" s="89">
        <f t="shared" si="1"/>
        <v>-5.493583951125891E-2</v>
      </c>
      <c r="F26" s="237">
        <v>17171.949218999998</v>
      </c>
      <c r="G26" s="89">
        <f t="shared" si="0"/>
        <v>-1.7378533285170805E-2</v>
      </c>
      <c r="H26" s="89"/>
      <c r="I26" s="89"/>
      <c r="L26" s="93" t="s">
        <v>192</v>
      </c>
      <c r="M26" s="93">
        <v>6.7979185425274771E-2</v>
      </c>
    </row>
    <row r="27" spans="2:17" hidden="1" outlineLevel="1">
      <c r="B27" s="86">
        <v>44676</v>
      </c>
      <c r="C27" s="237">
        <v>564.80950900000005</v>
      </c>
      <c r="D27" s="89">
        <f t="shared" si="1"/>
        <v>4.2273990209500401E-3</v>
      </c>
      <c r="F27" s="237">
        <v>17102.550781000002</v>
      </c>
      <c r="G27" s="89">
        <f t="shared" si="0"/>
        <v>-4.041383835634127E-3</v>
      </c>
      <c r="H27" s="89"/>
      <c r="I27" s="89"/>
      <c r="L27" s="93" t="s">
        <v>193</v>
      </c>
      <c r="M27" s="93">
        <v>4.5726079767977358E-2</v>
      </c>
    </row>
    <row r="28" spans="2:17" ht="15.75" hidden="1" outlineLevel="1" thickBot="1">
      <c r="B28" s="86">
        <v>44683</v>
      </c>
      <c r="C28" s="237">
        <v>537.81237799999997</v>
      </c>
      <c r="D28" s="89">
        <f t="shared" si="1"/>
        <v>-4.7798648163340451E-2</v>
      </c>
      <c r="F28" s="237">
        <v>16411.25</v>
      </c>
      <c r="G28" s="89">
        <f t="shared" si="0"/>
        <v>-4.0420916730619982E-2</v>
      </c>
      <c r="H28" s="89"/>
      <c r="I28" s="89"/>
      <c r="L28" s="94" t="s">
        <v>194</v>
      </c>
      <c r="M28" s="94">
        <v>104</v>
      </c>
    </row>
    <row r="29" spans="2:17" hidden="1" outlineLevel="1">
      <c r="B29" s="86">
        <v>44690</v>
      </c>
      <c r="C29" s="237">
        <v>517.05688499999997</v>
      </c>
      <c r="D29" s="89">
        <f t="shared" si="1"/>
        <v>-3.8592441990987436E-2</v>
      </c>
      <c r="F29" s="237">
        <v>15782.150390999999</v>
      </c>
      <c r="G29" s="89">
        <f t="shared" si="0"/>
        <v>-3.8333436453652281E-2</v>
      </c>
      <c r="H29" s="89"/>
      <c r="I29" s="89"/>
    </row>
    <row r="30" spans="2:17" ht="15.75" hidden="1" outlineLevel="1" thickBot="1">
      <c r="B30" s="86">
        <v>44697</v>
      </c>
      <c r="C30" s="237">
        <v>531.91766399999995</v>
      </c>
      <c r="D30" s="89">
        <f t="shared" si="1"/>
        <v>2.8741091031018628E-2</v>
      </c>
      <c r="F30" s="237">
        <v>16266.150390999999</v>
      </c>
      <c r="G30" s="89">
        <f t="shared" si="0"/>
        <v>3.0667557209187901E-2</v>
      </c>
      <c r="H30" s="89"/>
      <c r="I30" s="89"/>
      <c r="L30" t="s">
        <v>195</v>
      </c>
    </row>
    <row r="31" spans="2:17" hidden="1" outlineLevel="1">
      <c r="B31" s="86">
        <v>44704</v>
      </c>
      <c r="C31" s="237">
        <v>520.27673300000004</v>
      </c>
      <c r="D31" s="89">
        <f t="shared" si="1"/>
        <v>-2.1884836296769294E-2</v>
      </c>
      <c r="F31" s="237">
        <v>16352.450194999999</v>
      </c>
      <c r="G31" s="89">
        <f t="shared" si="0"/>
        <v>5.3054842064996777E-3</v>
      </c>
      <c r="H31" s="89"/>
      <c r="I31" s="89"/>
      <c r="L31" s="95"/>
      <c r="M31" s="95" t="s">
        <v>199</v>
      </c>
      <c r="N31" s="95" t="s">
        <v>200</v>
      </c>
      <c r="O31" s="95" t="s">
        <v>201</v>
      </c>
      <c r="P31" s="95" t="s">
        <v>202</v>
      </c>
      <c r="Q31" s="95" t="s">
        <v>203</v>
      </c>
    </row>
    <row r="32" spans="2:17" hidden="1" outlineLevel="1">
      <c r="B32" s="86">
        <v>44711</v>
      </c>
      <c r="C32" s="237">
        <v>573.18109100000004</v>
      </c>
      <c r="D32" s="89">
        <f t="shared" si="1"/>
        <v>0.10168503537520301</v>
      </c>
      <c r="F32" s="237">
        <v>16584.300781000002</v>
      </c>
      <c r="G32" s="89">
        <f t="shared" si="0"/>
        <v>1.4178339223494207E-2</v>
      </c>
      <c r="H32" s="89"/>
      <c r="I32" s="89"/>
      <c r="L32" s="93" t="s">
        <v>196</v>
      </c>
      <c r="M32" s="93">
        <v>1</v>
      </c>
      <c r="N32" s="93">
        <v>1.7798679644298432E-2</v>
      </c>
      <c r="O32" s="93">
        <v>1.7798679644298432E-2</v>
      </c>
      <c r="P32" s="93">
        <v>8.5125533564378593</v>
      </c>
      <c r="Q32" s="93">
        <v>4.3389368529720453E-3</v>
      </c>
    </row>
    <row r="33" spans="2:20" hidden="1" outlineLevel="1">
      <c r="B33" s="86">
        <v>44718</v>
      </c>
      <c r="C33" s="237">
        <v>568.77239999999995</v>
      </c>
      <c r="D33" s="89">
        <f t="shared" si="1"/>
        <v>-7.6916197502406858E-3</v>
      </c>
      <c r="F33" s="237">
        <v>16201.799805000001</v>
      </c>
      <c r="G33" s="89">
        <f t="shared" si="0"/>
        <v>-2.3064039964724836E-2</v>
      </c>
      <c r="H33" s="89"/>
      <c r="I33" s="89"/>
      <c r="L33" s="93" t="s">
        <v>197</v>
      </c>
      <c r="M33" s="93">
        <v>102</v>
      </c>
      <c r="N33" s="93">
        <v>0.2132691858366377</v>
      </c>
      <c r="O33" s="93">
        <v>2.0908743709474285E-3</v>
      </c>
      <c r="P33" s="93"/>
      <c r="Q33" s="93"/>
    </row>
    <row r="34" spans="2:20" ht="15.75" hidden="1" outlineLevel="1" thickBot="1">
      <c r="B34" s="86">
        <v>44725</v>
      </c>
      <c r="C34" s="237">
        <v>535.48419200000001</v>
      </c>
      <c r="D34" s="89">
        <f t="shared" si="1"/>
        <v>-5.852641232239808E-2</v>
      </c>
      <c r="F34" s="237">
        <v>15293.5</v>
      </c>
      <c r="G34" s="89">
        <f t="shared" si="0"/>
        <v>-5.606166079892505E-2</v>
      </c>
      <c r="H34" s="89"/>
      <c r="I34" s="89"/>
      <c r="L34" s="94" t="s">
        <v>13</v>
      </c>
      <c r="M34" s="94">
        <v>103</v>
      </c>
      <c r="N34" s="94">
        <v>0.23106786548093614</v>
      </c>
      <c r="O34" s="94"/>
      <c r="P34" s="94"/>
      <c r="Q34" s="94"/>
    </row>
    <row r="35" spans="2:20" ht="15.75" hidden="1" outlineLevel="1" thickBot="1">
      <c r="B35" s="86">
        <v>44732</v>
      </c>
      <c r="C35" s="237">
        <v>555.39770499999997</v>
      </c>
      <c r="D35" s="89">
        <f t="shared" si="1"/>
        <v>3.7187863428095325E-2</v>
      </c>
      <c r="F35" s="237">
        <v>15699.25</v>
      </c>
      <c r="G35" s="89">
        <f t="shared" si="0"/>
        <v>2.6530879131657192E-2</v>
      </c>
      <c r="H35" s="89"/>
      <c r="I35" s="89"/>
    </row>
    <row r="36" spans="2:20" hidden="1" outlineLevel="1">
      <c r="B36" s="86">
        <v>44739</v>
      </c>
      <c r="C36" s="237">
        <v>615.33618200000001</v>
      </c>
      <c r="D36" s="89">
        <f t="shared" si="1"/>
        <v>0.1079199219953566</v>
      </c>
      <c r="F36" s="237">
        <v>15752.049805000001</v>
      </c>
      <c r="G36" s="89">
        <f t="shared" si="0"/>
        <v>3.3632055671448668E-3</v>
      </c>
      <c r="H36" s="89"/>
      <c r="I36" s="89"/>
      <c r="L36" s="95"/>
      <c r="M36" s="95" t="s">
        <v>204</v>
      </c>
      <c r="N36" s="95" t="s">
        <v>193</v>
      </c>
      <c r="O36" s="95" t="s">
        <v>205</v>
      </c>
      <c r="P36" s="95" t="s">
        <v>206</v>
      </c>
      <c r="Q36" s="95" t="s">
        <v>207</v>
      </c>
      <c r="R36" s="95" t="s">
        <v>208</v>
      </c>
      <c r="S36" s="95" t="s">
        <v>209</v>
      </c>
      <c r="T36" s="95" t="s">
        <v>210</v>
      </c>
    </row>
    <row r="37" spans="2:20" hidden="1" outlineLevel="1">
      <c r="B37" s="86">
        <v>44746</v>
      </c>
      <c r="C37" s="237">
        <v>575.60839799999997</v>
      </c>
      <c r="D37" s="89">
        <f t="shared" si="1"/>
        <v>-6.4562730361271137E-2</v>
      </c>
      <c r="F37" s="237">
        <v>16220.599609000001</v>
      </c>
      <c r="G37" s="89">
        <f t="shared" si="0"/>
        <v>2.9745322659611828E-2</v>
      </c>
      <c r="H37" s="89"/>
      <c r="I37" s="89"/>
      <c r="L37" s="93" t="s">
        <v>198</v>
      </c>
      <c r="M37" s="93">
        <v>6.4323332459415173E-3</v>
      </c>
      <c r="N37" s="93">
        <v>4.5596445015270576E-3</v>
      </c>
      <c r="O37" s="93">
        <v>1.4107093752127569</v>
      </c>
      <c r="P37" s="93">
        <v>0.16137291102666954</v>
      </c>
      <c r="Q37" s="93">
        <v>-2.6117000035697138E-3</v>
      </c>
      <c r="R37" s="93">
        <v>1.5476366495452748E-2</v>
      </c>
      <c r="S37" s="93">
        <v>-2.6117000035697138E-3</v>
      </c>
      <c r="T37" s="93">
        <v>1.5476366495452748E-2</v>
      </c>
    </row>
    <row r="38" spans="2:20" ht="15.75" hidden="1" outlineLevel="1" thickBot="1">
      <c r="B38" s="86">
        <v>44753</v>
      </c>
      <c r="C38" s="237">
        <v>572.04187000000002</v>
      </c>
      <c r="D38" s="89">
        <f t="shared" si="1"/>
        <v>-6.1961013987845703E-3</v>
      </c>
      <c r="F38" s="237">
        <v>16049.200194999999</v>
      </c>
      <c r="G38" s="89">
        <f t="shared" si="0"/>
        <v>-1.0566774233481513E-2</v>
      </c>
      <c r="H38" s="89"/>
      <c r="I38" s="89"/>
      <c r="L38" s="94" t="s">
        <v>211</v>
      </c>
      <c r="M38" s="94">
        <v>0.75044131776338374</v>
      </c>
      <c r="N38" s="94">
        <v>0.25720938670197968</v>
      </c>
      <c r="O38" s="94">
        <v>2.9176280359973652</v>
      </c>
      <c r="P38" s="94">
        <v>4.3389368529720721E-3</v>
      </c>
      <c r="Q38" s="94">
        <v>0.24026771878214048</v>
      </c>
      <c r="R38" s="94">
        <v>1.260614916744627</v>
      </c>
      <c r="S38" s="94">
        <v>0.24026771878214048</v>
      </c>
      <c r="T38" s="94">
        <v>1.260614916744627</v>
      </c>
    </row>
    <row r="39" spans="2:20" hidden="1" outlineLevel="1">
      <c r="B39" s="86">
        <v>44760</v>
      </c>
      <c r="C39" s="237">
        <v>570.803406</v>
      </c>
      <c r="D39" s="89">
        <f t="shared" si="1"/>
        <v>-2.1649883775116674E-3</v>
      </c>
      <c r="F39" s="237">
        <v>16719.449218999998</v>
      </c>
      <c r="G39" s="89">
        <f t="shared" si="0"/>
        <v>4.1762144895470144E-2</v>
      </c>
      <c r="H39" s="89"/>
      <c r="I39" s="89"/>
    </row>
    <row r="40" spans="2:20" hidden="1" outlineLevel="1">
      <c r="B40" s="86">
        <v>44767</v>
      </c>
      <c r="C40" s="237">
        <v>633.81323199999997</v>
      </c>
      <c r="D40" s="89">
        <f t="shared" si="1"/>
        <v>0.11038796429326148</v>
      </c>
      <c r="F40" s="237">
        <v>17158.25</v>
      </c>
      <c r="G40" s="89">
        <f t="shared" si="0"/>
        <v>2.6244930395275645E-2</v>
      </c>
      <c r="H40" s="89"/>
      <c r="I40" s="89"/>
    </row>
    <row r="41" spans="2:20" hidden="1" outlineLevel="1">
      <c r="B41" s="86">
        <v>44774</v>
      </c>
      <c r="C41" s="237">
        <v>728.47644000000003</v>
      </c>
      <c r="D41" s="89">
        <f t="shared" si="1"/>
        <v>0.14935505164713891</v>
      </c>
      <c r="F41" s="237">
        <v>17397.5</v>
      </c>
      <c r="G41" s="89">
        <f t="shared" si="0"/>
        <v>1.3943729692713402E-2</v>
      </c>
      <c r="H41" s="89"/>
      <c r="I41" s="89"/>
    </row>
    <row r="42" spans="2:20" hidden="1" outlineLevel="1">
      <c r="B42" s="86">
        <v>44781</v>
      </c>
      <c r="C42" s="237">
        <v>847.36291500000004</v>
      </c>
      <c r="D42" s="89">
        <f t="shared" si="1"/>
        <v>0.16319879198838616</v>
      </c>
      <c r="F42" s="237">
        <v>17698.150390999999</v>
      </c>
      <c r="G42" s="89">
        <f t="shared" si="0"/>
        <v>1.7281241040379314E-2</v>
      </c>
      <c r="H42" s="89"/>
      <c r="I42" s="89"/>
    </row>
    <row r="43" spans="2:20" hidden="1" outlineLevel="1">
      <c r="B43" s="86">
        <v>44788</v>
      </c>
      <c r="C43" s="237">
        <v>801.29449499999998</v>
      </c>
      <c r="D43" s="89">
        <f t="shared" si="1"/>
        <v>-5.4366811651180291E-2</v>
      </c>
      <c r="F43" s="237">
        <v>17758.449218999998</v>
      </c>
      <c r="G43" s="89">
        <f t="shared" si="0"/>
        <v>3.4070694771959342E-3</v>
      </c>
      <c r="H43" s="89"/>
      <c r="I43" s="89"/>
    </row>
    <row r="44" spans="2:20" hidden="1" outlineLevel="1">
      <c r="B44" s="86">
        <v>44795</v>
      </c>
      <c r="C44" s="237">
        <v>770.87933299999997</v>
      </c>
      <c r="D44" s="89">
        <f t="shared" si="1"/>
        <v>-3.7957532704626873E-2</v>
      </c>
      <c r="F44" s="237">
        <v>17558.900390999999</v>
      </c>
      <c r="G44" s="89">
        <f t="shared" si="0"/>
        <v>-1.1236838619134604E-2</v>
      </c>
      <c r="H44" s="89"/>
      <c r="I44" s="89"/>
    </row>
    <row r="45" spans="2:20" hidden="1" outlineLevel="1">
      <c r="B45" s="86">
        <v>44802</v>
      </c>
      <c r="C45" s="237">
        <v>787.42437700000005</v>
      </c>
      <c r="D45" s="89">
        <f t="shared" si="1"/>
        <v>2.1462560081371596E-2</v>
      </c>
      <c r="F45" s="237">
        <v>17539.449218999998</v>
      </c>
      <c r="G45" s="89">
        <f t="shared" si="0"/>
        <v>-1.1077670905844661E-3</v>
      </c>
      <c r="H45" s="89"/>
      <c r="I45" s="89"/>
    </row>
    <row r="46" spans="2:20" hidden="1" outlineLevel="1">
      <c r="B46" s="86">
        <v>44809</v>
      </c>
      <c r="C46" s="237">
        <v>809.95129399999996</v>
      </c>
      <c r="D46" s="89">
        <f t="shared" si="1"/>
        <v>2.8608356126622603E-2</v>
      </c>
      <c r="F46" s="237">
        <v>17833.349609000001</v>
      </c>
      <c r="G46" s="89">
        <f t="shared" si="0"/>
        <v>1.6756534730955508E-2</v>
      </c>
      <c r="H46" s="89"/>
      <c r="I46" s="89"/>
    </row>
    <row r="47" spans="2:20" hidden="1" outlineLevel="1">
      <c r="B47" s="86">
        <v>44816</v>
      </c>
      <c r="C47" s="237">
        <v>774.35015899999996</v>
      </c>
      <c r="D47" s="89">
        <f t="shared" si="1"/>
        <v>-4.3954661550303031E-2</v>
      </c>
      <c r="F47" s="237">
        <v>17530.849609000001</v>
      </c>
      <c r="G47" s="89">
        <f t="shared" si="0"/>
        <v>-1.6962601341440453E-2</v>
      </c>
      <c r="H47" s="89"/>
      <c r="I47" s="89"/>
    </row>
    <row r="48" spans="2:20" hidden="1" outlineLevel="1">
      <c r="B48" s="86">
        <v>44823</v>
      </c>
      <c r="C48" s="237">
        <v>872.62530500000003</v>
      </c>
      <c r="D48" s="89">
        <f t="shared" si="1"/>
        <v>0.12691305717159418</v>
      </c>
      <c r="F48" s="237">
        <v>17327.349609000001</v>
      </c>
      <c r="G48" s="89">
        <f t="shared" si="0"/>
        <v>-1.1608108251383698E-2</v>
      </c>
      <c r="H48" s="89"/>
      <c r="I48" s="89"/>
    </row>
    <row r="49" spans="2:9" hidden="1" outlineLevel="1">
      <c r="B49" s="86">
        <v>44830</v>
      </c>
      <c r="C49" s="237">
        <v>908.42480499999999</v>
      </c>
      <c r="D49" s="89">
        <f t="shared" si="1"/>
        <v>4.1025053702745895E-2</v>
      </c>
      <c r="F49" s="237">
        <v>17094.349609000001</v>
      </c>
      <c r="G49" s="89">
        <f t="shared" si="0"/>
        <v>-1.3446949779265527E-2</v>
      </c>
      <c r="H49" s="89"/>
      <c r="I49" s="89"/>
    </row>
    <row r="50" spans="2:9" hidden="1" outlineLevel="1">
      <c r="B50" s="86">
        <v>44837</v>
      </c>
      <c r="C50" s="237">
        <v>933.56378199999995</v>
      </c>
      <c r="D50" s="89">
        <f t="shared" si="1"/>
        <v>2.7673151219159031E-2</v>
      </c>
      <c r="F50" s="237">
        <v>17314.650390999999</v>
      </c>
      <c r="G50" s="89">
        <f t="shared" si="0"/>
        <v>1.2887345060733635E-2</v>
      </c>
      <c r="H50" s="89"/>
      <c r="I50" s="89"/>
    </row>
    <row r="51" spans="2:9" hidden="1" outlineLevel="1">
      <c r="B51" s="86">
        <v>44844</v>
      </c>
      <c r="C51" s="237">
        <v>866.57605000000001</v>
      </c>
      <c r="D51" s="89">
        <f t="shared" si="1"/>
        <v>-7.1754853060484236E-2</v>
      </c>
      <c r="F51" s="237">
        <v>17185.699218999998</v>
      </c>
      <c r="G51" s="89">
        <f t="shared" si="0"/>
        <v>-7.4475180894804094E-3</v>
      </c>
      <c r="H51" s="89"/>
      <c r="I51" s="89"/>
    </row>
    <row r="52" spans="2:9" hidden="1" outlineLevel="1">
      <c r="B52" s="86">
        <v>44851</v>
      </c>
      <c r="C52" s="237">
        <v>881.59991500000001</v>
      </c>
      <c r="D52" s="89">
        <f t="shared" si="1"/>
        <v>1.7337041567211608E-2</v>
      </c>
      <c r="F52" s="237">
        <v>17576.300781000002</v>
      </c>
      <c r="G52" s="89">
        <f t="shared" si="0"/>
        <v>2.2728290366455628E-2</v>
      </c>
      <c r="H52" s="89"/>
      <c r="I52" s="89"/>
    </row>
    <row r="53" spans="2:9" hidden="1" outlineLevel="1">
      <c r="B53" s="86">
        <v>44858</v>
      </c>
      <c r="C53" s="237">
        <v>819.27319299999999</v>
      </c>
      <c r="D53" s="89">
        <f t="shared" si="1"/>
        <v>-7.0697286761875477E-2</v>
      </c>
      <c r="F53" s="237">
        <v>17786.800781000002</v>
      </c>
      <c r="G53" s="89">
        <f t="shared" si="0"/>
        <v>1.197635399068453E-2</v>
      </c>
      <c r="H53" s="89"/>
      <c r="I53" s="89"/>
    </row>
    <row r="54" spans="2:9" hidden="1" outlineLevel="1">
      <c r="B54" s="86">
        <v>44865</v>
      </c>
      <c r="C54" s="237">
        <v>835.93328899999995</v>
      </c>
      <c r="D54" s="89">
        <f t="shared" si="1"/>
        <v>2.0335214361151488E-2</v>
      </c>
      <c r="F54" s="237">
        <v>18117.150390999999</v>
      </c>
      <c r="G54" s="89">
        <f t="shared" si="0"/>
        <v>1.8572739081492262E-2</v>
      </c>
      <c r="H54" s="89"/>
      <c r="I54" s="89"/>
    </row>
    <row r="55" spans="2:9" hidden="1" outlineLevel="1">
      <c r="B55" s="86">
        <v>44872</v>
      </c>
      <c r="C55" s="237">
        <v>792.89446999999996</v>
      </c>
      <c r="D55" s="89">
        <f t="shared" si="1"/>
        <v>-5.1485949376996243E-2</v>
      </c>
      <c r="F55" s="237">
        <v>18349.699218999998</v>
      </c>
      <c r="G55" s="89">
        <f t="shared" si="0"/>
        <v>1.2835839134808014E-2</v>
      </c>
      <c r="H55" s="89"/>
      <c r="I55" s="89"/>
    </row>
    <row r="56" spans="2:9" hidden="1" outlineLevel="1">
      <c r="B56" s="86">
        <v>44879</v>
      </c>
      <c r="C56" s="237">
        <v>787.48980700000004</v>
      </c>
      <c r="D56" s="89">
        <f t="shared" si="1"/>
        <v>-6.816371162230328E-3</v>
      </c>
      <c r="F56" s="237">
        <v>18307.650390999999</v>
      </c>
      <c r="G56" s="89">
        <f t="shared" si="0"/>
        <v>-2.2915268254892762E-3</v>
      </c>
      <c r="H56" s="89"/>
      <c r="I56" s="89"/>
    </row>
    <row r="57" spans="2:9" hidden="1" outlineLevel="1">
      <c r="B57" s="86">
        <v>44886</v>
      </c>
      <c r="C57" s="237">
        <v>794.33245799999997</v>
      </c>
      <c r="D57" s="89">
        <f t="shared" si="1"/>
        <v>8.6891931034225323E-3</v>
      </c>
      <c r="F57" s="237">
        <v>18512.75</v>
      </c>
      <c r="G57" s="89">
        <f t="shared" si="0"/>
        <v>1.1202945469224623E-2</v>
      </c>
      <c r="H57" s="89"/>
      <c r="I57" s="89"/>
    </row>
    <row r="58" spans="2:9" hidden="1" outlineLevel="1">
      <c r="B58" s="86">
        <v>44893</v>
      </c>
      <c r="C58" s="237">
        <v>827.95025599999997</v>
      </c>
      <c r="D58" s="89">
        <f t="shared" si="1"/>
        <v>4.2322075173214069E-2</v>
      </c>
      <c r="F58" s="237">
        <v>18696.099609000001</v>
      </c>
      <c r="G58" s="89">
        <f t="shared" si="0"/>
        <v>9.9039639707769744E-3</v>
      </c>
      <c r="H58" s="89"/>
      <c r="I58" s="89"/>
    </row>
    <row r="59" spans="2:9" hidden="1" outlineLevel="1">
      <c r="B59" s="86">
        <v>44900</v>
      </c>
      <c r="C59" s="237">
        <v>826.95855700000004</v>
      </c>
      <c r="D59" s="89">
        <f t="shared" si="1"/>
        <v>-1.1977760654257041E-3</v>
      </c>
      <c r="F59" s="237">
        <v>18496.599609000001</v>
      </c>
      <c r="G59" s="89">
        <f t="shared" si="0"/>
        <v>-1.0670674855838058E-2</v>
      </c>
      <c r="H59" s="89"/>
      <c r="I59" s="89"/>
    </row>
    <row r="60" spans="2:9" hidden="1" outlineLevel="1">
      <c r="B60" s="86">
        <v>44907</v>
      </c>
      <c r="C60" s="237">
        <v>817.09136999999998</v>
      </c>
      <c r="D60" s="89">
        <f t="shared" si="1"/>
        <v>-1.1931900234270265E-2</v>
      </c>
      <c r="F60" s="237">
        <v>18269</v>
      </c>
      <c r="G60" s="89">
        <f t="shared" si="0"/>
        <v>-1.2304943276668867E-2</v>
      </c>
      <c r="H60" s="89"/>
      <c r="I60" s="89"/>
    </row>
    <row r="61" spans="2:9" hidden="1" outlineLevel="1">
      <c r="B61" s="86">
        <v>44914</v>
      </c>
      <c r="C61" s="237">
        <v>818.77722200000005</v>
      </c>
      <c r="D61" s="89">
        <f t="shared" si="1"/>
        <v>2.0632355962835192E-3</v>
      </c>
      <c r="F61" s="237">
        <v>17806.800781000002</v>
      </c>
      <c r="G61" s="89">
        <f t="shared" si="0"/>
        <v>-2.529964524604511E-2</v>
      </c>
      <c r="H61" s="89"/>
      <c r="I61" s="89"/>
    </row>
    <row r="62" spans="2:9" hidden="1" outlineLevel="1">
      <c r="B62" s="86">
        <v>44921</v>
      </c>
      <c r="C62" s="237">
        <v>876.14569100000006</v>
      </c>
      <c r="D62" s="89">
        <f t="shared" si="1"/>
        <v>7.0066029511504979E-2</v>
      </c>
      <c r="F62" s="237">
        <v>18105.300781000002</v>
      </c>
      <c r="G62" s="89">
        <f t="shared" si="0"/>
        <v>1.6763258244484991E-2</v>
      </c>
      <c r="H62" s="89"/>
      <c r="I62" s="89"/>
    </row>
    <row r="63" spans="2:9" hidden="1" outlineLevel="1">
      <c r="B63" s="86">
        <v>44928</v>
      </c>
      <c r="C63" s="237">
        <v>855.76678500000003</v>
      </c>
      <c r="D63" s="89">
        <f t="shared" si="1"/>
        <v>-2.3259722908344549E-2</v>
      </c>
      <c r="F63" s="237">
        <v>17859.449218999998</v>
      </c>
      <c r="G63" s="89">
        <f t="shared" si="0"/>
        <v>-1.3578982474458767E-2</v>
      </c>
      <c r="H63" s="89"/>
      <c r="I63" s="89"/>
    </row>
    <row r="64" spans="2:9" hidden="1" outlineLevel="1">
      <c r="B64" s="86">
        <v>44935</v>
      </c>
      <c r="C64" s="237">
        <v>842.825378</v>
      </c>
      <c r="D64" s="89">
        <f t="shared" si="1"/>
        <v>-1.5122586231247626E-2</v>
      </c>
      <c r="F64" s="237">
        <v>17956.599609000001</v>
      </c>
      <c r="G64" s="89">
        <f t="shared" si="0"/>
        <v>5.4397192661825855E-3</v>
      </c>
      <c r="H64" s="89"/>
      <c r="I64" s="89"/>
    </row>
    <row r="65" spans="2:9" hidden="1" outlineLevel="1">
      <c r="B65" s="86">
        <v>44942</v>
      </c>
      <c r="C65" s="237">
        <v>846.99041699999998</v>
      </c>
      <c r="D65" s="89">
        <f t="shared" si="1"/>
        <v>4.9417579355328645E-3</v>
      </c>
      <c r="F65" s="237">
        <v>18027.650390999999</v>
      </c>
      <c r="G65" s="89">
        <f t="shared" si="0"/>
        <v>3.9568060516528281E-3</v>
      </c>
      <c r="H65" s="89"/>
      <c r="I65" s="89"/>
    </row>
    <row r="66" spans="2:9" hidden="1" outlineLevel="1">
      <c r="B66" s="86">
        <v>44949</v>
      </c>
      <c r="C66" s="237">
        <v>767.35882600000002</v>
      </c>
      <c r="D66" s="89">
        <f t="shared" si="1"/>
        <v>-9.4017109759106043E-2</v>
      </c>
      <c r="F66" s="237">
        <v>17604.349609000001</v>
      </c>
      <c r="G66" s="89">
        <f t="shared" si="0"/>
        <v>-2.3480640727941093E-2</v>
      </c>
      <c r="H66" s="89"/>
      <c r="I66" s="89"/>
    </row>
    <row r="67" spans="2:9" hidden="1" outlineLevel="1">
      <c r="B67" s="86">
        <v>44956</v>
      </c>
      <c r="C67" s="237">
        <v>743.95214799999997</v>
      </c>
      <c r="D67" s="89">
        <f t="shared" si="1"/>
        <v>-3.0502911033175595E-2</v>
      </c>
      <c r="F67" s="237">
        <v>17854.050781000002</v>
      </c>
      <c r="G67" s="89">
        <f t="shared" si="0"/>
        <v>1.4184061186352848E-2</v>
      </c>
      <c r="H67" s="89"/>
      <c r="I67" s="89"/>
    </row>
    <row r="68" spans="2:9" hidden="1" outlineLevel="1">
      <c r="B68" s="86">
        <v>44963</v>
      </c>
      <c r="C68" s="237">
        <v>797.91943400000002</v>
      </c>
      <c r="D68" s="89">
        <f t="shared" si="1"/>
        <v>7.2541340387392905E-2</v>
      </c>
      <c r="F68" s="237">
        <v>17856.5</v>
      </c>
      <c r="G68" s="89">
        <f t="shared" si="0"/>
        <v>1.371800175793414E-4</v>
      </c>
      <c r="H68" s="89"/>
      <c r="I68" s="89"/>
    </row>
    <row r="69" spans="2:9" hidden="1" outlineLevel="1">
      <c r="B69" s="86">
        <v>44970</v>
      </c>
      <c r="C69" s="237">
        <v>827.91235400000005</v>
      </c>
      <c r="D69" s="89">
        <f t="shared" si="1"/>
        <v>3.758890775431345E-2</v>
      </c>
      <c r="F69" s="237">
        <v>17944.199218999998</v>
      </c>
      <c r="G69" s="89">
        <f t="shared" si="0"/>
        <v>4.9113330719905424E-3</v>
      </c>
      <c r="H69" s="89"/>
      <c r="I69" s="89"/>
    </row>
    <row r="70" spans="2:9" hidden="1" outlineLevel="1">
      <c r="B70" s="86">
        <v>44977</v>
      </c>
      <c r="C70" s="237">
        <v>802.893372</v>
      </c>
      <c r="D70" s="89">
        <f t="shared" si="1"/>
        <v>-3.0219360635365122E-2</v>
      </c>
      <c r="F70" s="237">
        <v>17465.800781000002</v>
      </c>
      <c r="G70" s="89">
        <f t="shared" si="0"/>
        <v>-2.6660339208308015E-2</v>
      </c>
      <c r="H70" s="89"/>
      <c r="I70" s="89"/>
    </row>
    <row r="71" spans="2:9" hidden="1" outlineLevel="1">
      <c r="B71" s="86">
        <v>44984</v>
      </c>
      <c r="C71" s="237">
        <v>802.74420199999997</v>
      </c>
      <c r="D71" s="89">
        <f t="shared" si="1"/>
        <v>-1.8579054853629096E-4</v>
      </c>
      <c r="F71" s="237">
        <v>17594.349609000001</v>
      </c>
      <c r="G71" s="89">
        <f t="shared" si="0"/>
        <v>7.3600305884538031E-3</v>
      </c>
      <c r="H71" s="89"/>
      <c r="I71" s="89"/>
    </row>
    <row r="72" spans="2:9" hidden="1" outlineLevel="1">
      <c r="B72" s="86">
        <v>44991</v>
      </c>
      <c r="C72" s="237">
        <v>818.36236599999995</v>
      </c>
      <c r="D72" s="89">
        <f t="shared" si="1"/>
        <v>1.9455966123564705E-2</v>
      </c>
      <c r="F72" s="237">
        <v>17412.900390999999</v>
      </c>
      <c r="G72" s="89">
        <f t="shared" si="0"/>
        <v>-1.0312925571695164E-2</v>
      </c>
      <c r="H72" s="89"/>
      <c r="I72" s="89"/>
    </row>
    <row r="73" spans="2:9" hidden="1" outlineLevel="1">
      <c r="B73" s="86">
        <v>44998</v>
      </c>
      <c r="C73" s="237">
        <v>790.85644500000001</v>
      </c>
      <c r="D73" s="89">
        <f t="shared" si="1"/>
        <v>-3.3610930979687703E-2</v>
      </c>
      <c r="F73" s="237">
        <v>17100.050781000002</v>
      </c>
      <c r="G73" s="89">
        <f t="shared" si="0"/>
        <v>-1.7966542217268788E-2</v>
      </c>
      <c r="H73" s="89"/>
      <c r="I73" s="89"/>
    </row>
    <row r="74" spans="2:9" hidden="1" outlineLevel="1">
      <c r="B74" s="86">
        <v>45005</v>
      </c>
      <c r="C74" s="237">
        <v>781.95306400000004</v>
      </c>
      <c r="D74" s="89">
        <f t="shared" si="1"/>
        <v>-1.1257897759181734E-2</v>
      </c>
      <c r="F74" s="237">
        <v>16945.050781000002</v>
      </c>
      <c r="G74" s="89">
        <f t="shared" si="0"/>
        <v>-9.0643005675878907E-3</v>
      </c>
      <c r="H74" s="89"/>
      <c r="I74" s="89"/>
    </row>
    <row r="75" spans="2:9" hidden="1" outlineLevel="1">
      <c r="B75" s="86">
        <v>45012</v>
      </c>
      <c r="C75" s="237">
        <v>790.50830099999996</v>
      </c>
      <c r="D75" s="89">
        <f t="shared" si="1"/>
        <v>1.0940857442563789E-2</v>
      </c>
      <c r="F75" s="237">
        <v>17359.75</v>
      </c>
      <c r="G75" s="89">
        <f t="shared" si="0"/>
        <v>2.4473176525678486E-2</v>
      </c>
      <c r="H75" s="89"/>
      <c r="I75" s="89"/>
    </row>
    <row r="76" spans="2:9" hidden="1" outlineLevel="1">
      <c r="B76" s="86">
        <v>45019</v>
      </c>
      <c r="C76" s="237">
        <v>797.96923800000002</v>
      </c>
      <c r="D76" s="89">
        <f t="shared" si="1"/>
        <v>9.4381513648393867E-3</v>
      </c>
      <c r="F76" s="237">
        <v>17599.150390999999</v>
      </c>
      <c r="G76" s="89">
        <f t="shared" si="0"/>
        <v>1.3790543700226143E-2</v>
      </c>
      <c r="H76" s="89"/>
      <c r="I76" s="89"/>
    </row>
    <row r="77" spans="2:9" hidden="1" outlineLevel="1">
      <c r="B77" s="86">
        <v>45026</v>
      </c>
      <c r="C77" s="237">
        <v>796.22833300000002</v>
      </c>
      <c r="D77" s="89">
        <f t="shared" si="1"/>
        <v>-2.1816693139240506E-3</v>
      </c>
      <c r="F77" s="237">
        <v>17828</v>
      </c>
      <c r="G77" s="89">
        <f t="shared" si="0"/>
        <v>1.3003446411653519E-2</v>
      </c>
      <c r="H77" s="89"/>
      <c r="I77" s="89"/>
    </row>
    <row r="78" spans="2:9" hidden="1" outlineLevel="1">
      <c r="B78" s="86">
        <v>45033</v>
      </c>
      <c r="C78" s="237">
        <v>842.48596199999997</v>
      </c>
      <c r="D78" s="89">
        <f t="shared" si="1"/>
        <v>5.8095934398255E-2</v>
      </c>
      <c r="F78" s="237">
        <v>17624.050781000002</v>
      </c>
      <c r="G78" s="89">
        <f t="shared" si="0"/>
        <v>-1.1439826060130054E-2</v>
      </c>
      <c r="H78" s="89"/>
      <c r="I78" s="89"/>
    </row>
    <row r="79" spans="2:9" hidden="1" outlineLevel="1">
      <c r="B79" s="86">
        <v>45040</v>
      </c>
      <c r="C79" s="237">
        <v>860.989014</v>
      </c>
      <c r="D79" s="89">
        <f t="shared" si="1"/>
        <v>2.1962445470397052E-2</v>
      </c>
      <c r="F79" s="237">
        <v>18065</v>
      </c>
      <c r="G79" s="89">
        <f t="shared" si="0"/>
        <v>2.5019742877464557E-2</v>
      </c>
      <c r="H79" s="89"/>
      <c r="I79" s="89"/>
    </row>
    <row r="80" spans="2:9" hidden="1" outlineLevel="1">
      <c r="B80" s="86">
        <v>45047</v>
      </c>
      <c r="C80" s="237">
        <v>916.99560499999995</v>
      </c>
      <c r="D80" s="89">
        <f t="shared" si="1"/>
        <v>6.5049135458538965E-2</v>
      </c>
      <c r="F80" s="237">
        <v>18069</v>
      </c>
      <c r="G80" s="89">
        <f t="shared" si="0"/>
        <v>2.2142264046509652E-4</v>
      </c>
      <c r="H80" s="89"/>
      <c r="I80" s="89"/>
    </row>
    <row r="81" spans="2:9" hidden="1" outlineLevel="1">
      <c r="B81" s="86">
        <v>45054</v>
      </c>
      <c r="C81" s="237">
        <v>906.74920699999996</v>
      </c>
      <c r="D81" s="89">
        <f t="shared" si="1"/>
        <v>-1.1173879072190362E-2</v>
      </c>
      <c r="F81" s="237">
        <v>18314.800781000002</v>
      </c>
      <c r="G81" s="89">
        <f t="shared" si="0"/>
        <v>1.3603452376999448E-2</v>
      </c>
      <c r="H81" s="89"/>
      <c r="I81" s="89"/>
    </row>
    <row r="82" spans="2:9" hidden="1" outlineLevel="1">
      <c r="B82" s="86">
        <v>45061</v>
      </c>
      <c r="C82" s="237">
        <v>921.02447500000005</v>
      </c>
      <c r="D82" s="89">
        <f t="shared" si="1"/>
        <v>1.5743347653129014E-2</v>
      </c>
      <c r="F82" s="237">
        <v>18203.400390999999</v>
      </c>
      <c r="G82" s="89">
        <f t="shared" si="0"/>
        <v>-6.0825335384249168E-3</v>
      </c>
      <c r="H82" s="89"/>
      <c r="I82" s="89"/>
    </row>
    <row r="83" spans="2:9" hidden="1" outlineLevel="1">
      <c r="B83" s="86">
        <v>45068</v>
      </c>
      <c r="C83" s="237">
        <v>945.09832800000004</v>
      </c>
      <c r="D83" s="89">
        <f t="shared" si="1"/>
        <v>2.613812515677183E-2</v>
      </c>
      <c r="F83" s="237">
        <v>18499.349609000001</v>
      </c>
      <c r="G83" s="89">
        <f t="shared" si="0"/>
        <v>1.6257908502980811E-2</v>
      </c>
      <c r="H83" s="89"/>
      <c r="I83" s="89"/>
    </row>
    <row r="84" spans="2:9" hidden="1" outlineLevel="1">
      <c r="B84" s="86">
        <v>45075</v>
      </c>
      <c r="C84" s="237">
        <v>979.96563700000002</v>
      </c>
      <c r="D84" s="89">
        <f t="shared" si="1"/>
        <v>3.689278455691003E-2</v>
      </c>
      <c r="F84" s="237">
        <v>18534.099609000001</v>
      </c>
      <c r="G84" s="89">
        <f t="shared" si="0"/>
        <v>1.8784444174779757E-3</v>
      </c>
      <c r="H84" s="89"/>
      <c r="I84" s="89"/>
    </row>
    <row r="85" spans="2:9" hidden="1" outlineLevel="1">
      <c r="B85" s="86">
        <v>45082</v>
      </c>
      <c r="C85" s="237">
        <v>949.07745399999999</v>
      </c>
      <c r="D85" s="89">
        <f t="shared" si="1"/>
        <v>-3.1519659295971891E-2</v>
      </c>
      <c r="F85" s="237">
        <v>18563.400390999999</v>
      </c>
      <c r="G85" s="89">
        <f t="shared" ref="G85:G123" si="2">F85/F84-1</f>
        <v>1.5809120819534339E-3</v>
      </c>
      <c r="H85" s="89"/>
      <c r="I85" s="89"/>
    </row>
    <row r="86" spans="2:9" hidden="1" outlineLevel="1">
      <c r="B86" s="86">
        <v>45089</v>
      </c>
      <c r="C86" s="237">
        <v>974.74298099999999</v>
      </c>
      <c r="D86" s="89">
        <f t="shared" ref="D86:D123" si="3">C86/C85-1</f>
        <v>2.7042605313011725E-2</v>
      </c>
      <c r="F86" s="237">
        <v>18826</v>
      </c>
      <c r="G86" s="89">
        <f t="shared" si="2"/>
        <v>1.4146094113625551E-2</v>
      </c>
      <c r="H86" s="89"/>
      <c r="I86" s="89"/>
    </row>
    <row r="87" spans="2:9" hidden="1" outlineLevel="1">
      <c r="B87" s="86">
        <v>45096</v>
      </c>
      <c r="C87" s="237">
        <v>962.25842299999999</v>
      </c>
      <c r="D87" s="89">
        <f t="shared" si="3"/>
        <v>-1.2808051192317316E-2</v>
      </c>
      <c r="F87" s="237">
        <v>18665.5</v>
      </c>
      <c r="G87" s="89">
        <f t="shared" si="2"/>
        <v>-8.5254435355359703E-3</v>
      </c>
      <c r="H87" s="89"/>
      <c r="I87" s="89"/>
    </row>
    <row r="88" spans="2:9" hidden="1" outlineLevel="1">
      <c r="B88" s="86">
        <v>45103</v>
      </c>
      <c r="C88" s="237">
        <v>931.61895800000002</v>
      </c>
      <c r="D88" s="89">
        <f t="shared" si="3"/>
        <v>-3.1841202183999995E-2</v>
      </c>
      <c r="F88" s="237">
        <v>19189.050781000002</v>
      </c>
      <c r="G88" s="89">
        <f t="shared" si="2"/>
        <v>2.804911633762841E-2</v>
      </c>
      <c r="H88" s="89"/>
      <c r="I88" s="89"/>
    </row>
    <row r="89" spans="2:9" hidden="1" outlineLevel="1">
      <c r="B89" s="86">
        <v>45110</v>
      </c>
      <c r="C89" s="237">
        <v>1008.8642579999999</v>
      </c>
      <c r="D89" s="89">
        <f t="shared" si="3"/>
        <v>8.2915122472207115E-2</v>
      </c>
      <c r="F89" s="237">
        <v>19331.800781000002</v>
      </c>
      <c r="G89" s="89">
        <f t="shared" si="2"/>
        <v>7.4391381642151533E-3</v>
      </c>
      <c r="H89" s="89"/>
      <c r="I89" s="89"/>
    </row>
    <row r="90" spans="2:9" hidden="1" outlineLevel="1">
      <c r="B90" s="86">
        <v>45117</v>
      </c>
      <c r="C90" s="237">
        <v>1070.7897949999999</v>
      </c>
      <c r="D90" s="89">
        <f t="shared" si="3"/>
        <v>6.1381436113876031E-2</v>
      </c>
      <c r="F90" s="237">
        <v>19564.5</v>
      </c>
      <c r="G90" s="89">
        <f t="shared" si="2"/>
        <v>1.2037120681933855E-2</v>
      </c>
      <c r="H90" s="89"/>
      <c r="I90" s="89"/>
    </row>
    <row r="91" spans="2:9" hidden="1" outlineLevel="1">
      <c r="B91" s="86">
        <v>45124</v>
      </c>
      <c r="C91" s="237">
        <v>1080.787476</v>
      </c>
      <c r="D91" s="89">
        <f t="shared" si="3"/>
        <v>9.3367354140689862E-3</v>
      </c>
      <c r="F91" s="237">
        <v>19745</v>
      </c>
      <c r="G91" s="89">
        <f t="shared" si="2"/>
        <v>9.225893838329613E-3</v>
      </c>
      <c r="H91" s="89"/>
      <c r="I91" s="89"/>
    </row>
    <row r="92" spans="2:9" hidden="1" outlineLevel="1">
      <c r="B92" s="86">
        <v>45131</v>
      </c>
      <c r="C92" s="237">
        <v>1039.05603</v>
      </c>
      <c r="D92" s="89">
        <f t="shared" si="3"/>
        <v>-3.8612073998533281E-2</v>
      </c>
      <c r="F92" s="237">
        <v>19646.050781000002</v>
      </c>
      <c r="G92" s="89">
        <f t="shared" si="2"/>
        <v>-5.0113557356291638E-3</v>
      </c>
      <c r="H92" s="89"/>
      <c r="I92" s="89"/>
    </row>
    <row r="93" spans="2:9" hidden="1" outlineLevel="1">
      <c r="B93" s="86">
        <v>45138</v>
      </c>
      <c r="C93" s="237">
        <v>1063.328857</v>
      </c>
      <c r="D93" s="89">
        <f t="shared" si="3"/>
        <v>2.3360460166907515E-2</v>
      </c>
      <c r="F93" s="237">
        <v>19517</v>
      </c>
      <c r="G93" s="89">
        <f t="shared" si="2"/>
        <v>-6.568789953694365E-3</v>
      </c>
      <c r="H93" s="89"/>
      <c r="I93" s="89"/>
    </row>
    <row r="94" spans="2:9" hidden="1" outlineLevel="1">
      <c r="B94" s="86">
        <v>45145</v>
      </c>
      <c r="C94" s="237">
        <v>1071.3865969999999</v>
      </c>
      <c r="D94" s="89">
        <f t="shared" si="3"/>
        <v>7.5778438128102366E-3</v>
      </c>
      <c r="F94" s="237">
        <v>19428.300781000002</v>
      </c>
      <c r="G94" s="89">
        <f t="shared" si="2"/>
        <v>-4.5447158374749552E-3</v>
      </c>
      <c r="H94" s="89"/>
      <c r="I94" s="89"/>
    </row>
    <row r="95" spans="2:9" hidden="1" outlineLevel="1">
      <c r="B95" s="86">
        <v>45152</v>
      </c>
      <c r="C95" s="237">
        <v>1090.8348390000001</v>
      </c>
      <c r="D95" s="89">
        <f t="shared" si="3"/>
        <v>1.8152403674320139E-2</v>
      </c>
      <c r="F95" s="237">
        <v>19310.150390999999</v>
      </c>
      <c r="G95" s="89">
        <f t="shared" si="2"/>
        <v>-6.0813547891717112E-3</v>
      </c>
      <c r="H95" s="89"/>
      <c r="I95" s="89"/>
    </row>
    <row r="96" spans="2:9" hidden="1" outlineLevel="1">
      <c r="B96" s="86">
        <v>45159</v>
      </c>
      <c r="C96" s="237">
        <v>1019.806946</v>
      </c>
      <c r="D96" s="89">
        <f t="shared" si="3"/>
        <v>-6.5113333806897322E-2</v>
      </c>
      <c r="F96" s="237">
        <v>19265.800781000002</v>
      </c>
      <c r="G96" s="89">
        <f t="shared" si="2"/>
        <v>-2.2966993576947203E-3</v>
      </c>
      <c r="H96" s="89"/>
      <c r="I96" s="89"/>
    </row>
    <row r="97" spans="2:9" hidden="1" outlineLevel="1">
      <c r="B97" s="86">
        <v>45166</v>
      </c>
      <c r="C97" s="237">
        <v>1047.7604980000001</v>
      </c>
      <c r="D97" s="89">
        <f t="shared" si="3"/>
        <v>2.7410631109782591E-2</v>
      </c>
      <c r="F97" s="237">
        <v>19435.300781000002</v>
      </c>
      <c r="G97" s="89">
        <f t="shared" si="2"/>
        <v>8.797973254616176E-3</v>
      </c>
      <c r="H97" s="89"/>
      <c r="I97" s="89"/>
    </row>
    <row r="98" spans="2:9" hidden="1" outlineLevel="1">
      <c r="B98" s="86">
        <v>45173</v>
      </c>
      <c r="C98" s="237">
        <v>1088.950562</v>
      </c>
      <c r="D98" s="89">
        <f t="shared" si="3"/>
        <v>3.931248036037327E-2</v>
      </c>
      <c r="F98" s="237">
        <v>19819.949218999998</v>
      </c>
      <c r="G98" s="89">
        <f t="shared" si="2"/>
        <v>1.9791226404688889E-2</v>
      </c>
      <c r="H98" s="89"/>
      <c r="I98" s="89"/>
    </row>
    <row r="99" spans="2:9" hidden="1" outlineLevel="1">
      <c r="B99" s="86">
        <v>45180</v>
      </c>
      <c r="C99" s="237">
        <v>1081.867432</v>
      </c>
      <c r="D99" s="89">
        <f t="shared" si="3"/>
        <v>-6.5045468978783827E-3</v>
      </c>
      <c r="F99" s="237">
        <v>20192.349609000001</v>
      </c>
      <c r="G99" s="89">
        <f t="shared" si="2"/>
        <v>1.8789169734249711E-2</v>
      </c>
      <c r="H99" s="89"/>
      <c r="I99" s="89"/>
    </row>
    <row r="100" spans="2:9" hidden="1" outlineLevel="1">
      <c r="B100" s="86">
        <v>45187</v>
      </c>
      <c r="C100" s="237">
        <v>1088.4018550000001</v>
      </c>
      <c r="D100" s="89">
        <f t="shared" si="3"/>
        <v>6.0399479702610837E-3</v>
      </c>
      <c r="F100" s="237">
        <v>19674.25</v>
      </c>
      <c r="G100" s="89">
        <f t="shared" si="2"/>
        <v>-2.5658213087251469E-2</v>
      </c>
      <c r="H100" s="89"/>
      <c r="I100" s="89"/>
    </row>
    <row r="101" spans="2:9" hidden="1" outlineLevel="1">
      <c r="B101" s="86">
        <v>45194</v>
      </c>
      <c r="C101" s="237">
        <v>1123.567871</v>
      </c>
      <c r="D101" s="89">
        <f t="shared" si="3"/>
        <v>3.2309772202657516E-2</v>
      </c>
      <c r="F101" s="237">
        <v>19638.300781000002</v>
      </c>
      <c r="G101" s="89">
        <f t="shared" si="2"/>
        <v>-1.8272218254824502E-3</v>
      </c>
      <c r="H101" s="89"/>
      <c r="I101" s="89"/>
    </row>
    <row r="102" spans="2:9" hidden="1" outlineLevel="1">
      <c r="B102" s="86">
        <v>45201</v>
      </c>
      <c r="C102" s="237">
        <v>1137.833862</v>
      </c>
      <c r="D102" s="89">
        <f t="shared" si="3"/>
        <v>1.26970442713914E-2</v>
      </c>
      <c r="F102" s="237">
        <v>19653.5</v>
      </c>
      <c r="G102" s="89">
        <f t="shared" si="2"/>
        <v>7.7395794928980521E-4</v>
      </c>
      <c r="H102" s="89"/>
      <c r="I102" s="89"/>
    </row>
    <row r="103" spans="2:9" hidden="1" outlineLevel="1">
      <c r="B103" s="86">
        <v>45208</v>
      </c>
      <c r="C103" s="237">
        <v>1143.619995</v>
      </c>
      <c r="D103" s="89">
        <f t="shared" si="3"/>
        <v>5.0852177925426734E-3</v>
      </c>
      <c r="F103" s="237">
        <v>19751.050781000002</v>
      </c>
      <c r="G103" s="89">
        <f t="shared" si="2"/>
        <v>4.96353224616497E-3</v>
      </c>
      <c r="H103" s="89"/>
      <c r="I103" s="89"/>
    </row>
    <row r="104" spans="2:9" hidden="1" outlineLevel="1">
      <c r="B104" s="86">
        <v>45215</v>
      </c>
      <c r="C104" s="237">
        <v>1202.9782709999999</v>
      </c>
      <c r="D104" s="89">
        <f t="shared" si="3"/>
        <v>5.1903845909934354E-2</v>
      </c>
      <c r="F104" s="237">
        <v>19542.650390999999</v>
      </c>
      <c r="G104" s="89">
        <f t="shared" si="2"/>
        <v>-1.0551357105540893E-2</v>
      </c>
      <c r="H104" s="89"/>
      <c r="I104" s="89"/>
    </row>
    <row r="105" spans="2:9" hidden="1" outlineLevel="1">
      <c r="B105" s="86">
        <v>45222</v>
      </c>
      <c r="C105" s="237">
        <v>1182.9261469999999</v>
      </c>
      <c r="D105" s="89">
        <f t="shared" si="3"/>
        <v>-1.666873332909935E-2</v>
      </c>
      <c r="F105" s="237">
        <v>19047.25</v>
      </c>
      <c r="G105" s="89">
        <f t="shared" si="2"/>
        <v>-2.5349703396840506E-2</v>
      </c>
      <c r="H105" s="89"/>
      <c r="I105" s="89"/>
    </row>
    <row r="106" spans="2:9" hidden="1" outlineLevel="1">
      <c r="B106" s="86">
        <v>45229</v>
      </c>
      <c r="C106" s="237">
        <v>1241.236938</v>
      </c>
      <c r="D106" s="89">
        <f t="shared" si="3"/>
        <v>4.9293686801903158E-2</v>
      </c>
      <c r="F106" s="237">
        <v>19230.599609000001</v>
      </c>
      <c r="G106" s="89">
        <f t="shared" si="2"/>
        <v>9.6260409770438926E-3</v>
      </c>
      <c r="H106" s="89"/>
      <c r="I106" s="89"/>
    </row>
    <row r="107" spans="2:9" hidden="1" outlineLevel="1">
      <c r="B107" s="86">
        <v>45236</v>
      </c>
      <c r="C107" s="237">
        <v>1296.0561520000001</v>
      </c>
      <c r="D107" s="89">
        <f t="shared" si="3"/>
        <v>4.4164987619793372E-2</v>
      </c>
      <c r="F107" s="237">
        <v>19425.349609000001</v>
      </c>
      <c r="G107" s="89">
        <f t="shared" si="2"/>
        <v>1.0127089324289962E-2</v>
      </c>
      <c r="H107" s="89"/>
      <c r="I107" s="89"/>
    </row>
    <row r="108" spans="2:9" hidden="1" outlineLevel="1">
      <c r="B108" s="86">
        <v>45243</v>
      </c>
      <c r="C108" s="237">
        <v>1278.44812</v>
      </c>
      <c r="D108" s="89">
        <f t="shared" si="3"/>
        <v>-1.3585855807889513E-2</v>
      </c>
      <c r="F108" s="237">
        <v>19731.800781000002</v>
      </c>
      <c r="G108" s="89">
        <f t="shared" si="2"/>
        <v>1.5775838178892609E-2</v>
      </c>
      <c r="H108" s="89"/>
      <c r="I108" s="89"/>
    </row>
    <row r="109" spans="2:9" hidden="1" outlineLevel="1">
      <c r="B109" s="86">
        <v>45250</v>
      </c>
      <c r="C109" s="237">
        <v>1344.4904790000001</v>
      </c>
      <c r="D109" s="89">
        <f t="shared" si="3"/>
        <v>5.1658223722054641E-2</v>
      </c>
      <c r="F109" s="237">
        <v>19794.699218999998</v>
      </c>
      <c r="G109" s="89">
        <f t="shared" si="2"/>
        <v>3.1876684088845142E-3</v>
      </c>
      <c r="H109" s="89"/>
      <c r="I109" s="89"/>
    </row>
    <row r="110" spans="2:9" hidden="1" outlineLevel="1">
      <c r="B110" s="86">
        <v>45257</v>
      </c>
      <c r="C110" s="237">
        <v>1372.473755</v>
      </c>
      <c r="D110" s="89">
        <f t="shared" si="3"/>
        <v>2.0813294282911787E-2</v>
      </c>
      <c r="F110" s="237">
        <v>20267.900390999999</v>
      </c>
      <c r="G110" s="89">
        <f t="shared" si="2"/>
        <v>2.390544896715574E-2</v>
      </c>
      <c r="H110" s="89"/>
      <c r="I110" s="89"/>
    </row>
    <row r="111" spans="2:9" hidden="1" outlineLevel="1">
      <c r="B111" s="86">
        <v>45264</v>
      </c>
      <c r="C111" s="237">
        <v>1291.5169679999999</v>
      </c>
      <c r="D111" s="89">
        <f t="shared" si="3"/>
        <v>-5.8986036494373728E-2</v>
      </c>
      <c r="F111" s="237">
        <v>20969.400390999999</v>
      </c>
      <c r="G111" s="89">
        <f t="shared" si="2"/>
        <v>3.4611379889724736E-2</v>
      </c>
      <c r="H111" s="89"/>
      <c r="I111" s="89"/>
    </row>
    <row r="112" spans="2:9" hidden="1" outlineLevel="1">
      <c r="B112" s="86">
        <v>45271</v>
      </c>
      <c r="C112" s="237">
        <v>1306.38147</v>
      </c>
      <c r="D112" s="89">
        <f t="shared" si="3"/>
        <v>1.1509335431356238E-2</v>
      </c>
      <c r="F112" s="237">
        <v>21456.650390999999</v>
      </c>
      <c r="G112" s="89">
        <f t="shared" si="2"/>
        <v>2.3236239039487572E-2</v>
      </c>
      <c r="H112" s="89"/>
      <c r="I112" s="89"/>
    </row>
    <row r="113" spans="1:13" hidden="1" outlineLevel="1">
      <c r="B113" s="86">
        <v>45278</v>
      </c>
      <c r="C113" s="237">
        <v>1296.505005</v>
      </c>
      <c r="D113" s="89">
        <f t="shared" si="3"/>
        <v>-7.5601692360195427E-3</v>
      </c>
      <c r="F113" s="237">
        <v>21349.400390999999</v>
      </c>
      <c r="G113" s="89">
        <f t="shared" si="2"/>
        <v>-4.9984502727874469E-3</v>
      </c>
      <c r="H113" s="89"/>
      <c r="I113" s="89"/>
    </row>
    <row r="114" spans="1:13" hidden="1" outlineLevel="1">
      <c r="B114" s="86">
        <v>45285</v>
      </c>
      <c r="C114" s="237">
        <v>1269.170288</v>
      </c>
      <c r="D114" s="89">
        <f t="shared" si="3"/>
        <v>-2.1083387179056778E-2</v>
      </c>
      <c r="F114" s="237">
        <v>21731.400390999999</v>
      </c>
      <c r="G114" s="89">
        <f t="shared" si="2"/>
        <v>1.7892774176507364E-2</v>
      </c>
      <c r="H114" s="89"/>
      <c r="I114" s="89"/>
    </row>
    <row r="115" spans="1:13" hidden="1" outlineLevel="1">
      <c r="B115" s="86">
        <v>45292</v>
      </c>
      <c r="C115" s="237">
        <v>1256.600342</v>
      </c>
      <c r="D115" s="89">
        <f t="shared" si="3"/>
        <v>-9.9040657655232733E-3</v>
      </c>
      <c r="F115" s="237">
        <v>21710.800781000002</v>
      </c>
      <c r="G115" s="89">
        <f t="shared" si="2"/>
        <v>-9.4791912299074799E-4</v>
      </c>
      <c r="H115" s="89"/>
      <c r="I115" s="89"/>
    </row>
    <row r="116" spans="1:13" hidden="1" outlineLevel="1">
      <c r="B116" s="86">
        <v>45299</v>
      </c>
      <c r="C116" s="237">
        <v>1268.4720460000001</v>
      </c>
      <c r="D116" s="89">
        <f t="shared" si="3"/>
        <v>9.447477931690873E-3</v>
      </c>
      <c r="F116" s="237">
        <v>21894.550781000002</v>
      </c>
      <c r="G116" s="89">
        <f t="shared" si="2"/>
        <v>8.4635293674109047E-3</v>
      </c>
      <c r="H116" s="89"/>
      <c r="I116" s="89"/>
    </row>
    <row r="117" spans="1:13" hidden="1" outlineLevel="1">
      <c r="B117" s="86">
        <v>45306</v>
      </c>
      <c r="C117" s="237">
        <v>1162.8741460000001</v>
      </c>
      <c r="D117" s="89">
        <f t="shared" si="3"/>
        <v>-8.3248109670995496E-2</v>
      </c>
      <c r="F117" s="237">
        <v>21622.400390999999</v>
      </c>
      <c r="G117" s="89">
        <f t="shared" si="2"/>
        <v>-1.2430051327482539E-2</v>
      </c>
      <c r="H117" s="89"/>
      <c r="I117" s="89"/>
    </row>
    <row r="118" spans="1:13" hidden="1" outlineLevel="1">
      <c r="B118" s="86">
        <v>45313</v>
      </c>
      <c r="C118" s="237">
        <v>1177.0902100000001</v>
      </c>
      <c r="D118" s="89">
        <f t="shared" si="3"/>
        <v>1.2224937710499262E-2</v>
      </c>
      <c r="F118" s="237">
        <v>21352.599609000001</v>
      </c>
      <c r="G118" s="89">
        <f t="shared" si="2"/>
        <v>-1.2477836739731241E-2</v>
      </c>
      <c r="H118" s="89"/>
      <c r="I118" s="89"/>
    </row>
    <row r="119" spans="1:13" hidden="1" outlineLevel="1">
      <c r="B119" s="86">
        <v>45320</v>
      </c>
      <c r="C119" s="237">
        <v>1079.822388</v>
      </c>
      <c r="D119" s="89">
        <f t="shared" si="3"/>
        <v>-8.2634127081899766E-2</v>
      </c>
      <c r="F119" s="237">
        <v>21853.800781000002</v>
      </c>
      <c r="G119" s="89">
        <f t="shared" si="2"/>
        <v>2.3472606669810325E-2</v>
      </c>
      <c r="H119" s="89"/>
      <c r="I119" s="89"/>
    </row>
    <row r="120" spans="1:13" hidden="1" outlineLevel="1">
      <c r="B120" s="86">
        <v>45327</v>
      </c>
      <c r="C120" s="237">
        <v>1100.150024</v>
      </c>
      <c r="D120" s="89">
        <f t="shared" si="3"/>
        <v>1.8824981057903312E-2</v>
      </c>
      <c r="F120" s="237">
        <v>21782.5</v>
      </c>
      <c r="G120" s="89">
        <f t="shared" si="2"/>
        <v>-3.2626261085894059E-3</v>
      </c>
      <c r="H120" s="89"/>
      <c r="I120" s="89"/>
    </row>
    <row r="121" spans="1:13" hidden="1" outlineLevel="1">
      <c r="B121" s="86">
        <v>45334</v>
      </c>
      <c r="C121" s="237">
        <v>1123.349976</v>
      </c>
      <c r="D121" s="89">
        <f t="shared" si="3"/>
        <v>2.1087989359531045E-2</v>
      </c>
      <c r="F121" s="237">
        <v>22040.699218999998</v>
      </c>
      <c r="G121" s="89">
        <f t="shared" si="2"/>
        <v>1.1853516308963474E-2</v>
      </c>
      <c r="H121" s="89"/>
      <c r="I121" s="89"/>
    </row>
    <row r="122" spans="1:13" hidden="1" outlineLevel="1">
      <c r="B122" s="86">
        <v>45341</v>
      </c>
      <c r="C122" s="237">
        <v>1138.849976</v>
      </c>
      <c r="D122" s="89">
        <f t="shared" si="3"/>
        <v>1.3798015161038402E-2</v>
      </c>
      <c r="F122" s="237">
        <v>22212.699218999998</v>
      </c>
      <c r="G122" s="89">
        <f t="shared" si="2"/>
        <v>7.803745166656384E-3</v>
      </c>
      <c r="H122" s="89"/>
      <c r="I122" s="89"/>
    </row>
    <row r="123" spans="1:13" hidden="1" outlineLevel="1">
      <c r="B123" s="86">
        <v>45348</v>
      </c>
      <c r="C123" s="237">
        <v>1145.9499510000001</v>
      </c>
      <c r="D123" s="89">
        <f t="shared" si="3"/>
        <v>6.234337401434864E-3</v>
      </c>
      <c r="F123" s="237">
        <v>22338.75</v>
      </c>
      <c r="G123" s="89">
        <f t="shared" si="2"/>
        <v>5.6747169606556902E-3</v>
      </c>
      <c r="H123" s="89"/>
      <c r="I123" s="89"/>
    </row>
    <row r="124" spans="1:13" collapsed="1"/>
    <row r="125" spans="1:13">
      <c r="A125" t="s">
        <v>59</v>
      </c>
      <c r="B125" s="246" t="s">
        <v>215</v>
      </c>
      <c r="C125" s="246"/>
      <c r="D125" s="246"/>
      <c r="E125" s="246"/>
      <c r="F125" s="246"/>
      <c r="G125" s="246"/>
      <c r="H125" s="246"/>
      <c r="I125" s="246"/>
      <c r="J125" s="246"/>
      <c r="K125" s="161"/>
      <c r="L125" s="161"/>
      <c r="M125" s="161"/>
    </row>
    <row r="126" spans="1:13" hidden="1" outlineLevel="1"/>
    <row r="127" spans="1:13" hidden="1" outlineLevel="1">
      <c r="B127" s="246" t="s">
        <v>214</v>
      </c>
      <c r="C127" s="246"/>
      <c r="D127" s="246"/>
      <c r="F127" s="246" t="s">
        <v>178</v>
      </c>
      <c r="G127" s="246"/>
      <c r="H127" s="80"/>
      <c r="I127" s="246" t="s">
        <v>179</v>
      </c>
      <c r="J127" s="246"/>
    </row>
    <row r="128" spans="1:13" hidden="1" outlineLevel="1"/>
    <row r="129" spans="2:17" hidden="1" outlineLevel="1">
      <c r="B129" s="81" t="s">
        <v>180</v>
      </c>
      <c r="C129" s="82" t="s">
        <v>181</v>
      </c>
      <c r="D129" s="82" t="s">
        <v>182</v>
      </c>
      <c r="F129" s="82" t="s">
        <v>181</v>
      </c>
      <c r="G129" s="82" t="s">
        <v>182</v>
      </c>
      <c r="H129" s="83"/>
      <c r="I129" s="84" t="s">
        <v>183</v>
      </c>
      <c r="J129" s="85">
        <f>M149</f>
        <v>1.152508356554252</v>
      </c>
    </row>
    <row r="130" spans="2:17" hidden="1" outlineLevel="1">
      <c r="B130" s="86">
        <v>44620</v>
      </c>
      <c r="C130" s="237">
        <v>264.35000600000001</v>
      </c>
      <c r="D130" s="87"/>
      <c r="F130" s="237">
        <v>16245.349609000001</v>
      </c>
      <c r="G130" s="87"/>
      <c r="H130" s="87"/>
      <c r="I130" s="88" t="s">
        <v>184</v>
      </c>
      <c r="J130" s="52">
        <v>0.75</v>
      </c>
    </row>
    <row r="131" spans="2:17" hidden="1" outlineLevel="1">
      <c r="B131" s="86">
        <v>44627</v>
      </c>
      <c r="C131" s="237">
        <v>279.35000600000001</v>
      </c>
      <c r="D131" s="89">
        <f>C131/C130-1</f>
        <v>5.6742953128588125E-2</v>
      </c>
      <c r="F131" s="237">
        <v>16630.449218999998</v>
      </c>
      <c r="G131" s="89">
        <f>F131/F130-1</f>
        <v>2.3705221449137115E-2</v>
      </c>
      <c r="H131" s="89"/>
      <c r="I131" s="90"/>
    </row>
    <row r="132" spans="2:17" hidden="1" outlineLevel="1">
      <c r="B132" s="86">
        <v>44634</v>
      </c>
      <c r="C132" s="237">
        <v>285.25</v>
      </c>
      <c r="D132" s="89">
        <f>C132/C131-1</f>
        <v>2.112043627448501E-2</v>
      </c>
      <c r="F132" s="237">
        <v>17287.050781000002</v>
      </c>
      <c r="G132" s="89">
        <f t="shared" ref="G132:G195" si="4">F132/F131-1</f>
        <v>3.9481889716475482E-2</v>
      </c>
      <c r="H132" s="89"/>
      <c r="I132" s="90" t="s">
        <v>185</v>
      </c>
      <c r="J132" s="85">
        <v>1</v>
      </c>
      <c r="L132" t="s">
        <v>188</v>
      </c>
    </row>
    <row r="133" spans="2:17" ht="15.75" hidden="1" outlineLevel="1" thickBot="1">
      <c r="B133" s="86">
        <v>44641</v>
      </c>
      <c r="C133" s="237">
        <v>293.85000600000001</v>
      </c>
      <c r="D133" s="89">
        <f t="shared" ref="D133:D196" si="5">C133/C132-1</f>
        <v>3.0149013146362869E-2</v>
      </c>
      <c r="F133" s="237">
        <v>17153</v>
      </c>
      <c r="G133" s="89">
        <f t="shared" si="4"/>
        <v>-7.7544043051771538E-3</v>
      </c>
      <c r="H133" s="89"/>
      <c r="I133" s="90" t="s">
        <v>186</v>
      </c>
      <c r="J133" s="52">
        <v>0.25</v>
      </c>
    </row>
    <row r="134" spans="2:17" hidden="1" outlineLevel="1">
      <c r="B134" s="86">
        <v>44648</v>
      </c>
      <c r="C134" s="237">
        <v>300</v>
      </c>
      <c r="D134" s="89">
        <f t="shared" si="5"/>
        <v>2.0929024585420564E-2</v>
      </c>
      <c r="F134" s="237">
        <v>17670.449218999998</v>
      </c>
      <c r="G134" s="89">
        <f t="shared" si="4"/>
        <v>3.0166689150585846E-2</v>
      </c>
      <c r="H134" s="89"/>
      <c r="I134" s="90"/>
      <c r="L134" s="96" t="s">
        <v>189</v>
      </c>
      <c r="M134" s="96"/>
    </row>
    <row r="135" spans="2:17" hidden="1" outlineLevel="1">
      <c r="B135" s="86">
        <v>44655</v>
      </c>
      <c r="C135" s="237">
        <v>308.39999399999999</v>
      </c>
      <c r="D135" s="89">
        <f t="shared" si="5"/>
        <v>2.7999979999999924E-2</v>
      </c>
      <c r="F135" s="237">
        <v>17784.349609000001</v>
      </c>
      <c r="G135" s="89">
        <f t="shared" si="4"/>
        <v>6.4458117950692007E-3</v>
      </c>
      <c r="H135" s="89"/>
      <c r="I135" s="91" t="s">
        <v>187</v>
      </c>
      <c r="J135" s="92">
        <f>(J129*J130)+(J132*J133)</f>
        <v>1.114381267415689</v>
      </c>
      <c r="L135" s="93" t="s">
        <v>190</v>
      </c>
      <c r="M135" s="93">
        <v>0.51083528256708599</v>
      </c>
    </row>
    <row r="136" spans="2:17" hidden="1" outlineLevel="1">
      <c r="B136" s="86">
        <v>44662</v>
      </c>
      <c r="C136" s="237">
        <v>294.20001200000002</v>
      </c>
      <c r="D136" s="89">
        <f>C136/C135-1</f>
        <v>-4.6044041103321054E-2</v>
      </c>
      <c r="F136" s="237">
        <v>17475.650390999999</v>
      </c>
      <c r="G136" s="89">
        <f>F136/F135-1</f>
        <v>-1.7357914390289553E-2</v>
      </c>
      <c r="H136" s="89"/>
      <c r="I136" s="89"/>
      <c r="L136" s="93" t="s">
        <v>191</v>
      </c>
      <c r="M136" s="93">
        <v>0.26095268591539456</v>
      </c>
    </row>
    <row r="137" spans="2:17" hidden="1" outlineLevel="1">
      <c r="B137" s="86">
        <v>44669</v>
      </c>
      <c r="C137" s="237">
        <v>285.04998799999998</v>
      </c>
      <c r="D137" s="89">
        <f t="shared" si="5"/>
        <v>-3.1101371946918976E-2</v>
      </c>
      <c r="F137" s="237">
        <v>17171.949218999998</v>
      </c>
      <c r="G137" s="89">
        <f t="shared" si="4"/>
        <v>-1.7378533285170805E-2</v>
      </c>
      <c r="H137" s="89"/>
      <c r="I137" s="89"/>
      <c r="L137" s="93" t="s">
        <v>192</v>
      </c>
      <c r="M137" s="93">
        <v>0.25370712401260431</v>
      </c>
    </row>
    <row r="138" spans="2:17" hidden="1" outlineLevel="1">
      <c r="B138" s="86">
        <v>44676</v>
      </c>
      <c r="C138" s="237">
        <v>285.5</v>
      </c>
      <c r="D138" s="89">
        <f t="shared" si="5"/>
        <v>1.5787125730382101E-3</v>
      </c>
      <c r="F138" s="237">
        <v>17102.550781000002</v>
      </c>
      <c r="G138" s="89">
        <f t="shared" si="4"/>
        <v>-4.041383835634127E-3</v>
      </c>
      <c r="H138" s="89"/>
      <c r="I138" s="89"/>
      <c r="L138" s="93" t="s">
        <v>193</v>
      </c>
      <c r="M138" s="93">
        <v>3.4141011885378818E-2</v>
      </c>
    </row>
    <row r="139" spans="2:17" ht="15.75" hidden="1" outlineLevel="1" thickBot="1">
      <c r="B139" s="86">
        <v>44683</v>
      </c>
      <c r="C139" s="237">
        <v>270.35000600000001</v>
      </c>
      <c r="D139" s="89">
        <f t="shared" si="5"/>
        <v>-5.3064777583187395E-2</v>
      </c>
      <c r="F139" s="237">
        <v>16411.25</v>
      </c>
      <c r="G139" s="89">
        <f t="shared" si="4"/>
        <v>-4.0420916730619982E-2</v>
      </c>
      <c r="H139" s="89"/>
      <c r="I139" s="89"/>
      <c r="L139" s="94" t="s">
        <v>194</v>
      </c>
      <c r="M139" s="94">
        <v>104</v>
      </c>
    </row>
    <row r="140" spans="2:17" hidden="1" outlineLevel="1">
      <c r="B140" s="86">
        <v>44690</v>
      </c>
      <c r="C140" s="237">
        <v>264.20001200000002</v>
      </c>
      <c r="D140" s="89">
        <f t="shared" si="5"/>
        <v>-2.2748266556354313E-2</v>
      </c>
      <c r="F140" s="237">
        <v>15782.150390999999</v>
      </c>
      <c r="G140" s="89">
        <f t="shared" si="4"/>
        <v>-3.8333436453652281E-2</v>
      </c>
      <c r="H140" s="89"/>
      <c r="I140" s="89"/>
    </row>
    <row r="141" spans="2:17" ht="15.75" hidden="1" outlineLevel="1" thickBot="1">
      <c r="B141" s="86">
        <v>44697</v>
      </c>
      <c r="C141" s="237">
        <v>271.25</v>
      </c>
      <c r="D141" s="89">
        <f t="shared" si="5"/>
        <v>2.6684283420850052E-2</v>
      </c>
      <c r="F141" s="237">
        <v>16266.150390999999</v>
      </c>
      <c r="G141" s="89">
        <f t="shared" si="4"/>
        <v>3.0667557209187901E-2</v>
      </c>
      <c r="H141" s="89"/>
      <c r="I141" s="89"/>
      <c r="L141" t="s">
        <v>195</v>
      </c>
    </row>
    <row r="142" spans="2:17" hidden="1" outlineLevel="1">
      <c r="B142" s="86">
        <v>44704</v>
      </c>
      <c r="C142" s="237">
        <v>259.70001200000002</v>
      </c>
      <c r="D142" s="89">
        <f t="shared" si="5"/>
        <v>-4.258060092165894E-2</v>
      </c>
      <c r="F142" s="237">
        <v>16352.450194999999</v>
      </c>
      <c r="G142" s="89">
        <f t="shared" si="4"/>
        <v>5.3054842064996777E-3</v>
      </c>
      <c r="H142" s="89"/>
      <c r="I142" s="89"/>
      <c r="L142" s="95"/>
      <c r="M142" s="95" t="s">
        <v>199</v>
      </c>
      <c r="N142" s="95" t="s">
        <v>200</v>
      </c>
      <c r="O142" s="95" t="s">
        <v>201</v>
      </c>
      <c r="P142" s="95" t="s">
        <v>202</v>
      </c>
      <c r="Q142" s="95" t="s">
        <v>203</v>
      </c>
    </row>
    <row r="143" spans="2:17" hidden="1" outlineLevel="1">
      <c r="B143" s="86">
        <v>44711</v>
      </c>
      <c r="C143" s="237">
        <v>271</v>
      </c>
      <c r="D143" s="89">
        <f t="shared" si="5"/>
        <v>4.3511696102655595E-2</v>
      </c>
      <c r="F143" s="237">
        <v>16584.300781000002</v>
      </c>
      <c r="G143" s="89">
        <f t="shared" si="4"/>
        <v>1.4178339223494207E-2</v>
      </c>
      <c r="H143" s="89"/>
      <c r="I143" s="89"/>
      <c r="L143" s="93" t="s">
        <v>196</v>
      </c>
      <c r="M143" s="93">
        <v>1</v>
      </c>
      <c r="N143" s="93">
        <v>4.1980004191544698E-2</v>
      </c>
      <c r="O143" s="93">
        <v>4.1980004191544698E-2</v>
      </c>
      <c r="P143" s="93">
        <v>36.015520868699262</v>
      </c>
      <c r="Q143" s="93">
        <v>3.0161513821588927E-8</v>
      </c>
    </row>
    <row r="144" spans="2:17" hidden="1" outlineLevel="1">
      <c r="B144" s="86">
        <v>44718</v>
      </c>
      <c r="C144" s="237">
        <v>259.04998799999998</v>
      </c>
      <c r="D144" s="89">
        <f t="shared" si="5"/>
        <v>-4.4095985239852475E-2</v>
      </c>
      <c r="F144" s="237">
        <v>16201.799805000001</v>
      </c>
      <c r="G144" s="89">
        <f t="shared" si="4"/>
        <v>-2.3064039964724836E-2</v>
      </c>
      <c r="H144" s="89"/>
      <c r="I144" s="89"/>
      <c r="L144" s="93" t="s">
        <v>197</v>
      </c>
      <c r="M144" s="93">
        <v>102</v>
      </c>
      <c r="N144" s="93">
        <v>0.1188920866408729</v>
      </c>
      <c r="O144" s="93">
        <v>1.1656086925575775E-3</v>
      </c>
      <c r="P144" s="93"/>
      <c r="Q144" s="93"/>
    </row>
    <row r="145" spans="2:20" ht="15.75" hidden="1" outlineLevel="1" thickBot="1">
      <c r="B145" s="86">
        <v>44725</v>
      </c>
      <c r="C145" s="237">
        <v>230.14999399999999</v>
      </c>
      <c r="D145" s="89">
        <f t="shared" si="5"/>
        <v>-0.11156145662512051</v>
      </c>
      <c r="F145" s="237">
        <v>15293.5</v>
      </c>
      <c r="G145" s="89">
        <f t="shared" si="4"/>
        <v>-5.606166079892505E-2</v>
      </c>
      <c r="H145" s="89"/>
      <c r="I145" s="89"/>
      <c r="L145" s="94" t="s">
        <v>13</v>
      </c>
      <c r="M145" s="94">
        <v>103</v>
      </c>
      <c r="N145" s="94">
        <v>0.1608720908324176</v>
      </c>
      <c r="O145" s="94"/>
      <c r="P145" s="94"/>
      <c r="Q145" s="94"/>
    </row>
    <row r="146" spans="2:20" ht="15.75" hidden="1" outlineLevel="1" thickBot="1">
      <c r="B146" s="86">
        <v>44732</v>
      </c>
      <c r="C146" s="237">
        <v>239.75</v>
      </c>
      <c r="D146" s="89">
        <f t="shared" si="5"/>
        <v>4.1711954161510967E-2</v>
      </c>
      <c r="F146" s="237">
        <v>15699.25</v>
      </c>
      <c r="G146" s="89">
        <f t="shared" si="4"/>
        <v>2.6530879131657192E-2</v>
      </c>
      <c r="H146" s="89"/>
      <c r="I146" s="89"/>
    </row>
    <row r="147" spans="2:20" hidden="1" outlineLevel="1">
      <c r="B147" s="86">
        <v>44739</v>
      </c>
      <c r="C147" s="237">
        <v>242.550003</v>
      </c>
      <c r="D147" s="89">
        <f t="shared" si="5"/>
        <v>1.1678844629822827E-2</v>
      </c>
      <c r="F147" s="237">
        <v>15752.049805000001</v>
      </c>
      <c r="G147" s="89">
        <f t="shared" si="4"/>
        <v>3.3632055671448668E-3</v>
      </c>
      <c r="H147" s="89"/>
      <c r="I147" s="89"/>
      <c r="L147" s="95"/>
      <c r="M147" s="95" t="s">
        <v>204</v>
      </c>
      <c r="N147" s="95" t="s">
        <v>193</v>
      </c>
      <c r="O147" s="95" t="s">
        <v>205</v>
      </c>
      <c r="P147" s="95" t="s">
        <v>206</v>
      </c>
      <c r="Q147" s="95" t="s">
        <v>207</v>
      </c>
      <c r="R147" s="95" t="s">
        <v>208</v>
      </c>
      <c r="S147" s="95" t="s">
        <v>209</v>
      </c>
      <c r="T147" s="95" t="s">
        <v>210</v>
      </c>
    </row>
    <row r="148" spans="2:20" hidden="1" outlineLevel="1">
      <c r="B148" s="86">
        <v>44746</v>
      </c>
      <c r="C148" s="237">
        <v>253.39999399999999</v>
      </c>
      <c r="D148" s="89">
        <f t="shared" si="5"/>
        <v>4.473300707400929E-2</v>
      </c>
      <c r="F148" s="237">
        <v>16220.599609000001</v>
      </c>
      <c r="G148" s="89">
        <f t="shared" si="4"/>
        <v>2.9745322659611828E-2</v>
      </c>
      <c r="H148" s="89"/>
      <c r="I148" s="89"/>
      <c r="L148" s="93" t="s">
        <v>198</v>
      </c>
      <c r="M148" s="93">
        <v>-4.272372884283112E-3</v>
      </c>
      <c r="N148" s="93">
        <v>3.4044221133681355E-3</v>
      </c>
      <c r="O148" s="93">
        <v>-1.2549480475722432</v>
      </c>
      <c r="P148" s="93">
        <v>0.21236536272565226</v>
      </c>
      <c r="Q148" s="93">
        <v>-1.1025028004295431E-2</v>
      </c>
      <c r="R148" s="93">
        <v>2.4802822357292082E-3</v>
      </c>
      <c r="S148" s="93">
        <v>-1.1025028004295431E-2</v>
      </c>
      <c r="T148" s="93">
        <v>2.4802822357292082E-3</v>
      </c>
    </row>
    <row r="149" spans="2:20" ht="15.75" hidden="1" outlineLevel="1" thickBot="1">
      <c r="B149" s="86">
        <v>44753</v>
      </c>
      <c r="C149" s="237">
        <v>254.64999399999999</v>
      </c>
      <c r="D149" s="89">
        <f t="shared" si="5"/>
        <v>4.9329125082773206E-3</v>
      </c>
      <c r="F149" s="237">
        <v>16049.200194999999</v>
      </c>
      <c r="G149" s="89">
        <f t="shared" si="4"/>
        <v>-1.0566774233481513E-2</v>
      </c>
      <c r="H149" s="89"/>
      <c r="I149" s="89"/>
      <c r="L149" s="94" t="s">
        <v>211</v>
      </c>
      <c r="M149" s="94">
        <v>1.152508356554252</v>
      </c>
      <c r="N149" s="94">
        <v>0.19204333222925923</v>
      </c>
      <c r="O149" s="94">
        <v>6.0012932663467851</v>
      </c>
      <c r="P149" s="94">
        <v>3.0161513821588927E-8</v>
      </c>
      <c r="Q149" s="94">
        <v>0.77159131763890021</v>
      </c>
      <c r="R149" s="94">
        <v>1.5334253954696038</v>
      </c>
      <c r="S149" s="94">
        <v>0.77159131763890021</v>
      </c>
      <c r="T149" s="94">
        <v>1.5334253954696038</v>
      </c>
    </row>
    <row r="150" spans="2:20" hidden="1" outlineLevel="1">
      <c r="B150" s="86">
        <v>44760</v>
      </c>
      <c r="C150" s="237">
        <v>270</v>
      </c>
      <c r="D150" s="89">
        <f t="shared" si="5"/>
        <v>6.0278839040538212E-2</v>
      </c>
      <c r="F150" s="237">
        <v>16719.449218999998</v>
      </c>
      <c r="G150" s="89">
        <f t="shared" si="4"/>
        <v>4.1762144895470144E-2</v>
      </c>
      <c r="H150" s="89"/>
      <c r="I150" s="89"/>
    </row>
    <row r="151" spans="2:20" hidden="1" outlineLevel="1">
      <c r="B151" s="86">
        <v>44767</v>
      </c>
      <c r="C151" s="237">
        <v>268.64999399999999</v>
      </c>
      <c r="D151" s="89">
        <f t="shared" si="5"/>
        <v>-5.000022222222289E-3</v>
      </c>
      <c r="F151" s="237">
        <v>17158.25</v>
      </c>
      <c r="G151" s="89">
        <f t="shared" si="4"/>
        <v>2.6244930395275645E-2</v>
      </c>
      <c r="H151" s="89"/>
      <c r="I151" s="89"/>
    </row>
    <row r="152" spans="2:20" hidden="1" outlineLevel="1">
      <c r="B152" s="86">
        <v>44774</v>
      </c>
      <c r="C152" s="237">
        <v>277.89999399999999</v>
      </c>
      <c r="D152" s="89">
        <f t="shared" si="5"/>
        <v>3.4431417109951568E-2</v>
      </c>
      <c r="F152" s="237">
        <v>17397.5</v>
      </c>
      <c r="G152" s="89">
        <f t="shared" si="4"/>
        <v>1.3943729692713402E-2</v>
      </c>
      <c r="H152" s="89"/>
      <c r="I152" s="89"/>
    </row>
    <row r="153" spans="2:20" hidden="1" outlineLevel="1">
      <c r="B153" s="86">
        <v>44781</v>
      </c>
      <c r="C153" s="237">
        <v>289.89999399999999</v>
      </c>
      <c r="D153" s="89">
        <f t="shared" si="5"/>
        <v>4.3181001292141197E-2</v>
      </c>
      <c r="F153" s="237">
        <v>17698.150390999999</v>
      </c>
      <c r="G153" s="89">
        <f t="shared" si="4"/>
        <v>1.7281241040379314E-2</v>
      </c>
      <c r="H153" s="89"/>
      <c r="I153" s="89"/>
    </row>
    <row r="154" spans="2:20" hidden="1" outlineLevel="1">
      <c r="B154" s="86">
        <v>44788</v>
      </c>
      <c r="C154" s="237">
        <v>284</v>
      </c>
      <c r="D154" s="89">
        <f t="shared" si="5"/>
        <v>-2.0351825188378525E-2</v>
      </c>
      <c r="F154" s="237">
        <v>17758.449218999998</v>
      </c>
      <c r="G154" s="89">
        <f t="shared" si="4"/>
        <v>3.4070694771959342E-3</v>
      </c>
      <c r="H154" s="89"/>
      <c r="I154" s="89"/>
    </row>
    <row r="155" spans="2:20" hidden="1" outlineLevel="1">
      <c r="B155" s="86">
        <v>44795</v>
      </c>
      <c r="C155" s="237">
        <v>305.20001200000002</v>
      </c>
      <c r="D155" s="89">
        <f t="shared" si="5"/>
        <v>7.4647929577464911E-2</v>
      </c>
      <c r="F155" s="237">
        <v>17558.900390999999</v>
      </c>
      <c r="G155" s="89">
        <f t="shared" si="4"/>
        <v>-1.1236838619134604E-2</v>
      </c>
      <c r="H155" s="89"/>
      <c r="I155" s="89"/>
    </row>
    <row r="156" spans="2:20" hidden="1" outlineLevel="1">
      <c r="B156" s="86">
        <v>44802</v>
      </c>
      <c r="C156" s="237">
        <v>307.45001200000002</v>
      </c>
      <c r="D156" s="89">
        <f t="shared" si="5"/>
        <v>7.3722146511581155E-3</v>
      </c>
      <c r="F156" s="237">
        <v>17539.449218999998</v>
      </c>
      <c r="G156" s="89">
        <f t="shared" si="4"/>
        <v>-1.1077670905844661E-3</v>
      </c>
      <c r="H156" s="89"/>
      <c r="I156" s="89"/>
    </row>
    <row r="157" spans="2:20" hidden="1" outlineLevel="1">
      <c r="B157" s="86">
        <v>44809</v>
      </c>
      <c r="C157" s="237">
        <v>324.95001200000002</v>
      </c>
      <c r="D157" s="89">
        <f t="shared" si="5"/>
        <v>5.6919822140062193E-2</v>
      </c>
      <c r="F157" s="237">
        <v>17833.349609000001</v>
      </c>
      <c r="G157" s="89">
        <f t="shared" si="4"/>
        <v>1.6756534730955508E-2</v>
      </c>
      <c r="H157" s="89"/>
      <c r="I157" s="89"/>
    </row>
    <row r="158" spans="2:20" hidden="1" outlineLevel="1">
      <c r="B158" s="86">
        <v>44816</v>
      </c>
      <c r="C158" s="237">
        <v>326.70001200000002</v>
      </c>
      <c r="D158" s="89">
        <f t="shared" si="5"/>
        <v>5.3854437155707036E-3</v>
      </c>
      <c r="F158" s="237">
        <v>17530.849609000001</v>
      </c>
      <c r="G158" s="89">
        <f t="shared" si="4"/>
        <v>-1.6962601341440453E-2</v>
      </c>
      <c r="H158" s="89"/>
      <c r="I158" s="89"/>
    </row>
    <row r="159" spans="2:20" hidden="1" outlineLevel="1">
      <c r="B159" s="86">
        <v>44823</v>
      </c>
      <c r="C159" s="237">
        <v>335.14999399999999</v>
      </c>
      <c r="D159" s="89">
        <f t="shared" si="5"/>
        <v>2.5864651636437586E-2</v>
      </c>
      <c r="F159" s="237">
        <v>17327.349609000001</v>
      </c>
      <c r="G159" s="89">
        <f t="shared" si="4"/>
        <v>-1.1608108251383698E-2</v>
      </c>
      <c r="H159" s="89"/>
      <c r="I159" s="89"/>
    </row>
    <row r="160" spans="2:20" hidden="1" outlineLevel="1">
      <c r="B160" s="86">
        <v>44830</v>
      </c>
      <c r="C160" s="237">
        <v>349.10000600000001</v>
      </c>
      <c r="D160" s="89">
        <f t="shared" si="5"/>
        <v>4.1623190361745888E-2</v>
      </c>
      <c r="F160" s="237">
        <v>17094.349609000001</v>
      </c>
      <c r="G160" s="89">
        <f t="shared" si="4"/>
        <v>-1.3446949779265527E-2</v>
      </c>
      <c r="H160" s="89"/>
      <c r="I160" s="89"/>
    </row>
    <row r="161" spans="2:9" hidden="1" outlineLevel="1">
      <c r="B161" s="86">
        <v>44837</v>
      </c>
      <c r="C161" s="237">
        <v>340.20001200000002</v>
      </c>
      <c r="D161" s="89">
        <f t="shared" si="5"/>
        <v>-2.5494110131868641E-2</v>
      </c>
      <c r="F161" s="237">
        <v>17314.650390999999</v>
      </c>
      <c r="G161" s="89">
        <f t="shared" si="4"/>
        <v>1.2887345060733635E-2</v>
      </c>
      <c r="H161" s="89"/>
      <c r="I161" s="89"/>
    </row>
    <row r="162" spans="2:9" hidden="1" outlineLevel="1">
      <c r="B162" s="86">
        <v>44844</v>
      </c>
      <c r="C162" s="237">
        <v>327.70001200000002</v>
      </c>
      <c r="D162" s="89">
        <f t="shared" si="5"/>
        <v>-3.6743091002595207E-2</v>
      </c>
      <c r="F162" s="237">
        <v>17185.699218999998</v>
      </c>
      <c r="G162" s="89">
        <f t="shared" si="4"/>
        <v>-7.4475180894804094E-3</v>
      </c>
      <c r="H162" s="89"/>
      <c r="I162" s="89"/>
    </row>
    <row r="163" spans="2:9" hidden="1" outlineLevel="1">
      <c r="B163" s="86">
        <v>44851</v>
      </c>
      <c r="C163" s="237">
        <v>331.10000600000001</v>
      </c>
      <c r="D163" s="89">
        <f t="shared" si="5"/>
        <v>1.0375324612438508E-2</v>
      </c>
      <c r="F163" s="237">
        <v>17576.300781000002</v>
      </c>
      <c r="G163" s="89">
        <f t="shared" si="4"/>
        <v>2.2728290366455628E-2</v>
      </c>
      <c r="H163" s="89"/>
      <c r="I163" s="89"/>
    </row>
    <row r="164" spans="2:9" hidden="1" outlineLevel="1">
      <c r="B164" s="86">
        <v>44858</v>
      </c>
      <c r="C164" s="237">
        <v>343.29998799999998</v>
      </c>
      <c r="D164" s="89">
        <f t="shared" si="5"/>
        <v>3.684681902421949E-2</v>
      </c>
      <c r="F164" s="237">
        <v>17786.800781000002</v>
      </c>
      <c r="G164" s="89">
        <f t="shared" si="4"/>
        <v>1.197635399068453E-2</v>
      </c>
      <c r="H164" s="89"/>
      <c r="I164" s="89"/>
    </row>
    <row r="165" spans="2:9" hidden="1" outlineLevel="1">
      <c r="B165" s="86">
        <v>44865</v>
      </c>
      <c r="C165" s="237">
        <v>329.14999399999999</v>
      </c>
      <c r="D165" s="89">
        <f t="shared" si="5"/>
        <v>-4.1217577904488545E-2</v>
      </c>
      <c r="F165" s="237">
        <v>18117.150390999999</v>
      </c>
      <c r="G165" s="89">
        <f t="shared" si="4"/>
        <v>1.8572739081492262E-2</v>
      </c>
      <c r="H165" s="89"/>
      <c r="I165" s="89"/>
    </row>
    <row r="166" spans="2:9" hidden="1" outlineLevel="1">
      <c r="B166" s="86">
        <v>44872</v>
      </c>
      <c r="C166" s="237">
        <v>318.89999399999999</v>
      </c>
      <c r="D166" s="89">
        <f t="shared" si="5"/>
        <v>-3.1140817824228839E-2</v>
      </c>
      <c r="F166" s="237">
        <v>18349.699218999998</v>
      </c>
      <c r="G166" s="89">
        <f t="shared" si="4"/>
        <v>1.2835839134808014E-2</v>
      </c>
      <c r="H166" s="89"/>
      <c r="I166" s="89"/>
    </row>
    <row r="167" spans="2:9" hidden="1" outlineLevel="1">
      <c r="B167" s="86">
        <v>44879</v>
      </c>
      <c r="C167" s="237">
        <v>305.5</v>
      </c>
      <c r="D167" s="89">
        <f t="shared" si="5"/>
        <v>-4.2019423807201473E-2</v>
      </c>
      <c r="F167" s="237">
        <v>18307.650390999999</v>
      </c>
      <c r="G167" s="89">
        <f t="shared" si="4"/>
        <v>-2.2915268254892762E-3</v>
      </c>
      <c r="H167" s="89"/>
      <c r="I167" s="89"/>
    </row>
    <row r="168" spans="2:9" hidden="1" outlineLevel="1">
      <c r="B168" s="86">
        <v>44886</v>
      </c>
      <c r="C168" s="237">
        <v>310.60000600000001</v>
      </c>
      <c r="D168" s="89">
        <f t="shared" si="5"/>
        <v>1.6693963993453353E-2</v>
      </c>
      <c r="F168" s="237">
        <v>18512.75</v>
      </c>
      <c r="G168" s="89">
        <f t="shared" si="4"/>
        <v>1.1202945469224623E-2</v>
      </c>
      <c r="H168" s="89"/>
      <c r="I168" s="89"/>
    </row>
    <row r="169" spans="2:9" hidden="1" outlineLevel="1">
      <c r="B169" s="86">
        <v>44893</v>
      </c>
      <c r="C169" s="237">
        <v>317.20001200000002</v>
      </c>
      <c r="D169" s="89">
        <f t="shared" si="5"/>
        <v>2.1249214013215445E-2</v>
      </c>
      <c r="F169" s="237">
        <v>18696.099609000001</v>
      </c>
      <c r="G169" s="89">
        <f t="shared" si="4"/>
        <v>9.9039639707769744E-3</v>
      </c>
      <c r="H169" s="89"/>
      <c r="I169" s="89"/>
    </row>
    <row r="170" spans="2:9" hidden="1" outlineLevel="1">
      <c r="B170" s="86">
        <v>44900</v>
      </c>
      <c r="C170" s="237">
        <v>313.45001200000002</v>
      </c>
      <c r="D170" s="89">
        <f t="shared" si="5"/>
        <v>-1.1822193751997667E-2</v>
      </c>
      <c r="F170" s="237">
        <v>18496.599609000001</v>
      </c>
      <c r="G170" s="89">
        <f t="shared" si="4"/>
        <v>-1.0670674855838058E-2</v>
      </c>
      <c r="H170" s="89"/>
      <c r="I170" s="89"/>
    </row>
    <row r="171" spans="2:9" hidden="1" outlineLevel="1">
      <c r="B171" s="86">
        <v>44907</v>
      </c>
      <c r="C171" s="237">
        <v>303.35000600000001</v>
      </c>
      <c r="D171" s="89">
        <f t="shared" si="5"/>
        <v>-3.2222062891482661E-2</v>
      </c>
      <c r="F171" s="237">
        <v>18269</v>
      </c>
      <c r="G171" s="89">
        <f t="shared" si="4"/>
        <v>-1.2304943276668867E-2</v>
      </c>
      <c r="H171" s="89"/>
      <c r="I171" s="89"/>
    </row>
    <row r="172" spans="2:9" hidden="1" outlineLevel="1">
      <c r="B172" s="86">
        <v>44914</v>
      </c>
      <c r="C172" s="237">
        <v>285.70001200000002</v>
      </c>
      <c r="D172" s="89">
        <f t="shared" si="5"/>
        <v>-5.8183595354865392E-2</v>
      </c>
      <c r="F172" s="237">
        <v>17806.800781000002</v>
      </c>
      <c r="G172" s="89">
        <f t="shared" si="4"/>
        <v>-2.529964524604511E-2</v>
      </c>
      <c r="H172" s="89"/>
      <c r="I172" s="89"/>
    </row>
    <row r="173" spans="2:9" hidden="1" outlineLevel="1">
      <c r="B173" s="86">
        <v>44921</v>
      </c>
      <c r="C173" s="237">
        <v>287.5</v>
      </c>
      <c r="D173" s="89">
        <f t="shared" si="5"/>
        <v>6.3002727490260035E-3</v>
      </c>
      <c r="F173" s="237">
        <v>18105.300781000002</v>
      </c>
      <c r="G173" s="89">
        <f t="shared" si="4"/>
        <v>1.6763258244484991E-2</v>
      </c>
      <c r="H173" s="89"/>
      <c r="I173" s="89"/>
    </row>
    <row r="174" spans="2:9" hidden="1" outlineLevel="1">
      <c r="B174" s="86">
        <v>44928</v>
      </c>
      <c r="C174" s="237">
        <v>277.54998799999998</v>
      </c>
      <c r="D174" s="89">
        <f t="shared" si="5"/>
        <v>-3.4608737391304434E-2</v>
      </c>
      <c r="F174" s="237">
        <v>17859.449218999998</v>
      </c>
      <c r="G174" s="89">
        <f t="shared" si="4"/>
        <v>-1.3578982474458767E-2</v>
      </c>
      <c r="H174" s="89"/>
      <c r="I174" s="89"/>
    </row>
    <row r="175" spans="2:9" hidden="1" outlineLevel="1">
      <c r="B175" s="86">
        <v>44935</v>
      </c>
      <c r="C175" s="237">
        <v>268.60000600000001</v>
      </c>
      <c r="D175" s="89">
        <f t="shared" si="5"/>
        <v>-3.224637862351476E-2</v>
      </c>
      <c r="F175" s="237">
        <v>17956.599609000001</v>
      </c>
      <c r="G175" s="89">
        <f t="shared" si="4"/>
        <v>5.4397192661825855E-3</v>
      </c>
      <c r="H175" s="89"/>
      <c r="I175" s="89"/>
    </row>
    <row r="176" spans="2:9" hidden="1" outlineLevel="1">
      <c r="B176" s="86">
        <v>44942</v>
      </c>
      <c r="C176" s="237">
        <v>259.60000600000001</v>
      </c>
      <c r="D176" s="89">
        <f t="shared" si="5"/>
        <v>-3.3507072967079554E-2</v>
      </c>
      <c r="F176" s="237">
        <v>18027.650390999999</v>
      </c>
      <c r="G176" s="89">
        <f t="shared" si="4"/>
        <v>3.9568060516528281E-3</v>
      </c>
      <c r="H176" s="89"/>
      <c r="I176" s="89"/>
    </row>
    <row r="177" spans="2:9" hidden="1" outlineLevel="1">
      <c r="B177" s="86">
        <v>44949</v>
      </c>
      <c r="C177" s="237">
        <v>250.550003</v>
      </c>
      <c r="D177" s="89">
        <f t="shared" si="5"/>
        <v>-3.4861335866070875E-2</v>
      </c>
      <c r="F177" s="237">
        <v>17604.349609000001</v>
      </c>
      <c r="G177" s="89">
        <f t="shared" si="4"/>
        <v>-2.3480640727941093E-2</v>
      </c>
      <c r="H177" s="89"/>
      <c r="I177" s="89"/>
    </row>
    <row r="178" spans="2:9" hidden="1" outlineLevel="1">
      <c r="B178" s="86">
        <v>44956</v>
      </c>
      <c r="C178" s="237">
        <v>250.5</v>
      </c>
      <c r="D178" s="89">
        <f t="shared" si="5"/>
        <v>-1.9957293714345514E-4</v>
      </c>
      <c r="F178" s="237">
        <v>17854.050781000002</v>
      </c>
      <c r="G178" s="89">
        <f t="shared" si="4"/>
        <v>1.4184061186352848E-2</v>
      </c>
      <c r="H178" s="89"/>
      <c r="I178" s="89"/>
    </row>
    <row r="179" spans="2:9" hidden="1" outlineLevel="1">
      <c r="B179" s="86">
        <v>44963</v>
      </c>
      <c r="C179" s="237">
        <v>254.699997</v>
      </c>
      <c r="D179" s="89">
        <f t="shared" si="5"/>
        <v>1.6766455089820331E-2</v>
      </c>
      <c r="F179" s="237">
        <v>17856.5</v>
      </c>
      <c r="G179" s="89">
        <f t="shared" si="4"/>
        <v>1.371800175793414E-4</v>
      </c>
      <c r="H179" s="89"/>
      <c r="I179" s="89"/>
    </row>
    <row r="180" spans="2:9" hidden="1" outlineLevel="1">
      <c r="B180" s="86">
        <v>44970</v>
      </c>
      <c r="C180" s="237">
        <v>262.29998799999998</v>
      </c>
      <c r="D180" s="89">
        <f t="shared" si="5"/>
        <v>2.9838991321228692E-2</v>
      </c>
      <c r="F180" s="237">
        <v>17944.199218999998</v>
      </c>
      <c r="G180" s="89">
        <f t="shared" si="4"/>
        <v>4.9113330719905424E-3</v>
      </c>
      <c r="H180" s="89"/>
      <c r="I180" s="89"/>
    </row>
    <row r="181" spans="2:9" hidden="1" outlineLevel="1">
      <c r="B181" s="86">
        <v>44977</v>
      </c>
      <c r="C181" s="237">
        <v>229.85000600000001</v>
      </c>
      <c r="D181" s="89">
        <f t="shared" si="5"/>
        <v>-0.12371324241158554</v>
      </c>
      <c r="F181" s="237">
        <v>17465.800781000002</v>
      </c>
      <c r="G181" s="89">
        <f t="shared" si="4"/>
        <v>-2.6660339208308015E-2</v>
      </c>
      <c r="H181" s="89"/>
      <c r="I181" s="89"/>
    </row>
    <row r="182" spans="2:9" hidden="1" outlineLevel="1">
      <c r="B182" s="86">
        <v>44984</v>
      </c>
      <c r="C182" s="237">
        <v>236</v>
      </c>
      <c r="D182" s="89">
        <f t="shared" si="5"/>
        <v>2.6756553576074316E-2</v>
      </c>
      <c r="F182" s="237">
        <v>17594.349609000001</v>
      </c>
      <c r="G182" s="89">
        <f t="shared" si="4"/>
        <v>7.3600305884538031E-3</v>
      </c>
      <c r="H182" s="89"/>
      <c r="I182" s="89"/>
    </row>
    <row r="183" spans="2:9" hidden="1" outlineLevel="1">
      <c r="B183" s="86">
        <v>44991</v>
      </c>
      <c r="C183" s="237">
        <v>235</v>
      </c>
      <c r="D183" s="89">
        <f t="shared" si="5"/>
        <v>-4.237288135593209E-3</v>
      </c>
      <c r="F183" s="237">
        <v>17412.900390999999</v>
      </c>
      <c r="G183" s="89">
        <f t="shared" si="4"/>
        <v>-1.0312925571695164E-2</v>
      </c>
      <c r="H183" s="89"/>
      <c r="I183" s="89"/>
    </row>
    <row r="184" spans="2:9" hidden="1" outlineLevel="1">
      <c r="B184" s="86">
        <v>44998</v>
      </c>
      <c r="C184" s="237">
        <v>215.050003</v>
      </c>
      <c r="D184" s="89">
        <f t="shared" si="5"/>
        <v>-8.4893604255319111E-2</v>
      </c>
      <c r="F184" s="237">
        <v>17100.050781000002</v>
      </c>
      <c r="G184" s="89">
        <f t="shared" si="4"/>
        <v>-1.7966542217268788E-2</v>
      </c>
      <c r="H184" s="89"/>
      <c r="I184" s="89"/>
    </row>
    <row r="185" spans="2:9" hidden="1" outlineLevel="1">
      <c r="B185" s="86">
        <v>45005</v>
      </c>
      <c r="C185" s="237">
        <v>211.89999399999999</v>
      </c>
      <c r="D185" s="89">
        <f t="shared" si="5"/>
        <v>-1.4647797982128008E-2</v>
      </c>
      <c r="F185" s="237">
        <v>16945.050781000002</v>
      </c>
      <c r="G185" s="89">
        <f t="shared" si="4"/>
        <v>-9.0643005675878907E-3</v>
      </c>
      <c r="H185" s="89"/>
      <c r="I185" s="89"/>
    </row>
    <row r="186" spans="2:9" hidden="1" outlineLevel="1">
      <c r="B186" s="86">
        <v>45012</v>
      </c>
      <c r="C186" s="237">
        <v>214.35000600000001</v>
      </c>
      <c r="D186" s="89">
        <f t="shared" si="5"/>
        <v>1.1562114532197798E-2</v>
      </c>
      <c r="F186" s="237">
        <v>17359.75</v>
      </c>
      <c r="G186" s="89">
        <f t="shared" si="4"/>
        <v>2.4473176525678486E-2</v>
      </c>
      <c r="H186" s="89"/>
      <c r="I186" s="89"/>
    </row>
    <row r="187" spans="2:9" hidden="1" outlineLevel="1">
      <c r="B187" s="86">
        <v>45019</v>
      </c>
      <c r="C187" s="237">
        <v>215.85000600000001</v>
      </c>
      <c r="D187" s="89">
        <f t="shared" si="5"/>
        <v>6.9979004339286721E-3</v>
      </c>
      <c r="F187" s="237">
        <v>17599.150390999999</v>
      </c>
      <c r="G187" s="89">
        <f t="shared" si="4"/>
        <v>1.3790543700226143E-2</v>
      </c>
      <c r="H187" s="89"/>
      <c r="I187" s="89"/>
    </row>
    <row r="188" spans="2:9" hidden="1" outlineLevel="1">
      <c r="B188" s="86">
        <v>45026</v>
      </c>
      <c r="C188" s="237">
        <v>226.75</v>
      </c>
      <c r="D188" s="89">
        <f t="shared" si="5"/>
        <v>5.0498001839295759E-2</v>
      </c>
      <c r="F188" s="237">
        <v>17828</v>
      </c>
      <c r="G188" s="89">
        <f t="shared" si="4"/>
        <v>1.3003446411653519E-2</v>
      </c>
      <c r="H188" s="89"/>
      <c r="I188" s="89"/>
    </row>
    <row r="189" spans="2:9" hidden="1" outlineLevel="1">
      <c r="B189" s="86">
        <v>45033</v>
      </c>
      <c r="C189" s="237">
        <v>219.550003</v>
      </c>
      <c r="D189" s="89">
        <f t="shared" si="5"/>
        <v>-3.1753018743109096E-2</v>
      </c>
      <c r="F189" s="237">
        <v>17624.050781000002</v>
      </c>
      <c r="G189" s="89">
        <f t="shared" si="4"/>
        <v>-1.1439826060130054E-2</v>
      </c>
      <c r="H189" s="89"/>
      <c r="I189" s="89"/>
    </row>
    <row r="190" spans="2:9" hidden="1" outlineLevel="1">
      <c r="B190" s="86">
        <v>45040</v>
      </c>
      <c r="C190" s="237">
        <v>222.64999399999999</v>
      </c>
      <c r="D190" s="89">
        <f t="shared" si="5"/>
        <v>1.4119749294651429E-2</v>
      </c>
      <c r="F190" s="237">
        <v>18065</v>
      </c>
      <c r="G190" s="89">
        <f t="shared" si="4"/>
        <v>2.5019742877464557E-2</v>
      </c>
      <c r="H190" s="89"/>
      <c r="I190" s="89"/>
    </row>
    <row r="191" spans="2:9" hidden="1" outlineLevel="1">
      <c r="B191" s="86">
        <v>45047</v>
      </c>
      <c r="C191" s="237">
        <v>214.199997</v>
      </c>
      <c r="D191" s="89">
        <f t="shared" si="5"/>
        <v>-3.7951930059337835E-2</v>
      </c>
      <c r="F191" s="237">
        <v>18069</v>
      </c>
      <c r="G191" s="89">
        <f t="shared" si="4"/>
        <v>2.2142264046509652E-4</v>
      </c>
      <c r="H191" s="89"/>
      <c r="I191" s="89"/>
    </row>
    <row r="192" spans="2:9" hidden="1" outlineLevel="1">
      <c r="B192" s="86">
        <v>45054</v>
      </c>
      <c r="C192" s="237">
        <v>198.699997</v>
      </c>
      <c r="D192" s="89">
        <f t="shared" si="5"/>
        <v>-7.2362279258108453E-2</v>
      </c>
      <c r="F192" s="237">
        <v>18314.800781000002</v>
      </c>
      <c r="G192" s="89">
        <f t="shared" si="4"/>
        <v>1.3603452376999448E-2</v>
      </c>
      <c r="H192" s="89"/>
      <c r="I192" s="89"/>
    </row>
    <row r="193" spans="2:9" hidden="1" outlineLevel="1">
      <c r="B193" s="86">
        <v>45061</v>
      </c>
      <c r="C193" s="237">
        <v>190.85000600000001</v>
      </c>
      <c r="D193" s="89">
        <f t="shared" si="5"/>
        <v>-3.9506749464117918E-2</v>
      </c>
      <c r="F193" s="237">
        <v>18203.400390999999</v>
      </c>
      <c r="G193" s="89">
        <f t="shared" si="4"/>
        <v>-6.0825335384249168E-3</v>
      </c>
      <c r="H193" s="89"/>
      <c r="I193" s="89"/>
    </row>
    <row r="194" spans="2:9" hidden="1" outlineLevel="1">
      <c r="B194" s="86">
        <v>45068</v>
      </c>
      <c r="C194" s="237">
        <v>197.050003</v>
      </c>
      <c r="D194" s="89">
        <f t="shared" si="5"/>
        <v>3.248622900226672E-2</v>
      </c>
      <c r="F194" s="237">
        <v>18499.349609000001</v>
      </c>
      <c r="G194" s="89">
        <f t="shared" si="4"/>
        <v>1.6257908502980811E-2</v>
      </c>
      <c r="H194" s="89"/>
      <c r="I194" s="89"/>
    </row>
    <row r="195" spans="2:9" hidden="1" outlineLevel="1">
      <c r="B195" s="86">
        <v>45075</v>
      </c>
      <c r="C195" s="237">
        <v>202.60000600000001</v>
      </c>
      <c r="D195" s="89">
        <f t="shared" si="5"/>
        <v>2.8165455039348641E-2</v>
      </c>
      <c r="F195" s="237">
        <v>18534.099609000001</v>
      </c>
      <c r="G195" s="89">
        <f t="shared" si="4"/>
        <v>1.8784444174779757E-3</v>
      </c>
      <c r="H195" s="89"/>
      <c r="I195" s="89"/>
    </row>
    <row r="196" spans="2:9" hidden="1" outlineLevel="1">
      <c r="B196" s="86">
        <v>45082</v>
      </c>
      <c r="C196" s="237">
        <v>199.25</v>
      </c>
      <c r="D196" s="89">
        <f t="shared" si="5"/>
        <v>-1.6535073547826129E-2</v>
      </c>
      <c r="F196" s="237">
        <v>18563.400390999999</v>
      </c>
      <c r="G196" s="89">
        <f t="shared" ref="G196:G234" si="6">F196/F195-1</f>
        <v>1.5809120819534339E-3</v>
      </c>
      <c r="H196" s="89"/>
      <c r="I196" s="89"/>
    </row>
    <row r="197" spans="2:9" hidden="1" outlineLevel="1">
      <c r="B197" s="86">
        <v>45089</v>
      </c>
      <c r="C197" s="237">
        <v>208.89999399999999</v>
      </c>
      <c r="D197" s="89">
        <f t="shared" ref="D197:D234" si="7">C197/C196-1</f>
        <v>4.8431588456712582E-2</v>
      </c>
      <c r="F197" s="237">
        <v>18826</v>
      </c>
      <c r="G197" s="89">
        <f t="shared" si="6"/>
        <v>1.4146094113625551E-2</v>
      </c>
      <c r="H197" s="89"/>
      <c r="I197" s="89"/>
    </row>
    <row r="198" spans="2:9" hidden="1" outlineLevel="1">
      <c r="B198" s="86">
        <v>45096</v>
      </c>
      <c r="C198" s="237">
        <v>203.949997</v>
      </c>
      <c r="D198" s="89">
        <f t="shared" si="7"/>
        <v>-2.3695534428785026E-2</v>
      </c>
      <c r="F198" s="237">
        <v>18665.5</v>
      </c>
      <c r="G198" s="89">
        <f t="shared" si="6"/>
        <v>-8.5254435355359703E-3</v>
      </c>
      <c r="H198" s="89"/>
      <c r="I198" s="89"/>
    </row>
    <row r="199" spans="2:9" hidden="1" outlineLevel="1">
      <c r="B199" s="86">
        <v>45103</v>
      </c>
      <c r="C199" s="237">
        <v>212.949997</v>
      </c>
      <c r="D199" s="89">
        <f t="shared" si="7"/>
        <v>4.4128463507650872E-2</v>
      </c>
      <c r="F199" s="237">
        <v>19189.050781000002</v>
      </c>
      <c r="G199" s="89">
        <f t="shared" si="6"/>
        <v>2.804911633762841E-2</v>
      </c>
      <c r="H199" s="89"/>
      <c r="I199" s="89"/>
    </row>
    <row r="200" spans="2:9" hidden="1" outlineLevel="1">
      <c r="B200" s="86">
        <v>45110</v>
      </c>
      <c r="C200" s="237">
        <v>213.550003</v>
      </c>
      <c r="D200" s="89">
        <f t="shared" si="7"/>
        <v>2.8175910234926604E-3</v>
      </c>
      <c r="F200" s="237">
        <v>19331.800781000002</v>
      </c>
      <c r="G200" s="89">
        <f t="shared" si="6"/>
        <v>7.4391381642151533E-3</v>
      </c>
      <c r="H200" s="89"/>
      <c r="I200" s="89"/>
    </row>
    <row r="201" spans="2:9" hidden="1" outlineLevel="1">
      <c r="B201" s="86">
        <v>45117</v>
      </c>
      <c r="C201" s="237">
        <v>214.89999399999999</v>
      </c>
      <c r="D201" s="89">
        <f t="shared" si="7"/>
        <v>6.3216622853430327E-3</v>
      </c>
      <c r="F201" s="237">
        <v>19564.5</v>
      </c>
      <c r="G201" s="89">
        <f t="shared" si="6"/>
        <v>1.2037120681933855E-2</v>
      </c>
      <c r="H201" s="89"/>
      <c r="I201" s="89"/>
    </row>
    <row r="202" spans="2:9" hidden="1" outlineLevel="1">
      <c r="B202" s="86">
        <v>45124</v>
      </c>
      <c r="C202" s="237">
        <v>213.10000600000001</v>
      </c>
      <c r="D202" s="89">
        <f t="shared" si="7"/>
        <v>-8.375933225944987E-3</v>
      </c>
      <c r="F202" s="237">
        <v>19745</v>
      </c>
      <c r="G202" s="89">
        <f t="shared" si="6"/>
        <v>9.225893838329613E-3</v>
      </c>
      <c r="H202" s="89"/>
      <c r="I202" s="89"/>
    </row>
    <row r="203" spans="2:9" hidden="1" outlineLevel="1">
      <c r="B203" s="86">
        <v>45131</v>
      </c>
      <c r="C203" s="237">
        <v>223.050003</v>
      </c>
      <c r="D203" s="89">
        <f t="shared" si="7"/>
        <v>4.6691678647817536E-2</v>
      </c>
      <c r="F203" s="237">
        <v>19646.050781000002</v>
      </c>
      <c r="G203" s="89">
        <f t="shared" si="6"/>
        <v>-5.0113557356291638E-3</v>
      </c>
      <c r="H203" s="89"/>
      <c r="I203" s="89"/>
    </row>
    <row r="204" spans="2:9" hidden="1" outlineLevel="1">
      <c r="B204" s="86">
        <v>45138</v>
      </c>
      <c r="C204" s="237">
        <v>209.800003</v>
      </c>
      <c r="D204" s="89">
        <f t="shared" si="7"/>
        <v>-5.9403720339784027E-2</v>
      </c>
      <c r="F204" s="237">
        <v>19517</v>
      </c>
      <c r="G204" s="89">
        <f t="shared" si="6"/>
        <v>-6.568789953694365E-3</v>
      </c>
      <c r="H204" s="89"/>
      <c r="I204" s="89"/>
    </row>
    <row r="205" spans="2:9" hidden="1" outlineLevel="1">
      <c r="B205" s="86">
        <v>45145</v>
      </c>
      <c r="C205" s="237">
        <v>211.300003</v>
      </c>
      <c r="D205" s="89">
        <f t="shared" si="7"/>
        <v>7.1496662466683514E-3</v>
      </c>
      <c r="F205" s="237">
        <v>19428.300781000002</v>
      </c>
      <c r="G205" s="89">
        <f t="shared" si="6"/>
        <v>-4.5447158374749552E-3</v>
      </c>
      <c r="H205" s="89"/>
      <c r="I205" s="89"/>
    </row>
    <row r="206" spans="2:9" hidden="1" outlineLevel="1">
      <c r="B206" s="86">
        <v>45152</v>
      </c>
      <c r="C206" s="237">
        <v>214.85000600000001</v>
      </c>
      <c r="D206" s="89">
        <f t="shared" si="7"/>
        <v>1.6800771176515239E-2</v>
      </c>
      <c r="F206" s="237">
        <v>19310.150390999999</v>
      </c>
      <c r="G206" s="89">
        <f t="shared" si="6"/>
        <v>-6.0813547891717112E-3</v>
      </c>
      <c r="H206" s="89"/>
      <c r="I206" s="89"/>
    </row>
    <row r="207" spans="2:9" hidden="1" outlineLevel="1">
      <c r="B207" s="86">
        <v>45159</v>
      </c>
      <c r="C207" s="237">
        <v>213.550003</v>
      </c>
      <c r="D207" s="89">
        <f t="shared" si="7"/>
        <v>-6.0507468638376638E-3</v>
      </c>
      <c r="F207" s="237">
        <v>19265.800781000002</v>
      </c>
      <c r="G207" s="89">
        <f t="shared" si="6"/>
        <v>-2.2966993576947203E-3</v>
      </c>
      <c r="H207" s="89"/>
      <c r="I207" s="89"/>
    </row>
    <row r="208" spans="2:9" hidden="1" outlineLevel="1">
      <c r="B208" s="86">
        <v>45166</v>
      </c>
      <c r="C208" s="237">
        <v>218.35000600000001</v>
      </c>
      <c r="D208" s="89">
        <f t="shared" si="7"/>
        <v>2.2477185355038287E-2</v>
      </c>
      <c r="F208" s="237">
        <v>19435.300781000002</v>
      </c>
      <c r="G208" s="89">
        <f t="shared" si="6"/>
        <v>8.797973254616176E-3</v>
      </c>
      <c r="H208" s="89"/>
      <c r="I208" s="89"/>
    </row>
    <row r="209" spans="2:9" hidden="1" outlineLevel="1">
      <c r="B209" s="86">
        <v>45173</v>
      </c>
      <c r="C209" s="237">
        <v>229.35000600000001</v>
      </c>
      <c r="D209" s="89">
        <f t="shared" si="7"/>
        <v>5.0377832368825315E-2</v>
      </c>
      <c r="F209" s="237">
        <v>19819.949218999998</v>
      </c>
      <c r="G209" s="89">
        <f t="shared" si="6"/>
        <v>1.9791226404688889E-2</v>
      </c>
      <c r="H209" s="89"/>
      <c r="I209" s="89"/>
    </row>
    <row r="210" spans="2:9" hidden="1" outlineLevel="1">
      <c r="B210" s="86">
        <v>45180</v>
      </c>
      <c r="C210" s="237">
        <v>225.300003</v>
      </c>
      <c r="D210" s="89">
        <f t="shared" si="7"/>
        <v>-1.7658613010893109E-2</v>
      </c>
      <c r="F210" s="237">
        <v>20192.349609000001</v>
      </c>
      <c r="G210" s="89">
        <f t="shared" si="6"/>
        <v>1.8789169734249711E-2</v>
      </c>
      <c r="H210" s="89"/>
      <c r="I210" s="89"/>
    </row>
    <row r="211" spans="2:9" hidden="1" outlineLevel="1">
      <c r="B211" s="86">
        <v>45187</v>
      </c>
      <c r="C211" s="237">
        <v>214.550003</v>
      </c>
      <c r="D211" s="89">
        <f t="shared" si="7"/>
        <v>-4.7714158263903794E-2</v>
      </c>
      <c r="F211" s="237">
        <v>19674.25</v>
      </c>
      <c r="G211" s="89">
        <f t="shared" si="6"/>
        <v>-2.5658213087251469E-2</v>
      </c>
      <c r="H211" s="89"/>
      <c r="I211" s="89"/>
    </row>
    <row r="212" spans="2:9" hidden="1" outlineLevel="1">
      <c r="B212" s="86">
        <v>45194</v>
      </c>
      <c r="C212" s="237">
        <v>214.25</v>
      </c>
      <c r="D212" s="89">
        <f t="shared" si="7"/>
        <v>-1.398289423468313E-3</v>
      </c>
      <c r="F212" s="237">
        <v>19638.300781000002</v>
      </c>
      <c r="G212" s="89">
        <f t="shared" si="6"/>
        <v>-1.8272218254824502E-3</v>
      </c>
      <c r="H212" s="89"/>
      <c r="I212" s="89"/>
    </row>
    <row r="213" spans="2:9" hidden="1" outlineLevel="1">
      <c r="B213" s="86">
        <v>45201</v>
      </c>
      <c r="C213" s="237">
        <v>219</v>
      </c>
      <c r="D213" s="89">
        <f t="shared" si="7"/>
        <v>2.2170361726954413E-2</v>
      </c>
      <c r="F213" s="237">
        <v>19653.5</v>
      </c>
      <c r="G213" s="89">
        <f t="shared" si="6"/>
        <v>7.7395794928980521E-4</v>
      </c>
      <c r="H213" s="89"/>
      <c r="I213" s="89"/>
    </row>
    <row r="214" spans="2:9" hidden="1" outlineLevel="1">
      <c r="B214" s="86">
        <v>45208</v>
      </c>
      <c r="C214" s="237">
        <v>222.5</v>
      </c>
      <c r="D214" s="89">
        <f t="shared" si="7"/>
        <v>1.5981735159817267E-2</v>
      </c>
      <c r="F214" s="237">
        <v>19751.050781000002</v>
      </c>
      <c r="G214" s="89">
        <f t="shared" si="6"/>
        <v>4.96353224616497E-3</v>
      </c>
      <c r="H214" s="89"/>
      <c r="I214" s="89"/>
    </row>
    <row r="215" spans="2:9" hidden="1" outlineLevel="1">
      <c r="B215" s="86">
        <v>45215</v>
      </c>
      <c r="C215" s="237">
        <v>229.39999399999999</v>
      </c>
      <c r="D215" s="89">
        <f t="shared" si="7"/>
        <v>3.1011208988763972E-2</v>
      </c>
      <c r="F215" s="237">
        <v>19542.650390999999</v>
      </c>
      <c r="G215" s="89">
        <f t="shared" si="6"/>
        <v>-1.0551357105540893E-2</v>
      </c>
      <c r="H215" s="89"/>
      <c r="I215" s="89"/>
    </row>
    <row r="216" spans="2:9" hidden="1" outlineLevel="1">
      <c r="B216" s="86">
        <v>45222</v>
      </c>
      <c r="C216" s="237">
        <v>216</v>
      </c>
      <c r="D216" s="89">
        <f t="shared" si="7"/>
        <v>-5.8413227334260465E-2</v>
      </c>
      <c r="F216" s="237">
        <v>19047.25</v>
      </c>
      <c r="G216" s="89">
        <f t="shared" si="6"/>
        <v>-2.5349703396840506E-2</v>
      </c>
      <c r="H216" s="89"/>
      <c r="I216" s="89"/>
    </row>
    <row r="217" spans="2:9" hidden="1" outlineLevel="1">
      <c r="B217" s="86">
        <v>45229</v>
      </c>
      <c r="C217" s="237">
        <v>215.39999399999999</v>
      </c>
      <c r="D217" s="89">
        <f t="shared" si="7"/>
        <v>-2.7778055555556236E-3</v>
      </c>
      <c r="F217" s="237">
        <v>19230.599609000001</v>
      </c>
      <c r="G217" s="89">
        <f t="shared" si="6"/>
        <v>9.6260409770438926E-3</v>
      </c>
      <c r="H217" s="89"/>
      <c r="I217" s="89"/>
    </row>
    <row r="218" spans="2:9" hidden="1" outlineLevel="1">
      <c r="B218" s="86">
        <v>45236</v>
      </c>
      <c r="C218" s="237">
        <v>216.60000600000001</v>
      </c>
      <c r="D218" s="89">
        <f t="shared" si="7"/>
        <v>5.5710865061584514E-3</v>
      </c>
      <c r="F218" s="237">
        <v>19425.349609000001</v>
      </c>
      <c r="G218" s="89">
        <f t="shared" si="6"/>
        <v>1.0127089324289962E-2</v>
      </c>
      <c r="H218" s="89"/>
      <c r="I218" s="89"/>
    </row>
    <row r="219" spans="2:9" hidden="1" outlineLevel="1">
      <c r="B219" s="86">
        <v>45243</v>
      </c>
      <c r="C219" s="237">
        <v>215.64999399999999</v>
      </c>
      <c r="D219" s="89">
        <f t="shared" si="7"/>
        <v>-4.3860201924463826E-3</v>
      </c>
      <c r="F219" s="237">
        <v>19731.800781000002</v>
      </c>
      <c r="G219" s="89">
        <f t="shared" si="6"/>
        <v>1.5775838178892609E-2</v>
      </c>
      <c r="H219" s="89"/>
      <c r="I219" s="89"/>
    </row>
    <row r="220" spans="2:9" hidden="1" outlineLevel="1">
      <c r="B220" s="86">
        <v>45250</v>
      </c>
      <c r="C220" s="237">
        <v>228.300003</v>
      </c>
      <c r="D220" s="89">
        <f t="shared" si="7"/>
        <v>5.8659908889216128E-2</v>
      </c>
      <c r="F220" s="237">
        <v>19794.699218999998</v>
      </c>
      <c r="G220" s="89">
        <f t="shared" si="6"/>
        <v>3.1876684088845142E-3</v>
      </c>
      <c r="H220" s="89"/>
      <c r="I220" s="89"/>
    </row>
    <row r="221" spans="2:9" hidden="1" outlineLevel="1">
      <c r="B221" s="86">
        <v>45257</v>
      </c>
      <c r="C221" s="237">
        <v>231.39999399999999</v>
      </c>
      <c r="D221" s="89">
        <f t="shared" si="7"/>
        <v>1.357858501648801E-2</v>
      </c>
      <c r="F221" s="237">
        <v>20267.900390999999</v>
      </c>
      <c r="G221" s="89">
        <f t="shared" si="6"/>
        <v>2.390544896715574E-2</v>
      </c>
      <c r="H221" s="89"/>
      <c r="I221" s="89"/>
    </row>
    <row r="222" spans="2:9" hidden="1" outlineLevel="1">
      <c r="B222" s="86">
        <v>45264</v>
      </c>
      <c r="C222" s="237">
        <v>233.949997</v>
      </c>
      <c r="D222" s="89">
        <f t="shared" si="7"/>
        <v>1.101989224770672E-2</v>
      </c>
      <c r="F222" s="237">
        <v>20969.400390999999</v>
      </c>
      <c r="G222" s="89">
        <f t="shared" si="6"/>
        <v>3.4611379889724736E-2</v>
      </c>
      <c r="H222" s="89"/>
      <c r="I222" s="89"/>
    </row>
    <row r="223" spans="2:9" hidden="1" outlineLevel="1">
      <c r="B223" s="86">
        <v>45271</v>
      </c>
      <c r="C223" s="237">
        <v>232.60000600000001</v>
      </c>
      <c r="D223" s="89">
        <f t="shared" si="7"/>
        <v>-5.7704253785478832E-3</v>
      </c>
      <c r="F223" s="237">
        <v>21456.650390999999</v>
      </c>
      <c r="G223" s="89">
        <f t="shared" si="6"/>
        <v>2.3236239039487572E-2</v>
      </c>
      <c r="H223" s="89"/>
      <c r="I223" s="89"/>
    </row>
    <row r="224" spans="2:9" hidden="1" outlineLevel="1">
      <c r="B224" s="86">
        <v>45278</v>
      </c>
      <c r="C224" s="237">
        <v>219.800003</v>
      </c>
      <c r="D224" s="89">
        <f t="shared" si="7"/>
        <v>-5.5030106061132233E-2</v>
      </c>
      <c r="F224" s="237">
        <v>21349.400390999999</v>
      </c>
      <c r="G224" s="89">
        <f t="shared" si="6"/>
        <v>-4.9984502727874469E-3</v>
      </c>
      <c r="H224" s="89"/>
      <c r="I224" s="89"/>
    </row>
    <row r="225" spans="1:13" hidden="1" outlineLevel="1">
      <c r="B225" s="86">
        <v>45285</v>
      </c>
      <c r="C225" s="237">
        <v>223.699997</v>
      </c>
      <c r="D225" s="89">
        <f t="shared" si="7"/>
        <v>1.7743375554003071E-2</v>
      </c>
      <c r="F225" s="237">
        <v>21731.400390999999</v>
      </c>
      <c r="G225" s="89">
        <f t="shared" si="6"/>
        <v>1.7892774176507364E-2</v>
      </c>
      <c r="H225" s="89"/>
      <c r="I225" s="89"/>
    </row>
    <row r="226" spans="1:13" hidden="1" outlineLevel="1">
      <c r="B226" s="86">
        <v>45292</v>
      </c>
      <c r="C226" s="237">
        <v>238.10000600000001</v>
      </c>
      <c r="D226" s="89">
        <f t="shared" si="7"/>
        <v>6.4371967783262818E-2</v>
      </c>
      <c r="F226" s="237">
        <v>21710.800781000002</v>
      </c>
      <c r="G226" s="89">
        <f t="shared" si="6"/>
        <v>-9.4791912299074799E-4</v>
      </c>
      <c r="H226" s="89"/>
      <c r="I226" s="89"/>
    </row>
    <row r="227" spans="1:13" hidden="1" outlineLevel="1">
      <c r="B227" s="86">
        <v>45299</v>
      </c>
      <c r="C227" s="237">
        <v>233</v>
      </c>
      <c r="D227" s="89">
        <f t="shared" si="7"/>
        <v>-2.1419596268300811E-2</v>
      </c>
      <c r="F227" s="237">
        <v>21894.550781000002</v>
      </c>
      <c r="G227" s="89">
        <f t="shared" si="6"/>
        <v>8.4635293674109047E-3</v>
      </c>
      <c r="H227" s="89"/>
      <c r="I227" s="89"/>
    </row>
    <row r="228" spans="1:13" hidden="1" outlineLevel="1">
      <c r="B228" s="86">
        <v>45306</v>
      </c>
      <c r="C228" s="237">
        <v>223.800003</v>
      </c>
      <c r="D228" s="89">
        <f t="shared" si="7"/>
        <v>-3.9484965665236071E-2</v>
      </c>
      <c r="F228" s="237">
        <v>21622.400390999999</v>
      </c>
      <c r="G228" s="89">
        <f t="shared" si="6"/>
        <v>-1.2430051327482539E-2</v>
      </c>
      <c r="H228" s="89"/>
      <c r="I228" s="89"/>
    </row>
    <row r="229" spans="1:13" hidden="1" outlineLevel="1">
      <c r="B229" s="86">
        <v>45313</v>
      </c>
      <c r="C229" s="237">
        <v>241.60000600000001</v>
      </c>
      <c r="D229" s="89">
        <f t="shared" si="7"/>
        <v>7.9535311713110124E-2</v>
      </c>
      <c r="F229" s="237">
        <v>21352.599609000001</v>
      </c>
      <c r="G229" s="89">
        <f t="shared" si="6"/>
        <v>-1.2477836739731241E-2</v>
      </c>
      <c r="H229" s="89"/>
      <c r="I229" s="89"/>
    </row>
    <row r="230" spans="1:13" hidden="1" outlineLevel="1">
      <c r="B230" s="86">
        <v>45320</v>
      </c>
      <c r="C230" s="237">
        <v>248.449997</v>
      </c>
      <c r="D230" s="89">
        <f t="shared" si="7"/>
        <v>2.8352611050845633E-2</v>
      </c>
      <c r="F230" s="237">
        <v>21853.800781000002</v>
      </c>
      <c r="G230" s="89">
        <f t="shared" si="6"/>
        <v>2.3472606669810325E-2</v>
      </c>
      <c r="H230" s="89"/>
      <c r="I230" s="89"/>
    </row>
    <row r="231" spans="1:13" hidden="1" outlineLevel="1">
      <c r="B231" s="86">
        <v>45327</v>
      </c>
      <c r="C231" s="237">
        <v>252.85000600000001</v>
      </c>
      <c r="D231" s="89">
        <f t="shared" si="7"/>
        <v>1.7709837203177869E-2</v>
      </c>
      <c r="F231" s="237">
        <v>21782.5</v>
      </c>
      <c r="G231" s="89">
        <f t="shared" si="6"/>
        <v>-3.2626261085894059E-3</v>
      </c>
      <c r="H231" s="89"/>
      <c r="I231" s="89"/>
    </row>
    <row r="232" spans="1:13" hidden="1" outlineLevel="1">
      <c r="B232" s="86">
        <v>45334</v>
      </c>
      <c r="C232" s="237">
        <v>230.85000600000001</v>
      </c>
      <c r="D232" s="89">
        <f t="shared" si="7"/>
        <v>-8.7008105509002842E-2</v>
      </c>
      <c r="F232" s="237">
        <v>22040.699218999998</v>
      </c>
      <c r="G232" s="89">
        <f t="shared" si="6"/>
        <v>1.1853516308963474E-2</v>
      </c>
      <c r="H232" s="89"/>
      <c r="I232" s="89"/>
    </row>
    <row r="233" spans="1:13" hidden="1" outlineLevel="1">
      <c r="B233" s="86">
        <v>45341</v>
      </c>
      <c r="C233" s="237">
        <v>226.199997</v>
      </c>
      <c r="D233" s="89">
        <f t="shared" si="7"/>
        <v>-2.0142988430331688E-2</v>
      </c>
      <c r="F233" s="237">
        <v>22212.699218999998</v>
      </c>
      <c r="G233" s="89">
        <f t="shared" si="6"/>
        <v>7.803745166656384E-3</v>
      </c>
      <c r="H233" s="89"/>
      <c r="I233" s="89"/>
    </row>
    <row r="234" spans="1:13" hidden="1" outlineLevel="1">
      <c r="B234" s="86">
        <v>45348</v>
      </c>
      <c r="C234" s="237">
        <v>229.75</v>
      </c>
      <c r="D234" s="89">
        <f t="shared" si="7"/>
        <v>1.5694089509647569E-2</v>
      </c>
      <c r="F234" s="237">
        <v>22338.75</v>
      </c>
      <c r="G234" s="89">
        <f t="shared" si="6"/>
        <v>5.6747169606556902E-3</v>
      </c>
      <c r="H234" s="89"/>
      <c r="I234" s="89"/>
    </row>
    <row r="235" spans="1:13" collapsed="1"/>
    <row r="236" spans="1:13">
      <c r="A236" t="s">
        <v>59</v>
      </c>
      <c r="B236" s="246" t="s">
        <v>216</v>
      </c>
      <c r="C236" s="246"/>
      <c r="D236" s="246"/>
      <c r="E236" s="246"/>
      <c r="F236" s="246"/>
      <c r="G236" s="246"/>
      <c r="H236" s="246"/>
      <c r="I236" s="246"/>
      <c r="J236" s="246"/>
      <c r="K236" s="161"/>
      <c r="L236" s="161"/>
      <c r="M236" s="161"/>
    </row>
    <row r="237" spans="1:13" hidden="1" outlineLevel="1"/>
    <row r="238" spans="1:13" hidden="1" outlineLevel="1">
      <c r="B238" s="246" t="s">
        <v>217</v>
      </c>
      <c r="C238" s="246"/>
      <c r="D238" s="246"/>
      <c r="F238" s="246" t="s">
        <v>178</v>
      </c>
      <c r="G238" s="246"/>
      <c r="H238" s="80"/>
      <c r="I238" s="246" t="s">
        <v>179</v>
      </c>
      <c r="J238" s="246"/>
    </row>
    <row r="239" spans="1:13" hidden="1" outlineLevel="1"/>
    <row r="240" spans="1:13" hidden="1" outlineLevel="1">
      <c r="B240" s="81" t="s">
        <v>180</v>
      </c>
      <c r="C240" s="82" t="s">
        <v>181</v>
      </c>
      <c r="D240" s="82" t="s">
        <v>182</v>
      </c>
      <c r="F240" s="82" t="s">
        <v>181</v>
      </c>
      <c r="G240" s="82" t="s">
        <v>182</v>
      </c>
      <c r="H240" s="83"/>
      <c r="I240" s="84" t="s">
        <v>183</v>
      </c>
      <c r="J240" s="85">
        <f>M260</f>
        <v>0.81312404114042136</v>
      </c>
    </row>
    <row r="241" spans="2:17" hidden="1" outlineLevel="1">
      <c r="B241" s="86">
        <v>44620</v>
      </c>
      <c r="C241" s="237">
        <v>841.09375</v>
      </c>
      <c r="D241" s="87"/>
      <c r="F241" s="237">
        <v>16245.349609000001</v>
      </c>
      <c r="G241" s="87"/>
      <c r="H241" s="87"/>
      <c r="I241" s="88" t="s">
        <v>184</v>
      </c>
      <c r="J241" s="52">
        <v>0.75</v>
      </c>
    </row>
    <row r="242" spans="2:17" hidden="1" outlineLevel="1">
      <c r="B242" s="86">
        <v>44627</v>
      </c>
      <c r="C242" s="237">
        <v>854.98834199999999</v>
      </c>
      <c r="D242" s="89">
        <f>C242/C241-1</f>
        <v>1.6519670964146416E-2</v>
      </c>
      <c r="F242" s="237">
        <v>16630.449218999998</v>
      </c>
      <c r="G242" s="89">
        <f>F242/F241-1</f>
        <v>2.3705221449137115E-2</v>
      </c>
      <c r="H242" s="89"/>
      <c r="I242" s="90"/>
    </row>
    <row r="243" spans="2:17" hidden="1" outlineLevel="1">
      <c r="B243" s="86">
        <v>44634</v>
      </c>
      <c r="C243" s="237">
        <v>890.59020999999996</v>
      </c>
      <c r="D243" s="89">
        <f>C243/C242-1</f>
        <v>4.1640179463406035E-2</v>
      </c>
      <c r="F243" s="237">
        <v>17287.050781000002</v>
      </c>
      <c r="G243" s="89">
        <f t="shared" ref="G243:G306" si="8">F243/F242-1</f>
        <v>3.9481889716475482E-2</v>
      </c>
      <c r="H243" s="89"/>
      <c r="I243" s="90" t="s">
        <v>185</v>
      </c>
      <c r="J243" s="85">
        <v>1</v>
      </c>
      <c r="L243" t="s">
        <v>188</v>
      </c>
    </row>
    <row r="244" spans="2:17" ht="15.75" hidden="1" outlineLevel="1" thickBot="1">
      <c r="B244" s="86">
        <v>44641</v>
      </c>
      <c r="C244" s="237">
        <v>920.40679899999998</v>
      </c>
      <c r="D244" s="89">
        <f t="shared" ref="D244:D307" si="9">C244/C243-1</f>
        <v>3.3479583163170012E-2</v>
      </c>
      <c r="F244" s="237">
        <v>17153</v>
      </c>
      <c r="G244" s="89">
        <f t="shared" si="8"/>
        <v>-7.7544043051771538E-3</v>
      </c>
      <c r="H244" s="89"/>
      <c r="I244" s="90" t="s">
        <v>186</v>
      </c>
      <c r="J244" s="52">
        <v>0.25</v>
      </c>
    </row>
    <row r="245" spans="2:17" hidden="1" outlineLevel="1">
      <c r="B245" s="86">
        <v>44648</v>
      </c>
      <c r="C245" s="237">
        <v>987.40747099999999</v>
      </c>
      <c r="D245" s="89">
        <f t="shared" si="9"/>
        <v>7.279462958421723E-2</v>
      </c>
      <c r="F245" s="237">
        <v>17670.449218999998</v>
      </c>
      <c r="G245" s="89">
        <f t="shared" si="8"/>
        <v>3.0166689150585846E-2</v>
      </c>
      <c r="H245" s="89"/>
      <c r="I245" s="90"/>
      <c r="L245" s="96" t="s">
        <v>189</v>
      </c>
      <c r="M245" s="96"/>
    </row>
    <row r="246" spans="2:17" hidden="1" outlineLevel="1">
      <c r="B246" s="86">
        <v>44655</v>
      </c>
      <c r="C246" s="237">
        <v>1031.5142820000001</v>
      </c>
      <c r="D246" s="89">
        <f t="shared" si="9"/>
        <v>4.4669310589002142E-2</v>
      </c>
      <c r="F246" s="237">
        <v>17784.349609000001</v>
      </c>
      <c r="G246" s="89">
        <f t="shared" si="8"/>
        <v>6.4458117950692007E-3</v>
      </c>
      <c r="H246" s="89"/>
      <c r="I246" s="91" t="s">
        <v>187</v>
      </c>
      <c r="J246" s="92">
        <f>(J240*J241)+(J243*J244)</f>
        <v>0.85984303085531599</v>
      </c>
      <c r="L246" s="93" t="s">
        <v>190</v>
      </c>
      <c r="M246" s="93">
        <v>0.32667016393686993</v>
      </c>
    </row>
    <row r="247" spans="2:17" hidden="1" outlineLevel="1">
      <c r="B247" s="86">
        <v>44662</v>
      </c>
      <c r="C247" s="237">
        <v>1038.3874510000001</v>
      </c>
      <c r="D247" s="89">
        <f>C247/C246-1</f>
        <v>6.6631835544472828E-3</v>
      </c>
      <c r="F247" s="237">
        <v>17475.650390999999</v>
      </c>
      <c r="G247" s="89">
        <f>F247/F246-1</f>
        <v>-1.7357914390289553E-2</v>
      </c>
      <c r="H247" s="89"/>
      <c r="I247" s="89"/>
      <c r="L247" s="93" t="s">
        <v>191</v>
      </c>
      <c r="M247" s="93">
        <v>0.10671339600654148</v>
      </c>
    </row>
    <row r="248" spans="2:17" hidden="1" outlineLevel="1">
      <c r="B248" s="86">
        <v>44669</v>
      </c>
      <c r="C248" s="237">
        <v>1061.182495</v>
      </c>
      <c r="D248" s="89">
        <f t="shared" si="9"/>
        <v>2.1952349268134608E-2</v>
      </c>
      <c r="F248" s="237">
        <v>17171.949218999998</v>
      </c>
      <c r="G248" s="89">
        <f t="shared" si="8"/>
        <v>-1.7378533285170805E-2</v>
      </c>
      <c r="H248" s="89"/>
      <c r="I248" s="89"/>
      <c r="L248" s="93" t="s">
        <v>192</v>
      </c>
      <c r="M248" s="93">
        <v>9.7955684202684037E-2</v>
      </c>
    </row>
    <row r="249" spans="2:17" hidden="1" outlineLevel="1">
      <c r="B249" s="86">
        <v>44676</v>
      </c>
      <c r="C249" s="237">
        <v>1079.477905</v>
      </c>
      <c r="D249" s="89">
        <f t="shared" si="9"/>
        <v>1.7240587821795827E-2</v>
      </c>
      <c r="F249" s="237">
        <v>17102.550781000002</v>
      </c>
      <c r="G249" s="89">
        <f t="shared" si="8"/>
        <v>-4.041383835634127E-3</v>
      </c>
      <c r="H249" s="89"/>
      <c r="I249" s="89"/>
      <c r="L249" s="93" t="s">
        <v>193</v>
      </c>
      <c r="M249" s="93">
        <v>4.1411390350591541E-2</v>
      </c>
    </row>
    <row r="250" spans="2:17" ht="15.75" hidden="1" outlineLevel="1" thickBot="1">
      <c r="B250" s="86">
        <v>44683</v>
      </c>
      <c r="C250" s="237">
        <v>988.29748500000005</v>
      </c>
      <c r="D250" s="89">
        <f t="shared" si="9"/>
        <v>-8.4467148033011252E-2</v>
      </c>
      <c r="F250" s="237">
        <v>16411.25</v>
      </c>
      <c r="G250" s="89">
        <f t="shared" si="8"/>
        <v>-4.0420916730619982E-2</v>
      </c>
      <c r="H250" s="89"/>
      <c r="I250" s="89"/>
      <c r="L250" s="94" t="s">
        <v>194</v>
      </c>
      <c r="M250" s="94">
        <v>104</v>
      </c>
    </row>
    <row r="251" spans="2:17" hidden="1" outlineLevel="1">
      <c r="B251" s="86">
        <v>44690</v>
      </c>
      <c r="C251" s="237">
        <v>966.68920900000001</v>
      </c>
      <c r="D251" s="89">
        <f t="shared" si="9"/>
        <v>-2.1864141443201257E-2</v>
      </c>
      <c r="F251" s="237">
        <v>15782.150390999999</v>
      </c>
      <c r="G251" s="89">
        <f t="shared" si="8"/>
        <v>-3.8333436453652281E-2</v>
      </c>
      <c r="H251" s="89"/>
      <c r="I251" s="89"/>
    </row>
    <row r="252" spans="2:17" ht="15.75" hidden="1" outlineLevel="1" thickBot="1">
      <c r="B252" s="86">
        <v>44697</v>
      </c>
      <c r="C252" s="237">
        <v>957.34368900000004</v>
      </c>
      <c r="D252" s="89">
        <f t="shared" si="9"/>
        <v>-9.6675538663222316E-3</v>
      </c>
      <c r="F252" s="237">
        <v>16266.150390999999</v>
      </c>
      <c r="G252" s="89">
        <f t="shared" si="8"/>
        <v>3.0667557209187901E-2</v>
      </c>
      <c r="H252" s="89"/>
      <c r="I252" s="89"/>
      <c r="L252" t="s">
        <v>195</v>
      </c>
    </row>
    <row r="253" spans="2:17" hidden="1" outlineLevel="1">
      <c r="B253" s="86">
        <v>44704</v>
      </c>
      <c r="C253" s="237">
        <v>958.92596400000002</v>
      </c>
      <c r="D253" s="89">
        <f t="shared" si="9"/>
        <v>1.6527763416425145E-3</v>
      </c>
      <c r="F253" s="237">
        <v>16352.450194999999</v>
      </c>
      <c r="G253" s="89">
        <f t="shared" si="8"/>
        <v>5.3054842064996777E-3</v>
      </c>
      <c r="H253" s="89"/>
      <c r="I253" s="89"/>
      <c r="L253" s="95"/>
      <c r="M253" s="95" t="s">
        <v>199</v>
      </c>
      <c r="N253" s="95" t="s">
        <v>200</v>
      </c>
      <c r="O253" s="95" t="s">
        <v>201</v>
      </c>
      <c r="P253" s="95" t="s">
        <v>202</v>
      </c>
      <c r="Q253" s="95" t="s">
        <v>203</v>
      </c>
    </row>
    <row r="254" spans="2:17" hidden="1" outlineLevel="1">
      <c r="B254" s="86">
        <v>44711</v>
      </c>
      <c r="C254" s="237">
        <v>1078.0932620000001</v>
      </c>
      <c r="D254" s="89">
        <f t="shared" si="9"/>
        <v>0.1242716356358875</v>
      </c>
      <c r="F254" s="237">
        <v>16584.300781000002</v>
      </c>
      <c r="G254" s="89">
        <f t="shared" si="8"/>
        <v>1.4178339223494207E-2</v>
      </c>
      <c r="H254" s="89"/>
      <c r="I254" s="89"/>
      <c r="L254" s="93" t="s">
        <v>196</v>
      </c>
      <c r="M254" s="93">
        <v>1</v>
      </c>
      <c r="N254" s="93">
        <v>2.0896228810774381E-2</v>
      </c>
      <c r="O254" s="93">
        <v>2.0896228810774381E-2</v>
      </c>
      <c r="P254" s="93">
        <v>12.185077380548</v>
      </c>
      <c r="Q254" s="93">
        <v>7.1312571390203124E-4</v>
      </c>
    </row>
    <row r="255" spans="2:17" hidden="1" outlineLevel="1">
      <c r="B255" s="86">
        <v>44718</v>
      </c>
      <c r="C255" s="237">
        <v>1013.812195</v>
      </c>
      <c r="D255" s="89">
        <f t="shared" si="9"/>
        <v>-5.9624773909402351E-2</v>
      </c>
      <c r="F255" s="237">
        <v>16201.799805000001</v>
      </c>
      <c r="G255" s="89">
        <f t="shared" si="8"/>
        <v>-2.3064039964724836E-2</v>
      </c>
      <c r="H255" s="89"/>
      <c r="I255" s="89"/>
      <c r="L255" s="93" t="s">
        <v>197</v>
      </c>
      <c r="M255" s="93">
        <v>102</v>
      </c>
      <c r="N255" s="93">
        <v>0.17492013157844472</v>
      </c>
      <c r="O255" s="93">
        <v>1.7149032507690659E-3</v>
      </c>
      <c r="P255" s="93"/>
      <c r="Q255" s="93"/>
    </row>
    <row r="256" spans="2:17" ht="15.75" hidden="1" outlineLevel="1" thickBot="1">
      <c r="B256" s="86">
        <v>44725</v>
      </c>
      <c r="C256" s="237">
        <v>960.06323199999997</v>
      </c>
      <c r="D256" s="89">
        <f t="shared" si="9"/>
        <v>-5.3016686192061457E-2</v>
      </c>
      <c r="F256" s="237">
        <v>15293.5</v>
      </c>
      <c r="G256" s="89">
        <f t="shared" si="8"/>
        <v>-5.606166079892505E-2</v>
      </c>
      <c r="H256" s="89"/>
      <c r="I256" s="89"/>
      <c r="L256" s="94" t="s">
        <v>13</v>
      </c>
      <c r="M256" s="94">
        <v>103</v>
      </c>
      <c r="N256" s="94">
        <v>0.1958163603892191</v>
      </c>
      <c r="O256" s="94"/>
      <c r="P256" s="94"/>
      <c r="Q256" s="94"/>
    </row>
    <row r="257" spans="2:20" ht="15.75" hidden="1" outlineLevel="1" thickBot="1">
      <c r="B257" s="86">
        <v>44732</v>
      </c>
      <c r="C257" s="237">
        <v>973.36450200000002</v>
      </c>
      <c r="D257" s="89">
        <f t="shared" si="9"/>
        <v>1.3854577028526327E-2</v>
      </c>
      <c r="F257" s="237">
        <v>15699.25</v>
      </c>
      <c r="G257" s="89">
        <f t="shared" si="8"/>
        <v>2.6530879131657192E-2</v>
      </c>
      <c r="H257" s="89"/>
      <c r="I257" s="89"/>
    </row>
    <row r="258" spans="2:20" hidden="1" outlineLevel="1">
      <c r="B258" s="86">
        <v>44739</v>
      </c>
      <c r="C258" s="237">
        <v>960.95330799999999</v>
      </c>
      <c r="D258" s="89">
        <f t="shared" si="9"/>
        <v>-1.2750818397936681E-2</v>
      </c>
      <c r="F258" s="237">
        <v>15752.049805000001</v>
      </c>
      <c r="G258" s="89">
        <f t="shared" si="8"/>
        <v>3.3632055671448668E-3</v>
      </c>
      <c r="H258" s="89"/>
      <c r="I258" s="89"/>
      <c r="L258" s="95"/>
      <c r="M258" s="95" t="s">
        <v>204</v>
      </c>
      <c r="N258" s="95" t="s">
        <v>193</v>
      </c>
      <c r="O258" s="95" t="s">
        <v>205</v>
      </c>
      <c r="P258" s="95" t="s">
        <v>206</v>
      </c>
      <c r="Q258" s="95" t="s">
        <v>207</v>
      </c>
      <c r="R258" s="95" t="s">
        <v>208</v>
      </c>
      <c r="S258" s="95" t="s">
        <v>209</v>
      </c>
      <c r="T258" s="95" t="s">
        <v>210</v>
      </c>
    </row>
    <row r="259" spans="2:20" hidden="1" outlineLevel="1">
      <c r="B259" s="86">
        <v>44746</v>
      </c>
      <c r="C259" s="237">
        <v>1022.6632080000001</v>
      </c>
      <c r="D259" s="89">
        <f t="shared" si="9"/>
        <v>6.4217376105853541E-2</v>
      </c>
      <c r="F259" s="237">
        <v>16220.599609000001</v>
      </c>
      <c r="G259" s="89">
        <f t="shared" si="8"/>
        <v>2.9745322659611828E-2</v>
      </c>
      <c r="H259" s="89"/>
      <c r="I259" s="89"/>
      <c r="L259" s="93" t="s">
        <v>198</v>
      </c>
      <c r="M259" s="93">
        <v>-9.8618288690525881E-5</v>
      </c>
      <c r="N259" s="93">
        <v>4.1293987866613396E-3</v>
      </c>
      <c r="O259" s="93">
        <v>-2.3881996819750062E-2</v>
      </c>
      <c r="P259" s="93">
        <v>0.9809933936041606</v>
      </c>
      <c r="Q259" s="93">
        <v>-8.289261202748607E-3</v>
      </c>
      <c r="R259" s="93">
        <v>8.0920246253675544E-3</v>
      </c>
      <c r="S259" s="93">
        <v>-8.289261202748607E-3</v>
      </c>
      <c r="T259" s="93">
        <v>8.0920246253675544E-3</v>
      </c>
    </row>
    <row r="260" spans="2:20" ht="15.75" hidden="1" outlineLevel="1" thickBot="1">
      <c r="B260" s="86">
        <v>44753</v>
      </c>
      <c r="C260" s="237">
        <v>1092.3339840000001</v>
      </c>
      <c r="D260" s="89">
        <f t="shared" si="9"/>
        <v>6.8126804069008839E-2</v>
      </c>
      <c r="F260" s="237">
        <v>16049.200194999999</v>
      </c>
      <c r="G260" s="89">
        <f t="shared" si="8"/>
        <v>-1.0566774233481513E-2</v>
      </c>
      <c r="H260" s="89"/>
      <c r="I260" s="89"/>
      <c r="L260" s="94" t="s">
        <v>211</v>
      </c>
      <c r="M260" s="94">
        <v>0.81312404114042136</v>
      </c>
      <c r="N260" s="94">
        <v>0.23293924098893035</v>
      </c>
      <c r="O260" s="94">
        <v>3.49071301893296</v>
      </c>
      <c r="P260" s="94">
        <v>7.1312571390201107E-4</v>
      </c>
      <c r="Q260" s="94">
        <v>0.35109016110564167</v>
      </c>
      <c r="R260" s="94">
        <v>1.2751579211752011</v>
      </c>
      <c r="S260" s="94">
        <v>0.35109016110564167</v>
      </c>
      <c r="T260" s="94">
        <v>1.2751579211752011</v>
      </c>
    </row>
    <row r="261" spans="2:20" hidden="1" outlineLevel="1">
      <c r="B261" s="86">
        <v>44760</v>
      </c>
      <c r="C261" s="237">
        <v>1065.7810059999999</v>
      </c>
      <c r="D261" s="89">
        <f t="shared" si="9"/>
        <v>-2.4308479264525173E-2</v>
      </c>
      <c r="F261" s="237">
        <v>16719.449218999998</v>
      </c>
      <c r="G261" s="89">
        <f t="shared" si="8"/>
        <v>4.1762144895470144E-2</v>
      </c>
      <c r="H261" s="89"/>
      <c r="I261" s="89"/>
    </row>
    <row r="262" spans="2:20" hidden="1" outlineLevel="1">
      <c r="B262" s="86">
        <v>44767</v>
      </c>
      <c r="C262" s="237">
        <v>1065.3854980000001</v>
      </c>
      <c r="D262" s="89">
        <f t="shared" si="9"/>
        <v>-3.7109687428582561E-4</v>
      </c>
      <c r="F262" s="237">
        <v>17158.25</v>
      </c>
      <c r="G262" s="89">
        <f t="shared" si="8"/>
        <v>2.6244930395275645E-2</v>
      </c>
      <c r="H262" s="89"/>
      <c r="I262" s="89"/>
    </row>
    <row r="263" spans="2:20" hidden="1" outlineLevel="1">
      <c r="B263" s="86">
        <v>44774</v>
      </c>
      <c r="C263" s="237">
        <v>1198.4968260000001</v>
      </c>
      <c r="D263" s="89">
        <f t="shared" si="9"/>
        <v>0.12494193721416691</v>
      </c>
      <c r="F263" s="237">
        <v>17397.5</v>
      </c>
      <c r="G263" s="89">
        <f t="shared" si="8"/>
        <v>1.3943729692713402E-2</v>
      </c>
      <c r="H263" s="89"/>
      <c r="I263" s="89"/>
    </row>
    <row r="264" spans="2:20" hidden="1" outlineLevel="1">
      <c r="B264" s="86">
        <v>44781</v>
      </c>
      <c r="C264" s="237">
        <v>1179.0145259999999</v>
      </c>
      <c r="D264" s="89">
        <f t="shared" si="9"/>
        <v>-1.6255612511734907E-2</v>
      </c>
      <c r="F264" s="237">
        <v>17698.150390999999</v>
      </c>
      <c r="G264" s="89">
        <f t="shared" si="8"/>
        <v>1.7281241040379314E-2</v>
      </c>
      <c r="H264" s="89"/>
      <c r="I264" s="89"/>
    </row>
    <row r="265" spans="2:20" hidden="1" outlineLevel="1">
      <c r="B265" s="86">
        <v>44788</v>
      </c>
      <c r="C265" s="237">
        <v>1170.7075199999999</v>
      </c>
      <c r="D265" s="89">
        <f t="shared" si="9"/>
        <v>-7.0457198082053418E-3</v>
      </c>
      <c r="F265" s="237">
        <v>17758.449218999998</v>
      </c>
      <c r="G265" s="89">
        <f t="shared" si="8"/>
        <v>3.4070694771959342E-3</v>
      </c>
      <c r="H265" s="89"/>
      <c r="I265" s="89"/>
    </row>
    <row r="266" spans="2:20" hidden="1" outlineLevel="1">
      <c r="B266" s="86">
        <v>44795</v>
      </c>
      <c r="C266" s="237">
        <v>1257.635376</v>
      </c>
      <c r="D266" s="89">
        <f t="shared" si="9"/>
        <v>7.4252411054812395E-2</v>
      </c>
      <c r="F266" s="237">
        <v>17558.900390999999</v>
      </c>
      <c r="G266" s="89">
        <f t="shared" si="8"/>
        <v>-1.1236838619134604E-2</v>
      </c>
      <c r="H266" s="89"/>
      <c r="I266" s="89"/>
    </row>
    <row r="267" spans="2:20" hidden="1" outlineLevel="1">
      <c r="B267" s="86">
        <v>44802</v>
      </c>
      <c r="C267" s="237">
        <v>1285.8201899999999</v>
      </c>
      <c r="D267" s="89">
        <f t="shared" si="9"/>
        <v>2.2410958325332464E-2</v>
      </c>
      <c r="F267" s="237">
        <v>17539.449218999998</v>
      </c>
      <c r="G267" s="89">
        <f t="shared" si="8"/>
        <v>-1.1077670905844661E-3</v>
      </c>
      <c r="H267" s="89"/>
      <c r="I267" s="89"/>
    </row>
    <row r="268" spans="2:20" hidden="1" outlineLevel="1">
      <c r="B268" s="86">
        <v>44809</v>
      </c>
      <c r="C268" s="237">
        <v>1391.877686</v>
      </c>
      <c r="D268" s="89">
        <f t="shared" si="9"/>
        <v>8.2482369482781426E-2</v>
      </c>
      <c r="F268" s="237">
        <v>17833.349609000001</v>
      </c>
      <c r="G268" s="89">
        <f t="shared" si="8"/>
        <v>1.6756534730955508E-2</v>
      </c>
      <c r="H268" s="89"/>
      <c r="I268" s="89"/>
    </row>
    <row r="269" spans="2:20" hidden="1" outlineLevel="1">
      <c r="B269" s="86">
        <v>44816</v>
      </c>
      <c r="C269" s="237">
        <v>1353.8514399999999</v>
      </c>
      <c r="D269" s="89">
        <f t="shared" si="9"/>
        <v>-2.7320106057077909E-2</v>
      </c>
      <c r="F269" s="237">
        <v>17530.849609000001</v>
      </c>
      <c r="G269" s="89">
        <f t="shared" si="8"/>
        <v>-1.6962601341440453E-2</v>
      </c>
      <c r="H269" s="89"/>
      <c r="I269" s="89"/>
    </row>
    <row r="270" spans="2:20" hidden="1" outlineLevel="1">
      <c r="B270" s="86">
        <v>44823</v>
      </c>
      <c r="C270" s="237">
        <v>1392.3244629999999</v>
      </c>
      <c r="D270" s="89">
        <f t="shared" si="9"/>
        <v>2.8417462849542829E-2</v>
      </c>
      <c r="F270" s="237">
        <v>17327.349609000001</v>
      </c>
      <c r="G270" s="89">
        <f t="shared" si="8"/>
        <v>-1.1608108251383698E-2</v>
      </c>
      <c r="H270" s="89"/>
      <c r="I270" s="89"/>
    </row>
    <row r="271" spans="2:20" hidden="1" outlineLevel="1">
      <c r="B271" s="86">
        <v>44830</v>
      </c>
      <c r="C271" s="237">
        <v>1398.728394</v>
      </c>
      <c r="D271" s="89">
        <f t="shared" si="9"/>
        <v>4.5994530514832377E-3</v>
      </c>
      <c r="F271" s="237">
        <v>17094.349609000001</v>
      </c>
      <c r="G271" s="89">
        <f t="shared" si="8"/>
        <v>-1.3446949779265527E-2</v>
      </c>
      <c r="H271" s="89"/>
      <c r="I271" s="89"/>
    </row>
    <row r="272" spans="2:20" hidden="1" outlineLevel="1">
      <c r="B272" s="86">
        <v>44837</v>
      </c>
      <c r="C272" s="237">
        <v>1458.5972899999999</v>
      </c>
      <c r="D272" s="89">
        <f t="shared" si="9"/>
        <v>4.2802374111238661E-2</v>
      </c>
      <c r="F272" s="237">
        <v>17314.650390999999</v>
      </c>
      <c r="G272" s="89">
        <f t="shared" si="8"/>
        <v>1.2887345060733635E-2</v>
      </c>
      <c r="H272" s="89"/>
      <c r="I272" s="89"/>
    </row>
    <row r="273" spans="2:9" hidden="1" outlineLevel="1">
      <c r="B273" s="86">
        <v>44844</v>
      </c>
      <c r="C273" s="237">
        <v>1385.0269780000001</v>
      </c>
      <c r="D273" s="89">
        <f t="shared" si="9"/>
        <v>-5.0439084526202493E-2</v>
      </c>
      <c r="F273" s="237">
        <v>17185.699218999998</v>
      </c>
      <c r="G273" s="89">
        <f t="shared" si="8"/>
        <v>-7.4475180894804094E-3</v>
      </c>
      <c r="H273" s="89"/>
      <c r="I273" s="89"/>
    </row>
    <row r="274" spans="2:9" hidden="1" outlineLevel="1">
      <c r="B274" s="86">
        <v>44851</v>
      </c>
      <c r="C274" s="237">
        <v>1398.5794679999999</v>
      </c>
      <c r="D274" s="89">
        <f t="shared" si="9"/>
        <v>9.7850007366424574E-3</v>
      </c>
      <c r="F274" s="237">
        <v>17576.300781000002</v>
      </c>
      <c r="G274" s="89">
        <f t="shared" si="8"/>
        <v>2.2728290366455628E-2</v>
      </c>
      <c r="H274" s="89"/>
      <c r="I274" s="89"/>
    </row>
    <row r="275" spans="2:9" hidden="1" outlineLevel="1">
      <c r="B275" s="86">
        <v>44858</v>
      </c>
      <c r="C275" s="237">
        <v>1420.322876</v>
      </c>
      <c r="D275" s="89">
        <f t="shared" si="9"/>
        <v>1.5546780499426038E-2</v>
      </c>
      <c r="F275" s="237">
        <v>17786.800781000002</v>
      </c>
      <c r="G275" s="89">
        <f t="shared" si="8"/>
        <v>1.197635399068453E-2</v>
      </c>
      <c r="H275" s="89"/>
      <c r="I275" s="89"/>
    </row>
    <row r="276" spans="2:9" hidden="1" outlineLevel="1">
      <c r="B276" s="86">
        <v>44865</v>
      </c>
      <c r="C276" s="237">
        <v>1421.8616939999999</v>
      </c>
      <c r="D276" s="89">
        <f t="shared" si="9"/>
        <v>1.0834283007070677E-3</v>
      </c>
      <c r="F276" s="237">
        <v>18117.150390999999</v>
      </c>
      <c r="G276" s="89">
        <f t="shared" si="8"/>
        <v>1.8572739081492262E-2</v>
      </c>
      <c r="H276" s="89"/>
      <c r="I276" s="89"/>
    </row>
    <row r="277" spans="2:9" hidden="1" outlineLevel="1">
      <c r="B277" s="86">
        <v>44872</v>
      </c>
      <c r="C277" s="237">
        <v>1358.7164310000001</v>
      </c>
      <c r="D277" s="89">
        <f t="shared" si="9"/>
        <v>-4.4410270890946402E-2</v>
      </c>
      <c r="F277" s="237">
        <v>18349.699218999998</v>
      </c>
      <c r="G277" s="89">
        <f t="shared" si="8"/>
        <v>1.2835839134808014E-2</v>
      </c>
      <c r="H277" s="89"/>
      <c r="I277" s="89"/>
    </row>
    <row r="278" spans="2:9" hidden="1" outlineLevel="1">
      <c r="B278" s="86">
        <v>44879</v>
      </c>
      <c r="C278" s="237">
        <v>1308.0313719999999</v>
      </c>
      <c r="D278" s="89">
        <f t="shared" si="9"/>
        <v>-3.7303632931484088E-2</v>
      </c>
      <c r="F278" s="237">
        <v>18307.650390999999</v>
      </c>
      <c r="G278" s="89">
        <f t="shared" si="8"/>
        <v>-2.2915268254892762E-3</v>
      </c>
      <c r="H278" s="89"/>
      <c r="I278" s="89"/>
    </row>
    <row r="279" spans="2:9" hidden="1" outlineLevel="1">
      <c r="B279" s="86">
        <v>44886</v>
      </c>
      <c r="C279" s="237">
        <v>1380.013062</v>
      </c>
      <c r="D279" s="89">
        <f t="shared" si="9"/>
        <v>5.5030553196854015E-2</v>
      </c>
      <c r="F279" s="237">
        <v>18512.75</v>
      </c>
      <c r="G279" s="89">
        <f t="shared" si="8"/>
        <v>1.1202945469224623E-2</v>
      </c>
      <c r="H279" s="89"/>
      <c r="I279" s="89"/>
    </row>
    <row r="280" spans="2:9" hidden="1" outlineLevel="1">
      <c r="B280" s="86">
        <v>44893</v>
      </c>
      <c r="C280" s="237">
        <v>1390.338745</v>
      </c>
      <c r="D280" s="89">
        <f t="shared" si="9"/>
        <v>7.482308163833995E-3</v>
      </c>
      <c r="F280" s="237">
        <v>18696.099609000001</v>
      </c>
      <c r="G280" s="89">
        <f t="shared" si="8"/>
        <v>9.9039639707769744E-3</v>
      </c>
      <c r="H280" s="89"/>
      <c r="I280" s="89"/>
    </row>
    <row r="281" spans="2:9" hidden="1" outlineLevel="1">
      <c r="B281" s="86">
        <v>44900</v>
      </c>
      <c r="C281" s="237">
        <v>1350.2772219999999</v>
      </c>
      <c r="D281" s="89">
        <f t="shared" si="9"/>
        <v>-2.8814217502080797E-2</v>
      </c>
      <c r="F281" s="237">
        <v>18496.599609000001</v>
      </c>
      <c r="G281" s="89">
        <f t="shared" si="8"/>
        <v>-1.0670674855838058E-2</v>
      </c>
      <c r="H281" s="89"/>
      <c r="I281" s="89"/>
    </row>
    <row r="282" spans="2:9" hidden="1" outlineLevel="1">
      <c r="B282" s="86">
        <v>44907</v>
      </c>
      <c r="C282" s="237">
        <v>1307.783203</v>
      </c>
      <c r="D282" s="89">
        <f t="shared" si="9"/>
        <v>-3.1470588637390162E-2</v>
      </c>
      <c r="F282" s="237">
        <v>18269</v>
      </c>
      <c r="G282" s="89">
        <f t="shared" si="8"/>
        <v>-1.2304943276668867E-2</v>
      </c>
      <c r="H282" s="89"/>
      <c r="I282" s="89"/>
    </row>
    <row r="283" spans="2:9" hidden="1" outlineLevel="1">
      <c r="B283" s="86">
        <v>44914</v>
      </c>
      <c r="C283" s="237">
        <v>1276.0616460000001</v>
      </c>
      <c r="D283" s="89">
        <f t="shared" si="9"/>
        <v>-2.4255975246686101E-2</v>
      </c>
      <c r="F283" s="237">
        <v>17806.800781000002</v>
      </c>
      <c r="G283" s="89">
        <f t="shared" si="8"/>
        <v>-2.529964524604511E-2</v>
      </c>
      <c r="H283" s="89"/>
      <c r="I283" s="89"/>
    </row>
    <row r="284" spans="2:9" hidden="1" outlineLevel="1">
      <c r="B284" s="86">
        <v>44921</v>
      </c>
      <c r="C284" s="237">
        <v>1328.533813</v>
      </c>
      <c r="D284" s="89">
        <f t="shared" si="9"/>
        <v>4.1120401325814848E-2</v>
      </c>
      <c r="F284" s="237">
        <v>18105.300781000002</v>
      </c>
      <c r="G284" s="89">
        <f t="shared" si="8"/>
        <v>1.6763258244484991E-2</v>
      </c>
      <c r="H284" s="89"/>
      <c r="I284" s="89"/>
    </row>
    <row r="285" spans="2:9" hidden="1" outlineLevel="1">
      <c r="B285" s="86">
        <v>44928</v>
      </c>
      <c r="C285" s="237">
        <v>1290.1104740000001</v>
      </c>
      <c r="D285" s="89">
        <f t="shared" si="9"/>
        <v>-2.8921611647380718E-2</v>
      </c>
      <c r="F285" s="237">
        <v>17859.449218999998</v>
      </c>
      <c r="G285" s="89">
        <f t="shared" si="8"/>
        <v>-1.3578982474458767E-2</v>
      </c>
      <c r="H285" s="89"/>
      <c r="I285" s="89"/>
    </row>
    <row r="286" spans="2:9" hidden="1" outlineLevel="1">
      <c r="B286" s="86">
        <v>44935</v>
      </c>
      <c r="C286" s="237">
        <v>1283.954712</v>
      </c>
      <c r="D286" s="89">
        <f t="shared" si="9"/>
        <v>-4.7714999017983706E-3</v>
      </c>
      <c r="F286" s="237">
        <v>17956.599609000001</v>
      </c>
      <c r="G286" s="89">
        <f t="shared" si="8"/>
        <v>5.4397192661825855E-3</v>
      </c>
      <c r="H286" s="89"/>
      <c r="I286" s="89"/>
    </row>
    <row r="287" spans="2:9" hidden="1" outlineLevel="1">
      <c r="B287" s="86">
        <v>44942</v>
      </c>
      <c r="C287" s="237">
        <v>1211.8242190000001</v>
      </c>
      <c r="D287" s="89">
        <f t="shared" si="9"/>
        <v>-5.6178377886586972E-2</v>
      </c>
      <c r="F287" s="237">
        <v>18027.650390999999</v>
      </c>
      <c r="G287" s="89">
        <f t="shared" si="8"/>
        <v>3.9568060516528281E-3</v>
      </c>
      <c r="H287" s="89"/>
      <c r="I287" s="89"/>
    </row>
    <row r="288" spans="2:9" hidden="1" outlineLevel="1">
      <c r="B288" s="86">
        <v>44949</v>
      </c>
      <c r="C288" s="237">
        <v>1150.565186</v>
      </c>
      <c r="D288" s="89">
        <f t="shared" si="9"/>
        <v>-5.0551088218513396E-2</v>
      </c>
      <c r="F288" s="237">
        <v>17604.349609000001</v>
      </c>
      <c r="G288" s="89">
        <f t="shared" si="8"/>
        <v>-2.3480640727941093E-2</v>
      </c>
      <c r="H288" s="89"/>
      <c r="I288" s="89"/>
    </row>
    <row r="289" spans="2:9" hidden="1" outlineLevel="1">
      <c r="B289" s="86">
        <v>44956</v>
      </c>
      <c r="C289" s="237">
        <v>1224.1354980000001</v>
      </c>
      <c r="D289" s="89">
        <f t="shared" si="9"/>
        <v>6.3942758650443077E-2</v>
      </c>
      <c r="F289" s="237">
        <v>17854.050781000002</v>
      </c>
      <c r="G289" s="89">
        <f t="shared" si="8"/>
        <v>1.4184061186352848E-2</v>
      </c>
      <c r="H289" s="89"/>
      <c r="I289" s="89"/>
    </row>
    <row r="290" spans="2:9" hidden="1" outlineLevel="1">
      <c r="B290" s="86">
        <v>44963</v>
      </c>
      <c r="C290" s="237">
        <v>1249.502808</v>
      </c>
      <c r="D290" s="89">
        <f t="shared" si="9"/>
        <v>2.0722632454859058E-2</v>
      </c>
      <c r="F290" s="237">
        <v>17856.5</v>
      </c>
      <c r="G290" s="89">
        <f t="shared" si="8"/>
        <v>1.371800175793414E-4</v>
      </c>
      <c r="H290" s="89"/>
      <c r="I290" s="89"/>
    </row>
    <row r="291" spans="2:9" hidden="1" outlineLevel="1">
      <c r="B291" s="86">
        <v>44970</v>
      </c>
      <c r="C291" s="237">
        <v>1233.4187010000001</v>
      </c>
      <c r="D291" s="89">
        <f t="shared" si="9"/>
        <v>-1.2872405645686147E-2</v>
      </c>
      <c r="F291" s="237">
        <v>17944.199218999998</v>
      </c>
      <c r="G291" s="89">
        <f t="shared" si="8"/>
        <v>4.9113330719905424E-3</v>
      </c>
      <c r="H291" s="89"/>
      <c r="I291" s="89"/>
    </row>
    <row r="292" spans="2:9" hidden="1" outlineLevel="1">
      <c r="B292" s="86">
        <v>44977</v>
      </c>
      <c r="C292" s="237">
        <v>1154.5863039999999</v>
      </c>
      <c r="D292" s="89">
        <f t="shared" si="9"/>
        <v>-6.3913735810950834E-2</v>
      </c>
      <c r="F292" s="237">
        <v>17465.800781000002</v>
      </c>
      <c r="G292" s="89">
        <f t="shared" si="8"/>
        <v>-2.6660339208308015E-2</v>
      </c>
      <c r="H292" s="89"/>
      <c r="I292" s="89"/>
    </row>
    <row r="293" spans="2:9" hidden="1" outlineLevel="1">
      <c r="B293" s="86">
        <v>44984</v>
      </c>
      <c r="C293" s="237">
        <v>1178.762207</v>
      </c>
      <c r="D293" s="89">
        <f t="shared" si="9"/>
        <v>2.0939017651815162E-2</v>
      </c>
      <c r="F293" s="237">
        <v>17594.349609000001</v>
      </c>
      <c r="G293" s="89">
        <f t="shared" si="8"/>
        <v>7.3600305884538031E-3</v>
      </c>
      <c r="H293" s="89"/>
      <c r="I293" s="89"/>
    </row>
    <row r="294" spans="2:9" hidden="1" outlineLevel="1">
      <c r="B294" s="86">
        <v>44991</v>
      </c>
      <c r="C294" s="237">
        <v>1159.0541989999999</v>
      </c>
      <c r="D294" s="89">
        <f t="shared" si="9"/>
        <v>-1.6719239794901308E-2</v>
      </c>
      <c r="F294" s="237">
        <v>17412.900390999999</v>
      </c>
      <c r="G294" s="89">
        <f t="shared" si="8"/>
        <v>-1.0312925571695164E-2</v>
      </c>
      <c r="H294" s="89"/>
      <c r="I294" s="89"/>
    </row>
    <row r="295" spans="2:9" hidden="1" outlineLevel="1">
      <c r="B295" s="86">
        <v>44998</v>
      </c>
      <c r="C295" s="237">
        <v>1160.295288</v>
      </c>
      <c r="D295" s="89">
        <f t="shared" si="9"/>
        <v>1.0707773640532547E-3</v>
      </c>
      <c r="F295" s="237">
        <v>17100.050781000002</v>
      </c>
      <c r="G295" s="89">
        <f t="shared" si="8"/>
        <v>-1.7966542217268788E-2</v>
      </c>
      <c r="H295" s="89"/>
      <c r="I295" s="89"/>
    </row>
    <row r="296" spans="2:9" hidden="1" outlineLevel="1">
      <c r="B296" s="86">
        <v>45005</v>
      </c>
      <c r="C296" s="237">
        <v>1102.4616699999999</v>
      </c>
      <c r="D296" s="89">
        <f t="shared" si="9"/>
        <v>-4.9843879052278051E-2</v>
      </c>
      <c r="F296" s="237">
        <v>16945.050781000002</v>
      </c>
      <c r="G296" s="89">
        <f t="shared" si="8"/>
        <v>-9.0643005675878907E-3</v>
      </c>
      <c r="H296" s="89"/>
      <c r="I296" s="89"/>
    </row>
    <row r="297" spans="2:9" hidden="1" outlineLevel="1">
      <c r="B297" s="86">
        <v>45012</v>
      </c>
      <c r="C297" s="237">
        <v>1131.0061040000001</v>
      </c>
      <c r="D297" s="89">
        <f t="shared" si="9"/>
        <v>2.5891543240682546E-2</v>
      </c>
      <c r="F297" s="237">
        <v>17359.75</v>
      </c>
      <c r="G297" s="89">
        <f t="shared" si="8"/>
        <v>2.4473176525678486E-2</v>
      </c>
      <c r="H297" s="89"/>
      <c r="I297" s="89"/>
    </row>
    <row r="298" spans="2:9" hidden="1" outlineLevel="1">
      <c r="B298" s="86">
        <v>45019</v>
      </c>
      <c r="C298" s="237">
        <v>1131.4528809999999</v>
      </c>
      <c r="D298" s="89">
        <f t="shared" si="9"/>
        <v>3.9502616159170501E-4</v>
      </c>
      <c r="F298" s="237">
        <v>17599.150390999999</v>
      </c>
      <c r="G298" s="89">
        <f t="shared" si="8"/>
        <v>1.3790543700226143E-2</v>
      </c>
      <c r="H298" s="89"/>
      <c r="I298" s="89"/>
    </row>
    <row r="299" spans="2:9" hidden="1" outlineLevel="1">
      <c r="B299" s="86">
        <v>45026</v>
      </c>
      <c r="C299" s="237">
        <v>1229.695557</v>
      </c>
      <c r="D299" s="89">
        <f t="shared" si="9"/>
        <v>8.6828782399821502E-2</v>
      </c>
      <c r="F299" s="237">
        <v>17828</v>
      </c>
      <c r="G299" s="89">
        <f t="shared" si="8"/>
        <v>1.3003446411653519E-2</v>
      </c>
      <c r="H299" s="89"/>
      <c r="I299" s="89"/>
    </row>
    <row r="300" spans="2:9" hidden="1" outlineLevel="1">
      <c r="B300" s="86">
        <v>45033</v>
      </c>
      <c r="C300" s="237">
        <v>1271.0477289999999</v>
      </c>
      <c r="D300" s="89">
        <f t="shared" si="9"/>
        <v>3.3627975448560443E-2</v>
      </c>
      <c r="F300" s="237">
        <v>17624.050781000002</v>
      </c>
      <c r="G300" s="89">
        <f t="shared" si="8"/>
        <v>-1.1439826060130054E-2</v>
      </c>
      <c r="H300" s="89"/>
      <c r="I300" s="89"/>
    </row>
    <row r="301" spans="2:9" hidden="1" outlineLevel="1">
      <c r="B301" s="86">
        <v>45040</v>
      </c>
      <c r="C301" s="237">
        <v>1263.055298</v>
      </c>
      <c r="D301" s="89">
        <f t="shared" si="9"/>
        <v>-6.2880652060862685E-3</v>
      </c>
      <c r="F301" s="237">
        <v>18065</v>
      </c>
      <c r="G301" s="89">
        <f t="shared" si="8"/>
        <v>2.5019742877464557E-2</v>
      </c>
      <c r="H301" s="89"/>
      <c r="I301" s="89"/>
    </row>
    <row r="302" spans="2:9" hidden="1" outlineLevel="1">
      <c r="B302" s="86">
        <v>45047</v>
      </c>
      <c r="C302" s="237">
        <v>1217.135986</v>
      </c>
      <c r="D302" s="89">
        <f t="shared" si="9"/>
        <v>-3.6355741567856481E-2</v>
      </c>
      <c r="F302" s="237">
        <v>18069</v>
      </c>
      <c r="G302" s="89">
        <f t="shared" si="8"/>
        <v>2.2142264046509652E-4</v>
      </c>
      <c r="H302" s="89"/>
      <c r="I302" s="89"/>
    </row>
    <row r="303" spans="2:9" hidden="1" outlineLevel="1">
      <c r="B303" s="86">
        <v>45054</v>
      </c>
      <c r="C303" s="237">
        <v>1265.2395019999999</v>
      </c>
      <c r="D303" s="89">
        <f t="shared" si="9"/>
        <v>3.9521891188253777E-2</v>
      </c>
      <c r="F303" s="237">
        <v>18314.800781000002</v>
      </c>
      <c r="G303" s="89">
        <f t="shared" si="8"/>
        <v>1.3603452376999448E-2</v>
      </c>
      <c r="H303" s="89"/>
      <c r="I303" s="89"/>
    </row>
    <row r="304" spans="2:9" hidden="1" outlineLevel="1">
      <c r="B304" s="86">
        <v>45061</v>
      </c>
      <c r="C304" s="237">
        <v>1221.4548339999999</v>
      </c>
      <c r="D304" s="89">
        <f t="shared" si="9"/>
        <v>-3.4605833860536506E-2</v>
      </c>
      <c r="F304" s="237">
        <v>18203.400390999999</v>
      </c>
      <c r="G304" s="89">
        <f t="shared" si="8"/>
        <v>-6.0825335384249168E-3</v>
      </c>
      <c r="H304" s="89"/>
      <c r="I304" s="89"/>
    </row>
    <row r="305" spans="2:9" hidden="1" outlineLevel="1">
      <c r="B305" s="86">
        <v>45068</v>
      </c>
      <c r="C305" s="237">
        <v>1265.7856449999999</v>
      </c>
      <c r="D305" s="89">
        <f t="shared" si="9"/>
        <v>3.6293450863693621E-2</v>
      </c>
      <c r="F305" s="237">
        <v>18499.349609000001</v>
      </c>
      <c r="G305" s="89">
        <f t="shared" si="8"/>
        <v>1.6257908502980811E-2</v>
      </c>
      <c r="H305" s="89"/>
      <c r="I305" s="89"/>
    </row>
    <row r="306" spans="2:9" hidden="1" outlineLevel="1">
      <c r="B306" s="86">
        <v>45075</v>
      </c>
      <c r="C306" s="237">
        <v>1277.600586</v>
      </c>
      <c r="D306" s="89">
        <f t="shared" si="9"/>
        <v>9.3340772560270846E-3</v>
      </c>
      <c r="F306" s="237">
        <v>18534.099609000001</v>
      </c>
      <c r="G306" s="89">
        <f t="shared" si="8"/>
        <v>1.8784444174779757E-3</v>
      </c>
      <c r="H306" s="89"/>
      <c r="I306" s="89"/>
    </row>
    <row r="307" spans="2:9" hidden="1" outlineLevel="1">
      <c r="B307" s="86">
        <v>45082</v>
      </c>
      <c r="C307" s="237">
        <v>1275.763672</v>
      </c>
      <c r="D307" s="89">
        <f t="shared" si="9"/>
        <v>-1.437784249732621E-3</v>
      </c>
      <c r="F307" s="237">
        <v>18563.400390999999</v>
      </c>
      <c r="G307" s="89">
        <f t="shared" ref="G307:G345" si="10">F307/F306-1</f>
        <v>1.5809120819534339E-3</v>
      </c>
      <c r="H307" s="89"/>
      <c r="I307" s="89"/>
    </row>
    <row r="308" spans="2:9" hidden="1" outlineLevel="1">
      <c r="B308" s="86">
        <v>45089</v>
      </c>
      <c r="C308" s="237">
        <v>1353.9506839999999</v>
      </c>
      <c r="D308" s="89">
        <f t="shared" ref="D308:D345" si="11">C308/C307-1</f>
        <v>6.1286438637515817E-2</v>
      </c>
      <c r="F308" s="237">
        <v>18826</v>
      </c>
      <c r="G308" s="89">
        <f t="shared" si="10"/>
        <v>1.4146094113625551E-2</v>
      </c>
      <c r="H308" s="89"/>
      <c r="I308" s="89"/>
    </row>
    <row r="309" spans="2:9" hidden="1" outlineLevel="1">
      <c r="B309" s="86">
        <v>45096</v>
      </c>
      <c r="C309" s="237">
        <v>1291.30188</v>
      </c>
      <c r="D309" s="89">
        <f t="shared" si="11"/>
        <v>-4.6271112190671149E-2</v>
      </c>
      <c r="F309" s="237">
        <v>18665.5</v>
      </c>
      <c r="G309" s="89">
        <f t="shared" si="10"/>
        <v>-8.5254435355359703E-3</v>
      </c>
      <c r="H309" s="89"/>
      <c r="I309" s="89"/>
    </row>
    <row r="310" spans="2:9" hidden="1" outlineLevel="1">
      <c r="B310" s="86">
        <v>45103</v>
      </c>
      <c r="C310" s="237">
        <v>1230.142212</v>
      </c>
      <c r="D310" s="89">
        <f t="shared" si="11"/>
        <v>-4.7362796374152305E-2</v>
      </c>
      <c r="F310" s="237">
        <v>19189.050781000002</v>
      </c>
      <c r="G310" s="89">
        <f t="shared" si="10"/>
        <v>2.804911633762841E-2</v>
      </c>
      <c r="H310" s="89"/>
      <c r="I310" s="89"/>
    </row>
    <row r="311" spans="2:9" hidden="1" outlineLevel="1">
      <c r="B311" s="86">
        <v>45110</v>
      </c>
      <c r="C311" s="237">
        <v>1197.5271</v>
      </c>
      <c r="D311" s="89">
        <f t="shared" si="11"/>
        <v>-2.6513285766345152E-2</v>
      </c>
      <c r="F311" s="237">
        <v>19331.800781000002</v>
      </c>
      <c r="G311" s="89">
        <f t="shared" si="10"/>
        <v>7.4391381642151533E-3</v>
      </c>
      <c r="H311" s="89"/>
      <c r="I311" s="89"/>
    </row>
    <row r="312" spans="2:9" hidden="1" outlineLevel="1">
      <c r="B312" s="86">
        <v>45117</v>
      </c>
      <c r="C312" s="237">
        <v>1222.0505370000001</v>
      </c>
      <c r="D312" s="89">
        <f t="shared" si="11"/>
        <v>2.0478398359419225E-2</v>
      </c>
      <c r="F312" s="237">
        <v>19564.5</v>
      </c>
      <c r="G312" s="89">
        <f t="shared" si="10"/>
        <v>1.2037120681933855E-2</v>
      </c>
      <c r="H312" s="89"/>
      <c r="I312" s="89"/>
    </row>
    <row r="313" spans="2:9" hidden="1" outlineLevel="1">
      <c r="B313" s="86">
        <v>45124</v>
      </c>
      <c r="C313" s="237">
        <v>1271.8917240000001</v>
      </c>
      <c r="D313" s="89">
        <f t="shared" si="11"/>
        <v>4.0784882041257076E-2</v>
      </c>
      <c r="F313" s="237">
        <v>19745</v>
      </c>
      <c r="G313" s="89">
        <f t="shared" si="10"/>
        <v>9.225893838329613E-3</v>
      </c>
      <c r="H313" s="89"/>
      <c r="I313" s="89"/>
    </row>
    <row r="314" spans="2:9" hidden="1" outlineLevel="1">
      <c r="B314" s="86">
        <v>45131</v>
      </c>
      <c r="C314" s="237">
        <v>1231.7308350000001</v>
      </c>
      <c r="D314" s="89">
        <f t="shared" si="11"/>
        <v>-3.1575713751558321E-2</v>
      </c>
      <c r="F314" s="237">
        <v>19646.050781000002</v>
      </c>
      <c r="G314" s="89">
        <f t="shared" si="10"/>
        <v>-5.0113557356291638E-3</v>
      </c>
      <c r="H314" s="89"/>
      <c r="I314" s="89"/>
    </row>
    <row r="315" spans="2:9" hidden="1" outlineLevel="1">
      <c r="B315" s="86">
        <v>45138</v>
      </c>
      <c r="C315" s="237">
        <v>1265.0410159999999</v>
      </c>
      <c r="D315" s="89">
        <f t="shared" si="11"/>
        <v>2.70433929666134E-2</v>
      </c>
      <c r="F315" s="237">
        <v>19517</v>
      </c>
      <c r="G315" s="89">
        <f t="shared" si="10"/>
        <v>-6.568789953694365E-3</v>
      </c>
      <c r="H315" s="89"/>
      <c r="I315" s="89"/>
    </row>
    <row r="316" spans="2:9" hidden="1" outlineLevel="1">
      <c r="B316" s="86">
        <v>45145</v>
      </c>
      <c r="C316" s="237">
        <v>1257.9918210000001</v>
      </c>
      <c r="D316" s="89">
        <f t="shared" si="11"/>
        <v>-5.5723054911602787E-3</v>
      </c>
      <c r="F316" s="237">
        <v>19428.300781000002</v>
      </c>
      <c r="G316" s="89">
        <f t="shared" si="10"/>
        <v>-4.5447158374749552E-3</v>
      </c>
      <c r="H316" s="89"/>
      <c r="I316" s="89"/>
    </row>
    <row r="317" spans="2:9" hidden="1" outlineLevel="1">
      <c r="B317" s="86">
        <v>45152</v>
      </c>
      <c r="C317" s="237">
        <v>1216.2919919999999</v>
      </c>
      <c r="D317" s="89">
        <f t="shared" si="11"/>
        <v>-3.314793332030741E-2</v>
      </c>
      <c r="F317" s="237">
        <v>19310.150390999999</v>
      </c>
      <c r="G317" s="89">
        <f t="shared" si="10"/>
        <v>-6.0813547891717112E-3</v>
      </c>
      <c r="H317" s="89"/>
      <c r="I317" s="89"/>
    </row>
    <row r="318" spans="2:9" hidden="1" outlineLevel="1">
      <c r="B318" s="86">
        <v>45159</v>
      </c>
      <c r="C318" s="237">
        <v>1218.5500489999999</v>
      </c>
      <c r="D318" s="89">
        <f t="shared" si="11"/>
        <v>1.8565089755191444E-3</v>
      </c>
      <c r="F318" s="237">
        <v>19265.800781000002</v>
      </c>
      <c r="G318" s="89">
        <f t="shared" si="10"/>
        <v>-2.2966993576947203E-3</v>
      </c>
      <c r="H318" s="89"/>
      <c r="I318" s="89"/>
    </row>
    <row r="319" spans="2:9" hidden="1" outlineLevel="1">
      <c r="B319" s="86">
        <v>45166</v>
      </c>
      <c r="C319" s="237">
        <v>1258.400024</v>
      </c>
      <c r="D319" s="89">
        <f t="shared" si="11"/>
        <v>3.2702780679958909E-2</v>
      </c>
      <c r="F319" s="237">
        <v>19435.300781000002</v>
      </c>
      <c r="G319" s="89">
        <f t="shared" si="10"/>
        <v>8.797973254616176E-3</v>
      </c>
      <c r="H319" s="89"/>
      <c r="I319" s="89"/>
    </row>
    <row r="320" spans="2:9" hidden="1" outlineLevel="1">
      <c r="B320" s="86">
        <v>45173</v>
      </c>
      <c r="C320" s="237">
        <v>1280.75</v>
      </c>
      <c r="D320" s="89">
        <f t="shared" si="11"/>
        <v>1.7760629031901454E-2</v>
      </c>
      <c r="F320" s="237">
        <v>19819.949218999998</v>
      </c>
      <c r="G320" s="89">
        <f t="shared" si="10"/>
        <v>1.9791226404688889E-2</v>
      </c>
      <c r="H320" s="89"/>
      <c r="I320" s="89"/>
    </row>
    <row r="321" spans="2:9" hidden="1" outlineLevel="1">
      <c r="B321" s="86">
        <v>45180</v>
      </c>
      <c r="C321" s="237">
        <v>1314</v>
      </c>
      <c r="D321" s="89">
        <f t="shared" si="11"/>
        <v>2.5961350771032565E-2</v>
      </c>
      <c r="F321" s="237">
        <v>20192.349609000001</v>
      </c>
      <c r="G321" s="89">
        <f t="shared" si="10"/>
        <v>1.8789169734249711E-2</v>
      </c>
      <c r="H321" s="89"/>
      <c r="I321" s="89"/>
    </row>
    <row r="322" spans="2:9" hidden="1" outlineLevel="1">
      <c r="B322" s="86">
        <v>45187</v>
      </c>
      <c r="C322" s="237">
        <v>1342.25</v>
      </c>
      <c r="D322" s="89">
        <f t="shared" si="11"/>
        <v>2.1499238964992395E-2</v>
      </c>
      <c r="F322" s="237">
        <v>19674.25</v>
      </c>
      <c r="G322" s="89">
        <f t="shared" si="10"/>
        <v>-2.5658213087251469E-2</v>
      </c>
      <c r="H322" s="89"/>
      <c r="I322" s="89"/>
    </row>
    <row r="323" spans="2:9" hidden="1" outlineLevel="1">
      <c r="B323" s="86">
        <v>45194</v>
      </c>
      <c r="C323" s="237">
        <v>1338.5500489999999</v>
      </c>
      <c r="D323" s="89">
        <f t="shared" si="11"/>
        <v>-2.7565289625629541E-3</v>
      </c>
      <c r="F323" s="237">
        <v>19638.300781000002</v>
      </c>
      <c r="G323" s="89">
        <f t="shared" si="10"/>
        <v>-1.8272218254824502E-3</v>
      </c>
      <c r="H323" s="89"/>
      <c r="I323" s="89"/>
    </row>
    <row r="324" spans="2:9" hidden="1" outlineLevel="1">
      <c r="B324" s="86">
        <v>45201</v>
      </c>
      <c r="C324" s="237">
        <v>1298.900024</v>
      </c>
      <c r="D324" s="89">
        <f t="shared" si="11"/>
        <v>-2.9621623061178437E-2</v>
      </c>
      <c r="F324" s="237">
        <v>19653.5</v>
      </c>
      <c r="G324" s="89">
        <f t="shared" si="10"/>
        <v>7.7395794928980521E-4</v>
      </c>
      <c r="H324" s="89"/>
      <c r="I324" s="89"/>
    </row>
    <row r="325" spans="2:9" hidden="1" outlineLevel="1">
      <c r="B325" s="86">
        <v>45208</v>
      </c>
      <c r="C325" s="237">
        <v>1276.900024</v>
      </c>
      <c r="D325" s="89">
        <f t="shared" si="11"/>
        <v>-1.6937408263532405E-2</v>
      </c>
      <c r="F325" s="237">
        <v>19751.050781000002</v>
      </c>
      <c r="G325" s="89">
        <f t="shared" si="10"/>
        <v>4.96353224616497E-3</v>
      </c>
      <c r="H325" s="89"/>
      <c r="I325" s="89"/>
    </row>
    <row r="326" spans="2:9" hidden="1" outlineLevel="1">
      <c r="B326" s="86">
        <v>45215</v>
      </c>
      <c r="C326" s="237">
        <v>1311.099976</v>
      </c>
      <c r="D326" s="89">
        <f t="shared" si="11"/>
        <v>2.6783578476931691E-2</v>
      </c>
      <c r="F326" s="237">
        <v>19542.650390999999</v>
      </c>
      <c r="G326" s="89">
        <f t="shared" si="10"/>
        <v>-1.0551357105540893E-2</v>
      </c>
      <c r="H326" s="89"/>
      <c r="I326" s="89"/>
    </row>
    <row r="327" spans="2:9" hidden="1" outlineLevel="1">
      <c r="B327" s="86">
        <v>45222</v>
      </c>
      <c r="C327" s="237">
        <v>1283.0500489999999</v>
      </c>
      <c r="D327" s="89">
        <f t="shared" si="11"/>
        <v>-2.1394193816993923E-2</v>
      </c>
      <c r="F327" s="237">
        <v>19047.25</v>
      </c>
      <c r="G327" s="89">
        <f t="shared" si="10"/>
        <v>-2.5349703396840506E-2</v>
      </c>
      <c r="H327" s="89"/>
      <c r="I327" s="89"/>
    </row>
    <row r="328" spans="2:9" hidden="1" outlineLevel="1">
      <c r="B328" s="86">
        <v>45229</v>
      </c>
      <c r="C328" s="237">
        <v>1302.650024</v>
      </c>
      <c r="D328" s="89">
        <f t="shared" si="11"/>
        <v>1.5276079849945168E-2</v>
      </c>
      <c r="F328" s="237">
        <v>19230.599609000001</v>
      </c>
      <c r="G328" s="89">
        <f t="shared" si="10"/>
        <v>9.6260409770438926E-3</v>
      </c>
      <c r="H328" s="89"/>
      <c r="I328" s="89"/>
    </row>
    <row r="329" spans="2:9" hidden="1" outlineLevel="1">
      <c r="B329" s="86">
        <v>45236</v>
      </c>
      <c r="C329" s="237">
        <v>1332.6999510000001</v>
      </c>
      <c r="D329" s="89">
        <f t="shared" si="11"/>
        <v>2.3068304184823862E-2</v>
      </c>
      <c r="F329" s="237">
        <v>19425.349609000001</v>
      </c>
      <c r="G329" s="89">
        <f t="shared" si="10"/>
        <v>1.0127089324289962E-2</v>
      </c>
      <c r="H329" s="89"/>
      <c r="I329" s="89"/>
    </row>
    <row r="330" spans="2:9" hidden="1" outlineLevel="1">
      <c r="B330" s="86">
        <v>45243</v>
      </c>
      <c r="C330" s="237">
        <v>1304.8000489999999</v>
      </c>
      <c r="D330" s="89">
        <f t="shared" si="11"/>
        <v>-2.0934871333239902E-2</v>
      </c>
      <c r="F330" s="237">
        <v>19731.800781000002</v>
      </c>
      <c r="G330" s="89">
        <f t="shared" si="10"/>
        <v>1.5775838178892609E-2</v>
      </c>
      <c r="H330" s="89"/>
      <c r="I330" s="89"/>
    </row>
    <row r="331" spans="2:9" hidden="1" outlineLevel="1">
      <c r="B331" s="86">
        <v>45250</v>
      </c>
      <c r="C331" s="237">
        <v>1344.349976</v>
      </c>
      <c r="D331" s="89">
        <f t="shared" si="11"/>
        <v>3.0311101712719113E-2</v>
      </c>
      <c r="F331" s="237">
        <v>19794.699218999998</v>
      </c>
      <c r="G331" s="89">
        <f t="shared" si="10"/>
        <v>3.1876684088845142E-3</v>
      </c>
      <c r="H331" s="89"/>
      <c r="I331" s="89"/>
    </row>
    <row r="332" spans="2:9" hidden="1" outlineLevel="1">
      <c r="B332" s="86">
        <v>45257</v>
      </c>
      <c r="C332" s="237">
        <v>1391.75</v>
      </c>
      <c r="D332" s="89">
        <f t="shared" si="11"/>
        <v>3.525869367814094E-2</v>
      </c>
      <c r="F332" s="237">
        <v>20267.900390999999</v>
      </c>
      <c r="G332" s="89">
        <f t="shared" si="10"/>
        <v>2.390544896715574E-2</v>
      </c>
      <c r="H332" s="89"/>
      <c r="I332" s="89"/>
    </row>
    <row r="333" spans="2:9" hidden="1" outlineLevel="1">
      <c r="B333" s="86">
        <v>45264</v>
      </c>
      <c r="C333" s="237">
        <v>1458.75</v>
      </c>
      <c r="D333" s="89">
        <f t="shared" si="11"/>
        <v>4.8140829890425785E-2</v>
      </c>
      <c r="F333" s="237">
        <v>20969.400390999999</v>
      </c>
      <c r="G333" s="89">
        <f t="shared" si="10"/>
        <v>3.4611379889724736E-2</v>
      </c>
      <c r="H333" s="89"/>
      <c r="I333" s="89"/>
    </row>
    <row r="334" spans="2:9" hidden="1" outlineLevel="1">
      <c r="B334" s="86">
        <v>45271</v>
      </c>
      <c r="C334" s="237">
        <v>1330.9499510000001</v>
      </c>
      <c r="D334" s="89">
        <f t="shared" si="11"/>
        <v>-8.7609288089117388E-2</v>
      </c>
      <c r="F334" s="237">
        <v>21456.650390999999</v>
      </c>
      <c r="G334" s="89">
        <f t="shared" si="10"/>
        <v>2.3236239039487572E-2</v>
      </c>
      <c r="H334" s="89"/>
      <c r="I334" s="89"/>
    </row>
    <row r="335" spans="2:9" hidden="1" outlineLevel="1">
      <c r="B335" s="86">
        <v>45278</v>
      </c>
      <c r="C335" s="237">
        <v>1278.349976</v>
      </c>
      <c r="D335" s="89">
        <f t="shared" si="11"/>
        <v>-3.9520625821038213E-2</v>
      </c>
      <c r="F335" s="237">
        <v>21349.400390999999</v>
      </c>
      <c r="G335" s="89">
        <f t="shared" si="10"/>
        <v>-4.9984502727874469E-3</v>
      </c>
      <c r="H335" s="89"/>
      <c r="I335" s="89"/>
    </row>
    <row r="336" spans="2:9" hidden="1" outlineLevel="1">
      <c r="B336" s="86">
        <v>45285</v>
      </c>
      <c r="C336" s="237">
        <v>1267.900024</v>
      </c>
      <c r="D336" s="89">
        <f t="shared" si="11"/>
        <v>-8.174562675471897E-3</v>
      </c>
      <c r="F336" s="237">
        <v>21731.400390999999</v>
      </c>
      <c r="G336" s="89">
        <f t="shared" si="10"/>
        <v>1.7892774176507364E-2</v>
      </c>
      <c r="H336" s="89"/>
      <c r="I336" s="89"/>
    </row>
    <row r="337" spans="1:13" hidden="1" outlineLevel="1">
      <c r="B337" s="86">
        <v>45292</v>
      </c>
      <c r="C337" s="237">
        <v>1209.5500489999999</v>
      </c>
      <c r="D337" s="89">
        <f t="shared" si="11"/>
        <v>-4.602095898375036E-2</v>
      </c>
      <c r="F337" s="237">
        <v>21710.800781000002</v>
      </c>
      <c r="G337" s="89">
        <f t="shared" si="10"/>
        <v>-9.4791912299074799E-4</v>
      </c>
      <c r="H337" s="89"/>
      <c r="I337" s="89"/>
    </row>
    <row r="338" spans="1:13" hidden="1" outlineLevel="1">
      <c r="B338" s="86">
        <v>45299</v>
      </c>
      <c r="C338" s="237">
        <v>1199.650024</v>
      </c>
      <c r="D338" s="89">
        <f t="shared" si="11"/>
        <v>-8.1848824760784034E-3</v>
      </c>
      <c r="F338" s="237">
        <v>21894.550781000002</v>
      </c>
      <c r="G338" s="89">
        <f t="shared" si="10"/>
        <v>8.4635293674109047E-3</v>
      </c>
      <c r="H338" s="89"/>
      <c r="I338" s="89"/>
    </row>
    <row r="339" spans="1:13" hidden="1" outlineLevel="1">
      <c r="B339" s="86">
        <v>45306</v>
      </c>
      <c r="C339" s="237">
        <v>1088.0500489999999</v>
      </c>
      <c r="D339" s="89">
        <f t="shared" si="11"/>
        <v>-9.3027110213270037E-2</v>
      </c>
      <c r="F339" s="237">
        <v>21622.400390999999</v>
      </c>
      <c r="G339" s="89">
        <f t="shared" si="10"/>
        <v>-1.2430051327482539E-2</v>
      </c>
      <c r="H339" s="89"/>
      <c r="I339" s="89"/>
    </row>
    <row r="340" spans="1:13" hidden="1" outlineLevel="1">
      <c r="B340" s="86">
        <v>45313</v>
      </c>
      <c r="C340" s="237">
        <v>1125.0500489999999</v>
      </c>
      <c r="D340" s="89">
        <f t="shared" si="11"/>
        <v>3.4005788643643564E-2</v>
      </c>
      <c r="F340" s="237">
        <v>21352.599609000001</v>
      </c>
      <c r="G340" s="89">
        <f t="shared" si="10"/>
        <v>-1.2477836739731241E-2</v>
      </c>
      <c r="H340" s="89"/>
      <c r="I340" s="89"/>
    </row>
    <row r="341" spans="1:13" hidden="1" outlineLevel="1">
      <c r="B341" s="86">
        <v>45320</v>
      </c>
      <c r="C341" s="237">
        <v>961.65002400000003</v>
      </c>
      <c r="D341" s="89">
        <f t="shared" si="11"/>
        <v>-0.14523800531828601</v>
      </c>
      <c r="F341" s="237">
        <v>21853.800781000002</v>
      </c>
      <c r="G341" s="89">
        <f t="shared" si="10"/>
        <v>2.3472606669810325E-2</v>
      </c>
      <c r="H341" s="89"/>
      <c r="I341" s="89"/>
    </row>
    <row r="342" spans="1:13" hidden="1" outlineLevel="1">
      <c r="B342" s="86">
        <v>45327</v>
      </c>
      <c r="C342" s="237">
        <v>964.79998799999998</v>
      </c>
      <c r="D342" s="89">
        <f t="shared" si="11"/>
        <v>3.2755825106702829E-3</v>
      </c>
      <c r="F342" s="237">
        <v>21782.5</v>
      </c>
      <c r="G342" s="89">
        <f t="shared" si="10"/>
        <v>-3.2626261085894059E-3</v>
      </c>
      <c r="H342" s="89"/>
      <c r="I342" s="89"/>
    </row>
    <row r="343" spans="1:13" hidden="1" outlineLevel="1">
      <c r="B343" s="86">
        <v>45334</v>
      </c>
      <c r="C343" s="237">
        <v>972.40002400000003</v>
      </c>
      <c r="D343" s="89">
        <f t="shared" si="11"/>
        <v>7.8773176767494846E-3</v>
      </c>
      <c r="F343" s="237">
        <v>22040.699218999998</v>
      </c>
      <c r="G343" s="89">
        <f t="shared" si="10"/>
        <v>1.1853516308963474E-2</v>
      </c>
      <c r="H343" s="89"/>
      <c r="I343" s="89"/>
    </row>
    <row r="344" spans="1:13" hidden="1" outlineLevel="1">
      <c r="B344" s="86">
        <v>45341</v>
      </c>
      <c r="C344" s="237">
        <v>985.20001200000002</v>
      </c>
      <c r="D344" s="89">
        <f t="shared" si="11"/>
        <v>1.3163294615467835E-2</v>
      </c>
      <c r="F344" s="237">
        <v>22212.699218999998</v>
      </c>
      <c r="G344" s="89">
        <f t="shared" si="10"/>
        <v>7.803745166656384E-3</v>
      </c>
      <c r="H344" s="89"/>
      <c r="I344" s="89"/>
    </row>
    <row r="345" spans="1:13" hidden="1" outlineLevel="1">
      <c r="B345" s="86">
        <v>45348</v>
      </c>
      <c r="C345" s="237">
        <v>990.70001200000002</v>
      </c>
      <c r="D345" s="89">
        <f t="shared" si="11"/>
        <v>5.5826227497042247E-3</v>
      </c>
      <c r="F345" s="237">
        <v>22338.75</v>
      </c>
      <c r="G345" s="89">
        <f t="shared" si="10"/>
        <v>5.6747169606556902E-3</v>
      </c>
      <c r="H345" s="89"/>
      <c r="I345" s="89"/>
    </row>
    <row r="346" spans="1:13" collapsed="1"/>
    <row r="347" spans="1:13">
      <c r="A347" t="s">
        <v>59</v>
      </c>
      <c r="B347" s="246" t="s">
        <v>218</v>
      </c>
      <c r="C347" s="246"/>
      <c r="D347" s="246"/>
      <c r="E347" s="246"/>
      <c r="F347" s="246"/>
      <c r="G347" s="246"/>
      <c r="H347" s="246"/>
      <c r="I347" s="246"/>
      <c r="J347" s="246"/>
      <c r="K347" s="161"/>
      <c r="L347" s="161"/>
      <c r="M347" s="161"/>
    </row>
    <row r="348" spans="1:13" hidden="1" outlineLevel="1"/>
    <row r="349" spans="1:13" hidden="1" outlineLevel="1">
      <c r="B349" s="246" t="s">
        <v>219</v>
      </c>
      <c r="C349" s="246"/>
      <c r="D349" s="246"/>
      <c r="F349" s="246" t="s">
        <v>178</v>
      </c>
      <c r="G349" s="246"/>
      <c r="H349" s="80"/>
      <c r="I349" s="246" t="s">
        <v>179</v>
      </c>
      <c r="J349" s="246"/>
    </row>
    <row r="350" spans="1:13" hidden="1" outlineLevel="1"/>
    <row r="351" spans="1:13" hidden="1" outlineLevel="1">
      <c r="B351" s="81" t="s">
        <v>180</v>
      </c>
      <c r="C351" s="82" t="s">
        <v>181</v>
      </c>
      <c r="D351" s="82" t="s">
        <v>182</v>
      </c>
      <c r="F351" s="82" t="s">
        <v>181</v>
      </c>
      <c r="G351" s="82" t="s">
        <v>182</v>
      </c>
      <c r="H351" s="83"/>
      <c r="I351" s="84" t="s">
        <v>183</v>
      </c>
      <c r="J351" s="85">
        <f>M371</f>
        <v>1.1223125264976095</v>
      </c>
    </row>
    <row r="352" spans="1:13" hidden="1" outlineLevel="1">
      <c r="B352" s="86">
        <v>44620</v>
      </c>
      <c r="C352" s="237">
        <v>1092.68103</v>
      </c>
      <c r="D352" s="87"/>
      <c r="F352" s="237">
        <v>16245.349609000001</v>
      </c>
      <c r="G352" s="87"/>
      <c r="H352" s="87"/>
      <c r="I352" s="88" t="s">
        <v>184</v>
      </c>
      <c r="J352" s="52">
        <v>0.75</v>
      </c>
    </row>
    <row r="353" spans="2:17" hidden="1" outlineLevel="1">
      <c r="B353" s="86">
        <v>44627</v>
      </c>
      <c r="C353" s="237">
        <v>1165.845703</v>
      </c>
      <c r="D353" s="89">
        <f>C353/C352-1</f>
        <v>6.6958857151569573E-2</v>
      </c>
      <c r="F353" s="237">
        <v>16630.449218999998</v>
      </c>
      <c r="G353" s="89">
        <f>F353/F352-1</f>
        <v>2.3705221449137115E-2</v>
      </c>
      <c r="H353" s="89"/>
      <c r="I353" s="90"/>
    </row>
    <row r="354" spans="2:17" hidden="1" outlineLevel="1">
      <c r="B354" s="86">
        <v>44634</v>
      </c>
      <c r="C354" s="237">
        <v>1258.860107</v>
      </c>
      <c r="D354" s="89">
        <f>C354/C353-1</f>
        <v>7.9782773793008577E-2</v>
      </c>
      <c r="F354" s="237">
        <v>17287.050781000002</v>
      </c>
      <c r="G354" s="89">
        <f t="shared" ref="G354:G417" si="12">F354/F353-1</f>
        <v>3.9481889716475482E-2</v>
      </c>
      <c r="H354" s="89"/>
      <c r="I354" s="90" t="s">
        <v>185</v>
      </c>
      <c r="J354" s="85">
        <v>1</v>
      </c>
      <c r="L354" t="s">
        <v>188</v>
      </c>
    </row>
    <row r="355" spans="2:17" ht="15.75" hidden="1" outlineLevel="1" thickBot="1">
      <c r="B355" s="86">
        <v>44641</v>
      </c>
      <c r="C355" s="237">
        <v>1258.111938</v>
      </c>
      <c r="D355" s="89">
        <f t="shared" ref="D355:D418" si="13">C355/C354-1</f>
        <v>-5.9432259060376857E-4</v>
      </c>
      <c r="F355" s="237">
        <v>17153</v>
      </c>
      <c r="G355" s="89">
        <f t="shared" si="12"/>
        <v>-7.7544043051771538E-3</v>
      </c>
      <c r="H355" s="89"/>
      <c r="I355" s="90" t="s">
        <v>186</v>
      </c>
      <c r="J355" s="52">
        <v>0.25</v>
      </c>
    </row>
    <row r="356" spans="2:17" hidden="1" outlineLevel="1">
      <c r="B356" s="86">
        <v>44648</v>
      </c>
      <c r="C356" s="237">
        <v>1265.243774</v>
      </c>
      <c r="D356" s="89">
        <f t="shared" si="13"/>
        <v>5.6686816050226518E-3</v>
      </c>
      <c r="F356" s="237">
        <v>17670.449218999998</v>
      </c>
      <c r="G356" s="89">
        <f t="shared" si="12"/>
        <v>3.0166689150585846E-2</v>
      </c>
      <c r="H356" s="89"/>
      <c r="I356" s="90"/>
      <c r="L356" s="96" t="s">
        <v>189</v>
      </c>
      <c r="M356" s="96"/>
    </row>
    <row r="357" spans="2:17" hidden="1" outlineLevel="1">
      <c r="B357" s="86">
        <v>44655</v>
      </c>
      <c r="C357" s="237">
        <v>1266.4407960000001</v>
      </c>
      <c r="D357" s="89">
        <f t="shared" si="13"/>
        <v>9.460801345939629E-4</v>
      </c>
      <c r="F357" s="237">
        <v>17784.349609000001</v>
      </c>
      <c r="G357" s="89">
        <f t="shared" si="12"/>
        <v>6.4458117950692007E-3</v>
      </c>
      <c r="H357" s="89"/>
      <c r="I357" s="91" t="s">
        <v>187</v>
      </c>
      <c r="J357" s="92">
        <f>('Beta of Comparables'!Levered_Raw_Beta*'Beta of Comparables'!Raw_Beta_Weight)+('Beta of Comparables'!Market_Beta*Market_Beta_Weight_Trent)</f>
        <v>0.84173439487320711</v>
      </c>
      <c r="L357" s="93" t="s">
        <v>190</v>
      </c>
      <c r="M357" s="93">
        <v>0.44476616585533785</v>
      </c>
    </row>
    <row r="358" spans="2:17" hidden="1" outlineLevel="1">
      <c r="B358" s="86">
        <v>44662</v>
      </c>
      <c r="C358" s="237">
        <v>1229.6839600000001</v>
      </c>
      <c r="D358" s="89">
        <f>C358/C357-1</f>
        <v>-2.9023730217863308E-2</v>
      </c>
      <c r="F358" s="237">
        <v>17475.650390999999</v>
      </c>
      <c r="G358" s="89">
        <f>F358/F357-1</f>
        <v>-1.7357914390289553E-2</v>
      </c>
      <c r="H358" s="89"/>
      <c r="I358" s="89"/>
      <c r="L358" s="93" t="s">
        <v>191</v>
      </c>
      <c r="M358" s="93">
        <v>0.1978169422896579</v>
      </c>
    </row>
    <row r="359" spans="2:17" hidden="1" outlineLevel="1">
      <c r="B359" s="86">
        <v>44669</v>
      </c>
      <c r="C359" s="237">
        <v>1283.3479</v>
      </c>
      <c r="D359" s="89">
        <f t="shared" si="13"/>
        <v>4.364043261977657E-2</v>
      </c>
      <c r="F359" s="237">
        <v>17171.949218999998</v>
      </c>
      <c r="G359" s="89">
        <f t="shared" si="12"/>
        <v>-1.7378533285170805E-2</v>
      </c>
      <c r="H359" s="89"/>
      <c r="I359" s="89"/>
      <c r="L359" s="93" t="s">
        <v>192</v>
      </c>
      <c r="M359" s="93">
        <v>0.18995240250818396</v>
      </c>
    </row>
    <row r="360" spans="2:17" hidden="1" outlineLevel="1">
      <c r="B360" s="86">
        <v>44676</v>
      </c>
      <c r="C360" s="237">
        <v>1225.295044</v>
      </c>
      <c r="D360" s="89">
        <f t="shared" si="13"/>
        <v>-4.5235478236260063E-2</v>
      </c>
      <c r="F360" s="237">
        <v>17102.550781000002</v>
      </c>
      <c r="G360" s="89">
        <f t="shared" si="12"/>
        <v>-4.041383835634127E-3</v>
      </c>
      <c r="H360" s="89"/>
      <c r="I360" s="89"/>
      <c r="L360" s="93" t="s">
        <v>193</v>
      </c>
      <c r="M360" s="93">
        <v>3.9782848922417055E-2</v>
      </c>
    </row>
    <row r="361" spans="2:17" ht="15.75" hidden="1" outlineLevel="1" thickBot="1">
      <c r="B361" s="86">
        <v>44683</v>
      </c>
      <c r="C361" s="237">
        <v>1143.8514399999999</v>
      </c>
      <c r="D361" s="89">
        <f t="shared" si="13"/>
        <v>-6.6468565590639961E-2</v>
      </c>
      <c r="F361" s="237">
        <v>16411.25</v>
      </c>
      <c r="G361" s="89">
        <f t="shared" si="12"/>
        <v>-4.0420916730619982E-2</v>
      </c>
      <c r="H361" s="89"/>
      <c r="I361" s="89"/>
      <c r="L361" s="94" t="s">
        <v>194</v>
      </c>
      <c r="M361" s="94">
        <v>104</v>
      </c>
    </row>
    <row r="362" spans="2:17" hidden="1" outlineLevel="1">
      <c r="B362" s="86">
        <v>44690</v>
      </c>
      <c r="C362" s="237">
        <v>1029.3914789999999</v>
      </c>
      <c r="D362" s="89">
        <f t="shared" si="13"/>
        <v>-0.10006540796941255</v>
      </c>
      <c r="F362" s="237">
        <v>15782.150390999999</v>
      </c>
      <c r="G362" s="89">
        <f t="shared" si="12"/>
        <v>-3.8333436453652281E-2</v>
      </c>
      <c r="H362" s="89"/>
      <c r="I362" s="89"/>
    </row>
    <row r="363" spans="2:17" ht="15.75" hidden="1" outlineLevel="1" thickBot="1">
      <c r="B363" s="86">
        <v>44697</v>
      </c>
      <c r="C363" s="237">
        <v>1084.2025149999999</v>
      </c>
      <c r="D363" s="89">
        <f t="shared" si="13"/>
        <v>5.324605567285845E-2</v>
      </c>
      <c r="F363" s="237">
        <v>16266.150390999999</v>
      </c>
      <c r="G363" s="89">
        <f t="shared" si="12"/>
        <v>3.0667557209187901E-2</v>
      </c>
      <c r="H363" s="89"/>
      <c r="I363" s="89"/>
      <c r="L363" t="s">
        <v>195</v>
      </c>
    </row>
    <row r="364" spans="2:17" hidden="1" outlineLevel="1">
      <c r="B364" s="86">
        <v>44704</v>
      </c>
      <c r="C364" s="237">
        <v>1066.8813479999999</v>
      </c>
      <c r="D364" s="89">
        <f t="shared" si="13"/>
        <v>-1.5975951688324663E-2</v>
      </c>
      <c r="F364" s="237">
        <v>16352.450194999999</v>
      </c>
      <c r="G364" s="89">
        <f t="shared" si="12"/>
        <v>5.3054842064996777E-3</v>
      </c>
      <c r="H364" s="89"/>
      <c r="I364" s="89"/>
      <c r="L364" s="95"/>
      <c r="M364" s="95" t="s">
        <v>199</v>
      </c>
      <c r="N364" s="95" t="s">
        <v>200</v>
      </c>
      <c r="O364" s="95" t="s">
        <v>201</v>
      </c>
      <c r="P364" s="95" t="s">
        <v>202</v>
      </c>
      <c r="Q364" s="95" t="s">
        <v>203</v>
      </c>
    </row>
    <row r="365" spans="2:17" hidden="1" outlineLevel="1">
      <c r="B365" s="86">
        <v>44711</v>
      </c>
      <c r="C365" s="237">
        <v>1127.6420900000001</v>
      </c>
      <c r="D365" s="89">
        <f t="shared" si="13"/>
        <v>5.6951733305586005E-2</v>
      </c>
      <c r="F365" s="237">
        <v>16584.300781000002</v>
      </c>
      <c r="G365" s="89">
        <f t="shared" si="12"/>
        <v>1.4178339223494207E-2</v>
      </c>
      <c r="H365" s="89"/>
      <c r="I365" s="89"/>
      <c r="L365" s="93" t="s">
        <v>196</v>
      </c>
      <c r="M365" s="93">
        <v>1</v>
      </c>
      <c r="N365" s="93">
        <v>3.9809060843366245E-2</v>
      </c>
      <c r="O365" s="93">
        <v>3.9809060843366245E-2</v>
      </c>
      <c r="P365" s="93">
        <v>25.153022018611217</v>
      </c>
      <c r="Q365" s="93">
        <v>2.2430169763023896E-6</v>
      </c>
    </row>
    <row r="366" spans="2:17" hidden="1" outlineLevel="1">
      <c r="B366" s="86">
        <v>44718</v>
      </c>
      <c r="C366" s="237">
        <v>1111.665649</v>
      </c>
      <c r="D366" s="89">
        <f t="shared" si="13"/>
        <v>-1.4168006978171666E-2</v>
      </c>
      <c r="F366" s="237">
        <v>16201.799805000001</v>
      </c>
      <c r="G366" s="89">
        <f t="shared" si="12"/>
        <v>-2.3064039964724836E-2</v>
      </c>
      <c r="H366" s="89"/>
      <c r="I366" s="89"/>
      <c r="L366" s="93" t="s">
        <v>197</v>
      </c>
      <c r="M366" s="93">
        <v>102</v>
      </c>
      <c r="N366" s="93">
        <v>0.16143285697515372</v>
      </c>
      <c r="O366" s="93">
        <v>1.58267506838386E-3</v>
      </c>
      <c r="P366" s="93"/>
      <c r="Q366" s="93"/>
    </row>
    <row r="367" spans="2:17" ht="15.75" hidden="1" outlineLevel="1" thickBot="1">
      <c r="B367" s="86">
        <v>44725</v>
      </c>
      <c r="C367" s="237">
        <v>1042.267578</v>
      </c>
      <c r="D367" s="89">
        <f t="shared" si="13"/>
        <v>-6.2427107523226222E-2</v>
      </c>
      <c r="F367" s="237">
        <v>15293.5</v>
      </c>
      <c r="G367" s="89">
        <f t="shared" si="12"/>
        <v>-5.606166079892505E-2</v>
      </c>
      <c r="H367" s="89"/>
      <c r="I367" s="89"/>
      <c r="L367" s="94" t="s">
        <v>13</v>
      </c>
      <c r="M367" s="94">
        <v>103</v>
      </c>
      <c r="N367" s="94">
        <v>0.20124191781851997</v>
      </c>
      <c r="O367" s="94"/>
      <c r="P367" s="94"/>
      <c r="Q367" s="94"/>
    </row>
    <row r="368" spans="2:17" ht="15.75" hidden="1" outlineLevel="1" thickBot="1">
      <c r="B368" s="86">
        <v>44732</v>
      </c>
      <c r="C368" s="237">
        <v>1057.14563</v>
      </c>
      <c r="D368" s="89">
        <f t="shared" si="13"/>
        <v>1.4274695206915489E-2</v>
      </c>
      <c r="F368" s="237">
        <v>15699.25</v>
      </c>
      <c r="G368" s="89">
        <f t="shared" si="12"/>
        <v>2.6530879131657192E-2</v>
      </c>
      <c r="H368" s="89"/>
      <c r="I368" s="89"/>
    </row>
    <row r="369" spans="2:20" hidden="1" outlineLevel="1">
      <c r="B369" s="86">
        <v>44739</v>
      </c>
      <c r="C369" s="237">
        <v>1071.973999</v>
      </c>
      <c r="D369" s="89">
        <f t="shared" si="13"/>
        <v>1.4026798748626668E-2</v>
      </c>
      <c r="F369" s="237">
        <v>15752.049805000001</v>
      </c>
      <c r="G369" s="89">
        <f t="shared" si="12"/>
        <v>3.3632055671448668E-3</v>
      </c>
      <c r="H369" s="89"/>
      <c r="I369" s="89"/>
      <c r="L369" s="95"/>
      <c r="M369" s="95" t="s">
        <v>204</v>
      </c>
      <c r="N369" s="95" t="s">
        <v>193</v>
      </c>
      <c r="O369" s="95" t="s">
        <v>205</v>
      </c>
      <c r="P369" s="95" t="s">
        <v>206</v>
      </c>
      <c r="Q369" s="95" t="s">
        <v>207</v>
      </c>
      <c r="R369" s="95" t="s">
        <v>208</v>
      </c>
      <c r="S369" s="95" t="s">
        <v>209</v>
      </c>
      <c r="T369" s="95" t="s">
        <v>210</v>
      </c>
    </row>
    <row r="370" spans="2:20" hidden="1" outlineLevel="1">
      <c r="B370" s="86">
        <v>44746</v>
      </c>
      <c r="C370" s="237">
        <v>1202.4820560000001</v>
      </c>
      <c r="D370" s="89">
        <f t="shared" si="13"/>
        <v>0.12174554338234467</v>
      </c>
      <c r="F370" s="237">
        <v>16220.599609000001</v>
      </c>
      <c r="G370" s="89">
        <f t="shared" si="12"/>
        <v>2.9745322659611828E-2</v>
      </c>
      <c r="H370" s="89"/>
      <c r="I370" s="89"/>
      <c r="L370" s="93" t="s">
        <v>198</v>
      </c>
      <c r="M370" s="93">
        <v>9.638102943774967E-3</v>
      </c>
      <c r="N370" s="93">
        <v>3.9670063400277442E-3</v>
      </c>
      <c r="O370" s="93">
        <v>2.4295658029393419</v>
      </c>
      <c r="P370" s="93">
        <v>1.6864892236687887E-2</v>
      </c>
      <c r="Q370" s="93">
        <v>1.7695646776410487E-3</v>
      </c>
      <c r="R370" s="93">
        <v>1.7506641209908885E-2</v>
      </c>
      <c r="S370" s="93">
        <v>1.7695646776410487E-3</v>
      </c>
      <c r="T370" s="93">
        <v>1.7506641209908885E-2</v>
      </c>
    </row>
    <row r="371" spans="2:20" ht="15.75" hidden="1" outlineLevel="1" thickBot="1">
      <c r="B371" s="86">
        <v>44753</v>
      </c>
      <c r="C371" s="237">
        <v>1208.9224850000001</v>
      </c>
      <c r="D371" s="89">
        <f t="shared" si="13"/>
        <v>5.3559460350067756E-3</v>
      </c>
      <c r="F371" s="237">
        <v>16049.200194999999</v>
      </c>
      <c r="G371" s="89">
        <f t="shared" si="12"/>
        <v>-1.0566774233481513E-2</v>
      </c>
      <c r="H371" s="89"/>
      <c r="I371" s="89"/>
      <c r="L371" s="94" t="s">
        <v>211</v>
      </c>
      <c r="M371" s="94">
        <v>1.1223125264976095</v>
      </c>
      <c r="N371" s="94">
        <v>0.2237786887595466</v>
      </c>
      <c r="O371" s="94">
        <v>5.0152788575124347</v>
      </c>
      <c r="P371" s="94">
        <v>2.2430169763023684E-6</v>
      </c>
      <c r="Q371" s="94">
        <v>0.67844855837563012</v>
      </c>
      <c r="R371" s="94">
        <v>1.5661764946195889</v>
      </c>
      <c r="S371" s="94">
        <v>0.67844855837563012</v>
      </c>
      <c r="T371" s="94">
        <v>1.5661764946195889</v>
      </c>
    </row>
    <row r="372" spans="2:20" hidden="1" outlineLevel="1">
      <c r="B372" s="86">
        <v>44760</v>
      </c>
      <c r="C372" s="237">
        <v>1241.924072</v>
      </c>
      <c r="D372" s="89">
        <f t="shared" si="13"/>
        <v>2.7298348247695836E-2</v>
      </c>
      <c r="F372" s="237">
        <v>16719.449218999998</v>
      </c>
      <c r="G372" s="89">
        <f t="shared" si="12"/>
        <v>4.1762144895470144E-2</v>
      </c>
      <c r="H372" s="89"/>
      <c r="I372" s="89"/>
    </row>
    <row r="373" spans="2:20" hidden="1" outlineLevel="1">
      <c r="B373" s="86">
        <v>44767</v>
      </c>
      <c r="C373" s="237">
        <v>1266.7375489999999</v>
      </c>
      <c r="D373" s="89">
        <f t="shared" si="13"/>
        <v>1.9979866369801647E-2</v>
      </c>
      <c r="F373" s="237">
        <v>17158.25</v>
      </c>
      <c r="G373" s="89">
        <f t="shared" si="12"/>
        <v>2.6244930395275645E-2</v>
      </c>
      <c r="H373" s="89"/>
      <c r="I373" s="89"/>
    </row>
    <row r="374" spans="2:20" hidden="1" outlineLevel="1">
      <c r="B374" s="86">
        <v>44774</v>
      </c>
      <c r="C374" s="237">
        <v>1313.9681399999999</v>
      </c>
      <c r="D374" s="89">
        <f t="shared" si="13"/>
        <v>3.7285222212987357E-2</v>
      </c>
      <c r="F374" s="237">
        <v>17397.5</v>
      </c>
      <c r="G374" s="89">
        <f t="shared" si="12"/>
        <v>1.3943729692713402E-2</v>
      </c>
      <c r="H374" s="89"/>
      <c r="I374" s="89"/>
    </row>
    <row r="375" spans="2:20" hidden="1" outlineLevel="1">
      <c r="B375" s="86">
        <v>44781</v>
      </c>
      <c r="C375" s="237">
        <v>1380.719971</v>
      </c>
      <c r="D375" s="89">
        <f t="shared" si="13"/>
        <v>5.0801711980626996E-2</v>
      </c>
      <c r="F375" s="237">
        <v>17698.150390999999</v>
      </c>
      <c r="G375" s="89">
        <f t="shared" si="12"/>
        <v>1.7281241040379314E-2</v>
      </c>
      <c r="H375" s="89"/>
      <c r="I375" s="89"/>
    </row>
    <row r="376" spans="2:20" hidden="1" outlineLevel="1">
      <c r="B376" s="86">
        <v>44788</v>
      </c>
      <c r="C376" s="237">
        <v>1396.0974120000001</v>
      </c>
      <c r="D376" s="89">
        <f t="shared" si="13"/>
        <v>1.1137262676705451E-2</v>
      </c>
      <c r="F376" s="237">
        <v>17758.449218999998</v>
      </c>
      <c r="G376" s="89">
        <f t="shared" si="12"/>
        <v>3.4070694771959342E-3</v>
      </c>
      <c r="H376" s="89"/>
      <c r="I376" s="89"/>
    </row>
    <row r="377" spans="2:20" hidden="1" outlineLevel="1">
      <c r="B377" s="86">
        <v>44795</v>
      </c>
      <c r="C377" s="237">
        <v>1388.55835</v>
      </c>
      <c r="D377" s="89">
        <f t="shared" si="13"/>
        <v>-5.4000973966421562E-3</v>
      </c>
      <c r="F377" s="237">
        <v>17558.900390999999</v>
      </c>
      <c r="G377" s="89">
        <f t="shared" si="12"/>
        <v>-1.1236838619134604E-2</v>
      </c>
      <c r="H377" s="89"/>
      <c r="I377" s="89"/>
    </row>
    <row r="378" spans="2:20" hidden="1" outlineLevel="1">
      <c r="B378" s="86">
        <v>44802</v>
      </c>
      <c r="C378" s="237">
        <v>1389.0576169999999</v>
      </c>
      <c r="D378" s="89">
        <f t="shared" si="13"/>
        <v>3.5955781044405555E-4</v>
      </c>
      <c r="F378" s="237">
        <v>17539.449218999998</v>
      </c>
      <c r="G378" s="89">
        <f t="shared" si="12"/>
        <v>-1.1077670905844661E-3</v>
      </c>
      <c r="H378" s="89"/>
      <c r="I378" s="89"/>
    </row>
    <row r="379" spans="2:20" hidden="1" outlineLevel="1">
      <c r="B379" s="86">
        <v>44809</v>
      </c>
      <c r="C379" s="237">
        <v>1377.3249510000001</v>
      </c>
      <c r="D379" s="89">
        <f t="shared" si="13"/>
        <v>-8.4464934041680317E-3</v>
      </c>
      <c r="F379" s="237">
        <v>17833.349609000001</v>
      </c>
      <c r="G379" s="89">
        <f t="shared" si="12"/>
        <v>1.6756534730955508E-2</v>
      </c>
      <c r="H379" s="89"/>
      <c r="I379" s="89"/>
    </row>
    <row r="380" spans="2:20" hidden="1" outlineLevel="1">
      <c r="B380" s="86">
        <v>44816</v>
      </c>
      <c r="C380" s="237">
        <v>1430.596558</v>
      </c>
      <c r="D380" s="89">
        <f t="shared" si="13"/>
        <v>3.8677588002252072E-2</v>
      </c>
      <c r="F380" s="237">
        <v>17530.849609000001</v>
      </c>
      <c r="G380" s="89">
        <f t="shared" si="12"/>
        <v>-1.6962601341440453E-2</v>
      </c>
      <c r="H380" s="89"/>
      <c r="I380" s="89"/>
    </row>
    <row r="381" spans="2:20" hidden="1" outlineLevel="1">
      <c r="B381" s="86">
        <v>44823</v>
      </c>
      <c r="C381" s="237">
        <v>1431.545288</v>
      </c>
      <c r="D381" s="89">
        <f t="shared" si="13"/>
        <v>6.6317089517275996E-4</v>
      </c>
      <c r="F381" s="237">
        <v>17327.349609000001</v>
      </c>
      <c r="G381" s="89">
        <f t="shared" si="12"/>
        <v>-1.1608108251383698E-2</v>
      </c>
      <c r="H381" s="89"/>
      <c r="I381" s="89"/>
    </row>
    <row r="382" spans="2:20" hidden="1" outlineLevel="1">
      <c r="B382" s="86">
        <v>44830</v>
      </c>
      <c r="C382" s="237">
        <v>1417.915283</v>
      </c>
      <c r="D382" s="89">
        <f t="shared" si="13"/>
        <v>-9.5211832376203009E-3</v>
      </c>
      <c r="F382" s="237">
        <v>17094.349609000001</v>
      </c>
      <c r="G382" s="89">
        <f t="shared" si="12"/>
        <v>-1.3446949779265527E-2</v>
      </c>
      <c r="H382" s="89"/>
      <c r="I382" s="89"/>
    </row>
    <row r="383" spans="2:20" hidden="1" outlineLevel="1">
      <c r="B383" s="86">
        <v>44837</v>
      </c>
      <c r="C383" s="237">
        <v>1448.6201169999999</v>
      </c>
      <c r="D383" s="89">
        <f t="shared" si="13"/>
        <v>2.1654914343708365E-2</v>
      </c>
      <c r="F383" s="237">
        <v>17314.650390999999</v>
      </c>
      <c r="G383" s="89">
        <f t="shared" si="12"/>
        <v>1.2887345060733635E-2</v>
      </c>
      <c r="H383" s="89"/>
      <c r="I383" s="89"/>
    </row>
    <row r="384" spans="2:20" hidden="1" outlineLevel="1">
      <c r="B384" s="86">
        <v>44844</v>
      </c>
      <c r="C384" s="237">
        <v>1377.5745850000001</v>
      </c>
      <c r="D384" s="89">
        <f t="shared" si="13"/>
        <v>-4.9043590632394829E-2</v>
      </c>
      <c r="F384" s="237">
        <v>17185.699218999998</v>
      </c>
      <c r="G384" s="89">
        <f t="shared" si="12"/>
        <v>-7.4475180894804094E-3</v>
      </c>
      <c r="H384" s="89"/>
      <c r="I384" s="89"/>
    </row>
    <row r="385" spans="2:9" hidden="1" outlineLevel="1">
      <c r="B385" s="86">
        <v>44851</v>
      </c>
      <c r="C385" s="237">
        <v>1428.8991699999999</v>
      </c>
      <c r="D385" s="89">
        <f t="shared" si="13"/>
        <v>3.7257209561542437E-2</v>
      </c>
      <c r="F385" s="237">
        <v>17576.300781000002</v>
      </c>
      <c r="G385" s="89">
        <f t="shared" si="12"/>
        <v>2.2728290366455628E-2</v>
      </c>
      <c r="H385" s="89"/>
      <c r="I385" s="89"/>
    </row>
    <row r="386" spans="2:9" hidden="1" outlineLevel="1">
      <c r="B386" s="86">
        <v>44858</v>
      </c>
      <c r="C386" s="237">
        <v>1456.8079829999999</v>
      </c>
      <c r="D386" s="89">
        <f t="shared" si="13"/>
        <v>1.9531688159634131E-2</v>
      </c>
      <c r="F386" s="237">
        <v>17786.800781000002</v>
      </c>
      <c r="G386" s="89">
        <f t="shared" si="12"/>
        <v>1.197635399068453E-2</v>
      </c>
      <c r="H386" s="89"/>
      <c r="I386" s="89"/>
    </row>
    <row r="387" spans="2:9" hidden="1" outlineLevel="1">
      <c r="B387" s="86">
        <v>44865</v>
      </c>
      <c r="C387" s="237">
        <v>1503.7890629999999</v>
      </c>
      <c r="D387" s="89">
        <f t="shared" si="13"/>
        <v>3.2249329045583641E-2</v>
      </c>
      <c r="F387" s="237">
        <v>18117.150390999999</v>
      </c>
      <c r="G387" s="89">
        <f t="shared" si="12"/>
        <v>1.8572739081492262E-2</v>
      </c>
      <c r="H387" s="89"/>
      <c r="I387" s="89"/>
    </row>
    <row r="388" spans="2:9" hidden="1" outlineLevel="1">
      <c r="B388" s="86">
        <v>44872</v>
      </c>
      <c r="C388" s="237">
        <v>1416.9666749999999</v>
      </c>
      <c r="D388" s="89">
        <f t="shared" si="13"/>
        <v>-5.7735749072940323E-2</v>
      </c>
      <c r="F388" s="237">
        <v>18349.699218999998</v>
      </c>
      <c r="G388" s="89">
        <f t="shared" si="12"/>
        <v>1.2835839134808014E-2</v>
      </c>
      <c r="H388" s="89"/>
      <c r="I388" s="89"/>
    </row>
    <row r="389" spans="2:9" hidden="1" outlineLevel="1">
      <c r="B389" s="86">
        <v>44879</v>
      </c>
      <c r="C389" s="237">
        <v>1381.0195309999999</v>
      </c>
      <c r="D389" s="89">
        <f t="shared" si="13"/>
        <v>-2.5369082162782663E-2</v>
      </c>
      <c r="F389" s="237">
        <v>18307.650390999999</v>
      </c>
      <c r="G389" s="89">
        <f t="shared" si="12"/>
        <v>-2.2915268254892762E-3</v>
      </c>
      <c r="H389" s="89"/>
      <c r="I389" s="89"/>
    </row>
    <row r="390" spans="2:9" hidden="1" outlineLevel="1">
      <c r="B390" s="86">
        <v>44886</v>
      </c>
      <c r="C390" s="237">
        <v>1430.2971190000001</v>
      </c>
      <c r="D390" s="89">
        <f t="shared" si="13"/>
        <v>3.568203554972027E-2</v>
      </c>
      <c r="F390" s="237">
        <v>18512.75</v>
      </c>
      <c r="G390" s="89">
        <f t="shared" si="12"/>
        <v>1.1202945469224623E-2</v>
      </c>
      <c r="H390" s="89"/>
      <c r="I390" s="89"/>
    </row>
    <row r="391" spans="2:9" hidden="1" outlineLevel="1">
      <c r="B391" s="86">
        <v>44893</v>
      </c>
      <c r="C391" s="237">
        <v>1466.5437010000001</v>
      </c>
      <c r="D391" s="89">
        <f t="shared" si="13"/>
        <v>2.5341994693621306E-2</v>
      </c>
      <c r="F391" s="237">
        <v>18696.099609000001</v>
      </c>
      <c r="G391" s="89">
        <f t="shared" si="12"/>
        <v>9.9039639707769744E-3</v>
      </c>
      <c r="H391" s="89"/>
      <c r="I391" s="89"/>
    </row>
    <row r="392" spans="2:9" hidden="1" outlineLevel="1">
      <c r="B392" s="86">
        <v>44900</v>
      </c>
      <c r="C392" s="237">
        <v>1455.8594969999999</v>
      </c>
      <c r="D392" s="89">
        <f t="shared" si="13"/>
        <v>-7.2852953462722025E-3</v>
      </c>
      <c r="F392" s="237">
        <v>18496.599609000001</v>
      </c>
      <c r="G392" s="89">
        <f t="shared" si="12"/>
        <v>-1.0670674855838058E-2</v>
      </c>
      <c r="H392" s="89"/>
      <c r="I392" s="89"/>
    </row>
    <row r="393" spans="2:9" hidden="1" outlineLevel="1">
      <c r="B393" s="86">
        <v>44907</v>
      </c>
      <c r="C393" s="237">
        <v>1405.234009</v>
      </c>
      <c r="D393" s="89">
        <f t="shared" si="13"/>
        <v>-3.4773608376578058E-2</v>
      </c>
      <c r="F393" s="237">
        <v>18269</v>
      </c>
      <c r="G393" s="89">
        <f t="shared" si="12"/>
        <v>-1.2304943276668867E-2</v>
      </c>
      <c r="H393" s="89"/>
      <c r="I393" s="89"/>
    </row>
    <row r="394" spans="2:9" hidden="1" outlineLevel="1">
      <c r="B394" s="86">
        <v>44914</v>
      </c>
      <c r="C394" s="237">
        <v>1282.514404</v>
      </c>
      <c r="D394" s="89">
        <f t="shared" si="13"/>
        <v>-8.7330369329255197E-2</v>
      </c>
      <c r="F394" s="237">
        <v>17806.800781000002</v>
      </c>
      <c r="G394" s="89">
        <f t="shared" si="12"/>
        <v>-2.529964524604511E-2</v>
      </c>
      <c r="H394" s="89"/>
      <c r="I394" s="89"/>
    </row>
    <row r="395" spans="2:9" hidden="1" outlineLevel="1">
      <c r="B395" s="86">
        <v>44921</v>
      </c>
      <c r="C395" s="237">
        <v>1349.3660890000001</v>
      </c>
      <c r="D395" s="89">
        <f t="shared" si="13"/>
        <v>5.2125484744263373E-2</v>
      </c>
      <c r="F395" s="237">
        <v>18105.300781000002</v>
      </c>
      <c r="G395" s="89">
        <f t="shared" si="12"/>
        <v>1.6763258244484991E-2</v>
      </c>
      <c r="H395" s="89"/>
      <c r="I395" s="89"/>
    </row>
    <row r="396" spans="2:9" hidden="1" outlineLevel="1">
      <c r="B396" s="86">
        <v>44928</v>
      </c>
      <c r="C396" s="237">
        <v>1246.3176269999999</v>
      </c>
      <c r="D396" s="89">
        <f t="shared" si="13"/>
        <v>-7.6368053740233144E-2</v>
      </c>
      <c r="F396" s="237">
        <v>17859.449218999998</v>
      </c>
      <c r="G396" s="89">
        <f t="shared" si="12"/>
        <v>-1.3578982474458767E-2</v>
      </c>
      <c r="H396" s="89"/>
      <c r="I396" s="89"/>
    </row>
    <row r="397" spans="2:9" hidden="1" outlineLevel="1">
      <c r="B397" s="86">
        <v>44935</v>
      </c>
      <c r="C397" s="237">
        <v>1203.630371</v>
      </c>
      <c r="D397" s="89">
        <f t="shared" si="13"/>
        <v>-3.4250703893799583E-2</v>
      </c>
      <c r="F397" s="237">
        <v>17956.599609000001</v>
      </c>
      <c r="G397" s="89">
        <f t="shared" si="12"/>
        <v>5.4397192661825855E-3</v>
      </c>
      <c r="H397" s="89"/>
      <c r="I397" s="89"/>
    </row>
    <row r="398" spans="2:9" hidden="1" outlineLevel="1">
      <c r="B398" s="86">
        <v>44942</v>
      </c>
      <c r="C398" s="237">
        <v>1180.564331</v>
      </c>
      <c r="D398" s="89">
        <f t="shared" si="13"/>
        <v>-1.9163723810687983E-2</v>
      </c>
      <c r="F398" s="237">
        <v>18027.650390999999</v>
      </c>
      <c r="G398" s="89">
        <f t="shared" si="12"/>
        <v>3.9568060516528281E-3</v>
      </c>
      <c r="H398" s="89"/>
      <c r="I398" s="89"/>
    </row>
    <row r="399" spans="2:9" hidden="1" outlineLevel="1">
      <c r="B399" s="86">
        <v>44949</v>
      </c>
      <c r="C399" s="237">
        <v>1174.57312</v>
      </c>
      <c r="D399" s="89">
        <f t="shared" si="13"/>
        <v>-5.0748704180526572E-3</v>
      </c>
      <c r="F399" s="237">
        <v>17604.349609000001</v>
      </c>
      <c r="G399" s="89">
        <f t="shared" si="12"/>
        <v>-2.3480640727941093E-2</v>
      </c>
      <c r="H399" s="89"/>
      <c r="I399" s="89"/>
    </row>
    <row r="400" spans="2:9" hidden="1" outlineLevel="1">
      <c r="B400" s="86">
        <v>44956</v>
      </c>
      <c r="C400" s="237">
        <v>1233.8359379999999</v>
      </c>
      <c r="D400" s="89">
        <f t="shared" si="13"/>
        <v>5.0454771176782875E-2</v>
      </c>
      <c r="F400" s="237">
        <v>17854.050781000002</v>
      </c>
      <c r="G400" s="89">
        <f t="shared" si="12"/>
        <v>1.4184061186352848E-2</v>
      </c>
      <c r="H400" s="89"/>
      <c r="I400" s="89"/>
    </row>
    <row r="401" spans="2:9" hidden="1" outlineLevel="1">
      <c r="B401" s="86">
        <v>44963</v>
      </c>
      <c r="C401" s="237">
        <v>1326.8492429999999</v>
      </c>
      <c r="D401" s="89">
        <f t="shared" si="13"/>
        <v>7.5385472359291938E-2</v>
      </c>
      <c r="F401" s="237">
        <v>17856.5</v>
      </c>
      <c r="G401" s="89">
        <f t="shared" si="12"/>
        <v>1.371800175793414E-4</v>
      </c>
      <c r="H401" s="89"/>
      <c r="I401" s="89"/>
    </row>
    <row r="402" spans="2:9" hidden="1" outlineLevel="1">
      <c r="B402" s="86">
        <v>44970</v>
      </c>
      <c r="C402" s="237">
        <v>1358.652466</v>
      </c>
      <c r="D402" s="89">
        <f t="shared" si="13"/>
        <v>2.3968980023753916E-2</v>
      </c>
      <c r="F402" s="237">
        <v>17944.199218999998</v>
      </c>
      <c r="G402" s="89">
        <f t="shared" si="12"/>
        <v>4.9113330719905424E-3</v>
      </c>
      <c r="H402" s="89"/>
      <c r="I402" s="89"/>
    </row>
    <row r="403" spans="2:9" hidden="1" outlineLevel="1">
      <c r="B403" s="86">
        <v>44977</v>
      </c>
      <c r="C403" s="237">
        <v>1303.6333010000001</v>
      </c>
      <c r="D403" s="89">
        <f t="shared" si="13"/>
        <v>-4.049539258702517E-2</v>
      </c>
      <c r="F403" s="237">
        <v>17465.800781000002</v>
      </c>
      <c r="G403" s="89">
        <f t="shared" si="12"/>
        <v>-2.6660339208308015E-2</v>
      </c>
      <c r="H403" s="89"/>
      <c r="I403" s="89"/>
    </row>
    <row r="404" spans="2:9" hidden="1" outlineLevel="1">
      <c r="B404" s="86">
        <v>44984</v>
      </c>
      <c r="C404" s="237">
        <v>1302.9842530000001</v>
      </c>
      <c r="D404" s="89">
        <f t="shared" si="13"/>
        <v>-4.9787620452934611E-4</v>
      </c>
      <c r="F404" s="237">
        <v>17594.349609000001</v>
      </c>
      <c r="G404" s="89">
        <f t="shared" si="12"/>
        <v>7.3600305884538031E-3</v>
      </c>
      <c r="H404" s="89"/>
      <c r="I404" s="89"/>
    </row>
    <row r="405" spans="2:9" hidden="1" outlineLevel="1">
      <c r="B405" s="86">
        <v>44991</v>
      </c>
      <c r="C405" s="237">
        <v>1339.03125</v>
      </c>
      <c r="D405" s="89">
        <f t="shared" si="13"/>
        <v>2.7664952141213561E-2</v>
      </c>
      <c r="F405" s="237">
        <v>17412.900390999999</v>
      </c>
      <c r="G405" s="89">
        <f t="shared" si="12"/>
        <v>-1.0312925571695164E-2</v>
      </c>
      <c r="H405" s="89"/>
      <c r="I405" s="89"/>
    </row>
    <row r="406" spans="2:9" hidden="1" outlineLevel="1">
      <c r="B406" s="86">
        <v>44998</v>
      </c>
      <c r="C406" s="237">
        <v>1354.208862</v>
      </c>
      <c r="D406" s="89">
        <f t="shared" si="13"/>
        <v>1.1334770566407526E-2</v>
      </c>
      <c r="F406" s="237">
        <v>17100.050781000002</v>
      </c>
      <c r="G406" s="89">
        <f t="shared" si="12"/>
        <v>-1.7966542217268788E-2</v>
      </c>
      <c r="H406" s="89"/>
      <c r="I406" s="89"/>
    </row>
    <row r="407" spans="2:9" hidden="1" outlineLevel="1">
      <c r="B407" s="86">
        <v>45005</v>
      </c>
      <c r="C407" s="237">
        <v>1308.1267089999999</v>
      </c>
      <c r="D407" s="89">
        <f t="shared" si="13"/>
        <v>-3.4028837273995083E-2</v>
      </c>
      <c r="F407" s="237">
        <v>16945.050781000002</v>
      </c>
      <c r="G407" s="89">
        <f t="shared" si="12"/>
        <v>-9.0643005675878907E-3</v>
      </c>
      <c r="H407" s="89"/>
      <c r="I407" s="89"/>
    </row>
    <row r="408" spans="2:9" hidden="1" outlineLevel="1">
      <c r="B408" s="86">
        <v>45012</v>
      </c>
      <c r="C408" s="237">
        <v>1372.9313959999999</v>
      </c>
      <c r="D408" s="89">
        <f t="shared" si="13"/>
        <v>4.9540068675411497E-2</v>
      </c>
      <c r="F408" s="237">
        <v>17359.75</v>
      </c>
      <c r="G408" s="89">
        <f t="shared" si="12"/>
        <v>2.4473176525678486E-2</v>
      </c>
      <c r="H408" s="89"/>
      <c r="I408" s="89"/>
    </row>
    <row r="409" spans="2:9" hidden="1" outlineLevel="1">
      <c r="B409" s="86">
        <v>45019</v>
      </c>
      <c r="C409" s="237">
        <v>1365.2426760000001</v>
      </c>
      <c r="D409" s="89">
        <f t="shared" si="13"/>
        <v>-5.6002215568824454E-3</v>
      </c>
      <c r="F409" s="237">
        <v>17599.150390999999</v>
      </c>
      <c r="G409" s="89">
        <f t="shared" si="12"/>
        <v>1.3790543700226143E-2</v>
      </c>
      <c r="H409" s="89"/>
      <c r="I409" s="89"/>
    </row>
    <row r="410" spans="2:9" hidden="1" outlineLevel="1">
      <c r="B410" s="86">
        <v>45026</v>
      </c>
      <c r="C410" s="237">
        <v>1359.8007809999999</v>
      </c>
      <c r="D410" s="89">
        <f t="shared" si="13"/>
        <v>-3.9860276093509617E-3</v>
      </c>
      <c r="F410" s="237">
        <v>17828</v>
      </c>
      <c r="G410" s="89">
        <f t="shared" si="12"/>
        <v>1.3003446411653519E-2</v>
      </c>
      <c r="H410" s="89"/>
      <c r="I410" s="89"/>
    </row>
    <row r="411" spans="2:9" hidden="1" outlineLevel="1">
      <c r="B411" s="86">
        <v>45033</v>
      </c>
      <c r="C411" s="237">
        <v>1381.319092</v>
      </c>
      <c r="D411" s="89">
        <f t="shared" si="13"/>
        <v>1.5824605560364136E-2</v>
      </c>
      <c r="F411" s="237">
        <v>17624.050781000002</v>
      </c>
      <c r="G411" s="89">
        <f t="shared" si="12"/>
        <v>-1.1439826060130054E-2</v>
      </c>
      <c r="H411" s="89"/>
      <c r="I411" s="89"/>
    </row>
    <row r="412" spans="2:9" hidden="1" outlineLevel="1">
      <c r="B412" s="86">
        <v>45040</v>
      </c>
      <c r="C412" s="237">
        <v>1365.741943</v>
      </c>
      <c r="D412" s="89">
        <f t="shared" si="13"/>
        <v>-1.1277009845310881E-2</v>
      </c>
      <c r="F412" s="237">
        <v>18065</v>
      </c>
      <c r="G412" s="89">
        <f t="shared" si="12"/>
        <v>2.5019742877464557E-2</v>
      </c>
      <c r="H412" s="89"/>
      <c r="I412" s="89"/>
    </row>
    <row r="413" spans="2:9" hidden="1" outlineLevel="1">
      <c r="B413" s="86">
        <v>45047</v>
      </c>
      <c r="C413" s="237">
        <v>1414.719971</v>
      </c>
      <c r="D413" s="89">
        <f t="shared" si="13"/>
        <v>3.5861846559690713E-2</v>
      </c>
      <c r="F413" s="237">
        <v>18069</v>
      </c>
      <c r="G413" s="89">
        <f t="shared" si="12"/>
        <v>2.2142264046509652E-4</v>
      </c>
      <c r="H413" s="89"/>
      <c r="I413" s="89"/>
    </row>
    <row r="414" spans="2:9" hidden="1" outlineLevel="1">
      <c r="B414" s="86">
        <v>45054</v>
      </c>
      <c r="C414" s="237">
        <v>1483.9681399999999</v>
      </c>
      <c r="D414" s="89">
        <f t="shared" si="13"/>
        <v>4.8948322225953689E-2</v>
      </c>
      <c r="F414" s="237">
        <v>18314.800781000002</v>
      </c>
      <c r="G414" s="89">
        <f t="shared" si="12"/>
        <v>1.3603452376999448E-2</v>
      </c>
      <c r="H414" s="89"/>
      <c r="I414" s="89"/>
    </row>
    <row r="415" spans="2:9" hidden="1" outlineLevel="1">
      <c r="B415" s="86">
        <v>45061</v>
      </c>
      <c r="C415" s="237">
        <v>1490.9079589999999</v>
      </c>
      <c r="D415" s="89">
        <f t="shared" si="13"/>
        <v>4.6765282979728262E-3</v>
      </c>
      <c r="F415" s="237">
        <v>18203.400390999999</v>
      </c>
      <c r="G415" s="89">
        <f t="shared" si="12"/>
        <v>-6.0825335384249168E-3</v>
      </c>
      <c r="H415" s="89"/>
      <c r="I415" s="89"/>
    </row>
    <row r="416" spans="2:9" hidden="1" outlineLevel="1">
      <c r="B416" s="86">
        <v>45068</v>
      </c>
      <c r="C416" s="237">
        <v>1527.953491</v>
      </c>
      <c r="D416" s="89">
        <f t="shared" si="13"/>
        <v>2.4847631791333091E-2</v>
      </c>
      <c r="F416" s="237">
        <v>18499.349609000001</v>
      </c>
      <c r="G416" s="89">
        <f t="shared" si="12"/>
        <v>1.6257908502980811E-2</v>
      </c>
      <c r="H416" s="89"/>
      <c r="I416" s="89"/>
    </row>
    <row r="417" spans="2:9" hidden="1" outlineLevel="1">
      <c r="B417" s="86">
        <v>45075</v>
      </c>
      <c r="C417" s="237">
        <v>1597.3000489999999</v>
      </c>
      <c r="D417" s="89">
        <f t="shared" si="13"/>
        <v>4.5385254465183156E-2</v>
      </c>
      <c r="F417" s="237">
        <v>18534.099609000001</v>
      </c>
      <c r="G417" s="89">
        <f t="shared" si="12"/>
        <v>1.8784444174779757E-3</v>
      </c>
      <c r="H417" s="89"/>
      <c r="I417" s="89"/>
    </row>
    <row r="418" spans="2:9" hidden="1" outlineLevel="1">
      <c r="B418" s="86">
        <v>45082</v>
      </c>
      <c r="C418" s="237">
        <v>1598.400024</v>
      </c>
      <c r="D418" s="89">
        <f t="shared" si="13"/>
        <v>6.8864644478572323E-4</v>
      </c>
      <c r="F418" s="237">
        <v>18563.400390999999</v>
      </c>
      <c r="G418" s="89">
        <f t="shared" ref="G418:G456" si="14">F418/F417-1</f>
        <v>1.5809120819534339E-3</v>
      </c>
      <c r="H418" s="89"/>
      <c r="I418" s="89"/>
    </row>
    <row r="419" spans="2:9" hidden="1" outlineLevel="1">
      <c r="B419" s="86">
        <v>45089</v>
      </c>
      <c r="C419" s="237">
        <v>1714.25</v>
      </c>
      <c r="D419" s="89">
        <f t="shared" ref="D419:D456" si="15">C419/C418-1</f>
        <v>7.2478712625444697E-2</v>
      </c>
      <c r="F419" s="237">
        <v>18826</v>
      </c>
      <c r="G419" s="89">
        <f t="shared" si="14"/>
        <v>1.4146094113625551E-2</v>
      </c>
      <c r="H419" s="89"/>
      <c r="I419" s="89"/>
    </row>
    <row r="420" spans="2:9" hidden="1" outlineLevel="1">
      <c r="B420" s="86">
        <v>45096</v>
      </c>
      <c r="C420" s="237">
        <v>1724.9499510000001</v>
      </c>
      <c r="D420" s="89">
        <f t="shared" si="15"/>
        <v>6.2417681201691888E-3</v>
      </c>
      <c r="F420" s="237">
        <v>18665.5</v>
      </c>
      <c r="G420" s="89">
        <f t="shared" si="14"/>
        <v>-8.5254435355359703E-3</v>
      </c>
      <c r="H420" s="89"/>
      <c r="I420" s="89"/>
    </row>
    <row r="421" spans="2:9" hidden="1" outlineLevel="1">
      <c r="B421" s="86">
        <v>45103</v>
      </c>
      <c r="C421" s="237">
        <v>1764.150024</v>
      </c>
      <c r="D421" s="89">
        <f t="shared" si="15"/>
        <v>2.2725339351019835E-2</v>
      </c>
      <c r="F421" s="237">
        <v>19189.050781000002</v>
      </c>
      <c r="G421" s="89">
        <f t="shared" si="14"/>
        <v>2.804911633762841E-2</v>
      </c>
      <c r="H421" s="89"/>
      <c r="I421" s="89"/>
    </row>
    <row r="422" spans="2:9" hidden="1" outlineLevel="1">
      <c r="B422" s="86">
        <v>45110</v>
      </c>
      <c r="C422" s="237">
        <v>1702.849976</v>
      </c>
      <c r="D422" s="89">
        <f t="shared" si="15"/>
        <v>-3.4747638900352373E-2</v>
      </c>
      <c r="F422" s="237">
        <v>19331.800781000002</v>
      </c>
      <c r="G422" s="89">
        <f t="shared" si="14"/>
        <v>7.4391381642151533E-3</v>
      </c>
      <c r="H422" s="89"/>
      <c r="I422" s="89"/>
    </row>
    <row r="423" spans="2:9" hidden="1" outlineLevel="1">
      <c r="B423" s="86">
        <v>45117</v>
      </c>
      <c r="C423" s="237">
        <v>1687.650024</v>
      </c>
      <c r="D423" s="89">
        <f t="shared" si="15"/>
        <v>-8.92618387657651E-3</v>
      </c>
      <c r="F423" s="237">
        <v>19564.5</v>
      </c>
      <c r="G423" s="89">
        <f t="shared" si="14"/>
        <v>1.2037120681933855E-2</v>
      </c>
      <c r="H423" s="89"/>
      <c r="I423" s="89"/>
    </row>
    <row r="424" spans="2:9" hidden="1" outlineLevel="1">
      <c r="B424" s="86">
        <v>45124</v>
      </c>
      <c r="C424" s="237">
        <v>1713.900024</v>
      </c>
      <c r="D424" s="89">
        <f t="shared" si="15"/>
        <v>1.5554172741208072E-2</v>
      </c>
      <c r="F424" s="237">
        <v>19745</v>
      </c>
      <c r="G424" s="89">
        <f t="shared" si="14"/>
        <v>9.225893838329613E-3</v>
      </c>
      <c r="H424" s="89"/>
      <c r="I424" s="89"/>
    </row>
    <row r="425" spans="2:9" hidden="1" outlineLevel="1">
      <c r="B425" s="86">
        <v>45131</v>
      </c>
      <c r="C425" s="237">
        <v>1730.650024</v>
      </c>
      <c r="D425" s="89">
        <f t="shared" si="15"/>
        <v>9.7730321287399224E-3</v>
      </c>
      <c r="F425" s="237">
        <v>19646.050781000002</v>
      </c>
      <c r="G425" s="89">
        <f t="shared" si="14"/>
        <v>-5.0113557356291638E-3</v>
      </c>
      <c r="H425" s="89"/>
      <c r="I425" s="89"/>
    </row>
    <row r="426" spans="2:9" hidden="1" outlineLevel="1">
      <c r="B426" s="86">
        <v>45138</v>
      </c>
      <c r="C426" s="237">
        <v>1700.9499510000001</v>
      </c>
      <c r="D426" s="89">
        <f t="shared" si="15"/>
        <v>-1.716122415747301E-2</v>
      </c>
      <c r="F426" s="237">
        <v>19517</v>
      </c>
      <c r="G426" s="89">
        <f t="shared" si="14"/>
        <v>-6.568789953694365E-3</v>
      </c>
      <c r="H426" s="89"/>
      <c r="I426" s="89"/>
    </row>
    <row r="427" spans="2:9" hidden="1" outlineLevel="1">
      <c r="B427" s="86">
        <v>45145</v>
      </c>
      <c r="C427" s="237">
        <v>1885.8000489999999</v>
      </c>
      <c r="D427" s="89">
        <f t="shared" si="15"/>
        <v>0.10867462495961466</v>
      </c>
      <c r="F427" s="237">
        <v>19428.300781000002</v>
      </c>
      <c r="G427" s="89">
        <f t="shared" si="14"/>
        <v>-4.5447158374749552E-3</v>
      </c>
      <c r="H427" s="89"/>
      <c r="I427" s="89"/>
    </row>
    <row r="428" spans="2:9" hidden="1" outlineLevel="1">
      <c r="B428" s="86">
        <v>45152</v>
      </c>
      <c r="C428" s="237">
        <v>1974</v>
      </c>
      <c r="D428" s="89">
        <f t="shared" si="15"/>
        <v>4.6770574137364518E-2</v>
      </c>
      <c r="F428" s="237">
        <v>19310.150390999999</v>
      </c>
      <c r="G428" s="89">
        <f t="shared" si="14"/>
        <v>-6.0813547891717112E-3</v>
      </c>
      <c r="H428" s="89"/>
      <c r="I428" s="89"/>
    </row>
    <row r="429" spans="2:9" hidden="1" outlineLevel="1">
      <c r="B429" s="86">
        <v>45159</v>
      </c>
      <c r="C429" s="237">
        <v>2014</v>
      </c>
      <c r="D429" s="89">
        <f t="shared" si="15"/>
        <v>2.0263424518743633E-2</v>
      </c>
      <c r="F429" s="237">
        <v>19265.800781000002</v>
      </c>
      <c r="G429" s="89">
        <f t="shared" si="14"/>
        <v>-2.2966993576947203E-3</v>
      </c>
      <c r="H429" s="89"/>
      <c r="I429" s="89"/>
    </row>
    <row r="430" spans="2:9" hidden="1" outlineLevel="1">
      <c r="B430" s="86">
        <v>45166</v>
      </c>
      <c r="C430" s="237">
        <v>2063.1000979999999</v>
      </c>
      <c r="D430" s="89">
        <f t="shared" si="15"/>
        <v>2.4379393247269121E-2</v>
      </c>
      <c r="F430" s="237">
        <v>19435.300781000002</v>
      </c>
      <c r="G430" s="89">
        <f t="shared" si="14"/>
        <v>8.797973254616176E-3</v>
      </c>
      <c r="H430" s="89"/>
      <c r="I430" s="89"/>
    </row>
    <row r="431" spans="2:9" hidden="1" outlineLevel="1">
      <c r="B431" s="86">
        <v>45173</v>
      </c>
      <c r="C431" s="237">
        <v>2086.5500489999999</v>
      </c>
      <c r="D431" s="89">
        <f t="shared" si="15"/>
        <v>1.1366366092819602E-2</v>
      </c>
      <c r="F431" s="237">
        <v>19819.949218999998</v>
      </c>
      <c r="G431" s="89">
        <f t="shared" si="14"/>
        <v>1.9791226404688889E-2</v>
      </c>
      <c r="H431" s="89"/>
      <c r="I431" s="89"/>
    </row>
    <row r="432" spans="2:9" hidden="1" outlineLevel="1">
      <c r="B432" s="86">
        <v>45180</v>
      </c>
      <c r="C432" s="237">
        <v>2070.25</v>
      </c>
      <c r="D432" s="89">
        <f t="shared" si="15"/>
        <v>-7.8119616674481307E-3</v>
      </c>
      <c r="F432" s="237">
        <v>20192.349609000001</v>
      </c>
      <c r="G432" s="89">
        <f t="shared" si="14"/>
        <v>1.8789169734249711E-2</v>
      </c>
      <c r="H432" s="89"/>
      <c r="I432" s="89"/>
    </row>
    <row r="433" spans="2:9" hidden="1" outlineLevel="1">
      <c r="B433" s="86">
        <v>45187</v>
      </c>
      <c r="C433" s="237">
        <v>2065.8999020000001</v>
      </c>
      <c r="D433" s="89">
        <f t="shared" si="15"/>
        <v>-2.101242845066964E-3</v>
      </c>
      <c r="F433" s="237">
        <v>19674.25</v>
      </c>
      <c r="G433" s="89">
        <f t="shared" si="14"/>
        <v>-2.5658213087251469E-2</v>
      </c>
      <c r="H433" s="89"/>
      <c r="I433" s="89"/>
    </row>
    <row r="434" spans="2:9" hidden="1" outlineLevel="1">
      <c r="B434" s="86">
        <v>45194</v>
      </c>
      <c r="C434" s="237">
        <v>2080.1499020000001</v>
      </c>
      <c r="D434" s="89">
        <f t="shared" si="15"/>
        <v>6.8977204491875721E-3</v>
      </c>
      <c r="F434" s="237">
        <v>19638.300781000002</v>
      </c>
      <c r="G434" s="89">
        <f t="shared" si="14"/>
        <v>-1.8272218254824502E-3</v>
      </c>
      <c r="H434" s="89"/>
      <c r="I434" s="89"/>
    </row>
    <row r="435" spans="2:9" hidden="1" outlineLevel="1">
      <c r="B435" s="86">
        <v>45201</v>
      </c>
      <c r="C435" s="237">
        <v>2072.1000979999999</v>
      </c>
      <c r="D435" s="89">
        <f t="shared" si="15"/>
        <v>-3.8698191857522435E-3</v>
      </c>
      <c r="F435" s="237">
        <v>19653.5</v>
      </c>
      <c r="G435" s="89">
        <f t="shared" si="14"/>
        <v>7.7395794928980521E-4</v>
      </c>
      <c r="H435" s="89"/>
      <c r="I435" s="89"/>
    </row>
    <row r="436" spans="2:9" hidden="1" outlineLevel="1">
      <c r="B436" s="86">
        <v>45208</v>
      </c>
      <c r="C436" s="237">
        <v>2084.8000489999999</v>
      </c>
      <c r="D436" s="89">
        <f t="shared" si="15"/>
        <v>6.1290238884974535E-3</v>
      </c>
      <c r="F436" s="237">
        <v>19751.050781000002</v>
      </c>
      <c r="G436" s="89">
        <f t="shared" si="14"/>
        <v>4.96353224616497E-3</v>
      </c>
      <c r="H436" s="89"/>
      <c r="I436" s="89"/>
    </row>
    <row r="437" spans="2:9" hidden="1" outlineLevel="1">
      <c r="B437" s="86">
        <v>45215</v>
      </c>
      <c r="C437" s="237">
        <v>2036.150024</v>
      </c>
      <c r="D437" s="89">
        <f t="shared" si="15"/>
        <v>-2.3335583200573828E-2</v>
      </c>
      <c r="F437" s="237">
        <v>19542.650390999999</v>
      </c>
      <c r="G437" s="89">
        <f t="shared" si="14"/>
        <v>-1.0551357105540893E-2</v>
      </c>
      <c r="H437" s="89"/>
      <c r="I437" s="89"/>
    </row>
    <row r="438" spans="2:9" hidden="1" outlineLevel="1">
      <c r="B438" s="86">
        <v>45222</v>
      </c>
      <c r="C438" s="237">
        <v>2122.1000979999999</v>
      </c>
      <c r="D438" s="89">
        <f t="shared" si="15"/>
        <v>4.2212053624197887E-2</v>
      </c>
      <c r="F438" s="237">
        <v>19047.25</v>
      </c>
      <c r="G438" s="89">
        <f t="shared" si="14"/>
        <v>-2.5349703396840506E-2</v>
      </c>
      <c r="H438" s="89"/>
      <c r="I438" s="89"/>
    </row>
    <row r="439" spans="2:9" hidden="1" outlineLevel="1">
      <c r="B439" s="86">
        <v>45229</v>
      </c>
      <c r="C439" s="237">
        <v>2196.5</v>
      </c>
      <c r="D439" s="89">
        <f t="shared" si="15"/>
        <v>3.5059562963179358E-2</v>
      </c>
      <c r="F439" s="237">
        <v>19230.599609000001</v>
      </c>
      <c r="G439" s="89">
        <f t="shared" si="14"/>
        <v>9.6260409770438926E-3</v>
      </c>
      <c r="H439" s="89"/>
      <c r="I439" s="89"/>
    </row>
    <row r="440" spans="2:9" hidden="1" outlineLevel="1">
      <c r="B440" s="86">
        <v>45236</v>
      </c>
      <c r="C440" s="237">
        <v>2489.3500979999999</v>
      </c>
      <c r="D440" s="89">
        <f t="shared" si="15"/>
        <v>0.13332579012064638</v>
      </c>
      <c r="F440" s="237">
        <v>19425.349609000001</v>
      </c>
      <c r="G440" s="89">
        <f t="shared" si="14"/>
        <v>1.0127089324289962E-2</v>
      </c>
      <c r="H440" s="89"/>
      <c r="I440" s="89"/>
    </row>
    <row r="441" spans="2:9" hidden="1" outlineLevel="1">
      <c r="B441" s="86">
        <v>45243</v>
      </c>
      <c r="C441" s="237">
        <v>2576.3999020000001</v>
      </c>
      <c r="D441" s="89">
        <f t="shared" si="15"/>
        <v>3.4968887690782324E-2</v>
      </c>
      <c r="F441" s="237">
        <v>19731.800781000002</v>
      </c>
      <c r="G441" s="89">
        <f t="shared" si="14"/>
        <v>1.5775838178892609E-2</v>
      </c>
      <c r="H441" s="89"/>
      <c r="I441" s="89"/>
    </row>
    <row r="442" spans="2:9" hidden="1" outlineLevel="1">
      <c r="B442" s="86">
        <v>45250</v>
      </c>
      <c r="C442" s="237">
        <v>2649.6999510000001</v>
      </c>
      <c r="D442" s="89">
        <f t="shared" si="15"/>
        <v>2.8450571257629287E-2</v>
      </c>
      <c r="F442" s="237">
        <v>19794.699218999998</v>
      </c>
      <c r="G442" s="89">
        <f t="shared" si="14"/>
        <v>3.1876684088845142E-3</v>
      </c>
      <c r="H442" s="89"/>
      <c r="I442" s="89"/>
    </row>
    <row r="443" spans="2:9" hidden="1" outlineLevel="1">
      <c r="B443" s="86">
        <v>45257</v>
      </c>
      <c r="C443" s="237">
        <v>2807.6999510000001</v>
      </c>
      <c r="D443" s="89">
        <f t="shared" si="15"/>
        <v>5.9629393109348339E-2</v>
      </c>
      <c r="F443" s="237">
        <v>20267.900390999999</v>
      </c>
      <c r="G443" s="89">
        <f t="shared" si="14"/>
        <v>2.390544896715574E-2</v>
      </c>
      <c r="H443" s="89"/>
      <c r="I443" s="89"/>
    </row>
    <row r="444" spans="2:9" hidden="1" outlineLevel="1">
      <c r="B444" s="86">
        <v>45264</v>
      </c>
      <c r="C444" s="237">
        <v>2841.3000489999999</v>
      </c>
      <c r="D444" s="89">
        <f t="shared" si="15"/>
        <v>1.1967125613986163E-2</v>
      </c>
      <c r="F444" s="237">
        <v>20969.400390999999</v>
      </c>
      <c r="G444" s="89">
        <f t="shared" si="14"/>
        <v>3.4611379889724736E-2</v>
      </c>
      <c r="H444" s="89"/>
      <c r="I444" s="89"/>
    </row>
    <row r="445" spans="2:9" hidden="1" outlineLevel="1">
      <c r="B445" s="86">
        <v>45271</v>
      </c>
      <c r="C445" s="237">
        <v>2989.75</v>
      </c>
      <c r="D445" s="89">
        <f t="shared" si="15"/>
        <v>5.224719263713351E-2</v>
      </c>
      <c r="F445" s="237">
        <v>21456.650390999999</v>
      </c>
      <c r="G445" s="89">
        <f t="shared" si="14"/>
        <v>2.3236239039487572E-2</v>
      </c>
      <c r="H445" s="89"/>
      <c r="I445" s="89"/>
    </row>
    <row r="446" spans="2:9" hidden="1" outlineLevel="1">
      <c r="B446" s="86">
        <v>45278</v>
      </c>
      <c r="C446" s="237">
        <v>2965.5</v>
      </c>
      <c r="D446" s="89">
        <f t="shared" si="15"/>
        <v>-8.1110460740864143E-3</v>
      </c>
      <c r="F446" s="237">
        <v>21349.400390999999</v>
      </c>
      <c r="G446" s="89">
        <f t="shared" si="14"/>
        <v>-4.9984502727874469E-3</v>
      </c>
      <c r="H446" s="89"/>
      <c r="I446" s="89"/>
    </row>
    <row r="447" spans="2:9" hidden="1" outlineLevel="1">
      <c r="B447" s="86">
        <v>45285</v>
      </c>
      <c r="C447" s="237">
        <v>3054.9499510000001</v>
      </c>
      <c r="D447" s="89">
        <f t="shared" si="15"/>
        <v>3.0163530939133487E-2</v>
      </c>
      <c r="F447" s="237">
        <v>21731.400390999999</v>
      </c>
      <c r="G447" s="89">
        <f t="shared" si="14"/>
        <v>1.7892774176507364E-2</v>
      </c>
      <c r="H447" s="89"/>
      <c r="I447" s="89"/>
    </row>
    <row r="448" spans="2:9" hidden="1" outlineLevel="1">
      <c r="B448" s="86">
        <v>45292</v>
      </c>
      <c r="C448" s="237">
        <v>3065.5500489999999</v>
      </c>
      <c r="D448" s="89">
        <f t="shared" si="15"/>
        <v>3.469810690852837E-3</v>
      </c>
      <c r="F448" s="237">
        <v>21710.800781000002</v>
      </c>
      <c r="G448" s="89">
        <f t="shared" si="14"/>
        <v>-9.4791912299074799E-4</v>
      </c>
      <c r="H448" s="89"/>
      <c r="I448" s="89"/>
    </row>
    <row r="449" spans="2:9" hidden="1" outlineLevel="1">
      <c r="B449" s="86">
        <v>45299</v>
      </c>
      <c r="C449" s="237">
        <v>3212.1499020000001</v>
      </c>
      <c r="D449" s="89">
        <f t="shared" si="15"/>
        <v>4.7821712468149702E-2</v>
      </c>
      <c r="F449" s="237">
        <v>21894.550781000002</v>
      </c>
      <c r="G449" s="89">
        <f t="shared" si="14"/>
        <v>8.4635293674109047E-3</v>
      </c>
      <c r="H449" s="89"/>
      <c r="I449" s="89"/>
    </row>
    <row r="450" spans="2:9" hidden="1" outlineLevel="1">
      <c r="B450" s="86">
        <v>45306</v>
      </c>
      <c r="C450" s="237">
        <v>3210.0500489999999</v>
      </c>
      <c r="D450" s="89">
        <f t="shared" si="15"/>
        <v>-6.537219818704143E-4</v>
      </c>
      <c r="F450" s="237">
        <v>21622.400390999999</v>
      </c>
      <c r="G450" s="89">
        <f t="shared" si="14"/>
        <v>-1.2430051327482539E-2</v>
      </c>
      <c r="H450" s="89"/>
      <c r="I450" s="89"/>
    </row>
    <row r="451" spans="2:9" hidden="1" outlineLevel="1">
      <c r="B451" s="86">
        <v>45313</v>
      </c>
      <c r="C451" s="237">
        <v>3231.8000489999999</v>
      </c>
      <c r="D451" s="89">
        <f t="shared" si="15"/>
        <v>6.7755952922838869E-3</v>
      </c>
      <c r="F451" s="237">
        <v>21352.599609000001</v>
      </c>
      <c r="G451" s="89">
        <f t="shared" si="14"/>
        <v>-1.2477836739731241E-2</v>
      </c>
      <c r="H451" s="89"/>
      <c r="I451" s="89"/>
    </row>
    <row r="452" spans="2:9" hidden="1" outlineLevel="1">
      <c r="B452" s="86">
        <v>45320</v>
      </c>
      <c r="C452" s="237">
        <v>3126.0500489999999</v>
      </c>
      <c r="D452" s="89">
        <f t="shared" si="15"/>
        <v>-3.2721702579564527E-2</v>
      </c>
      <c r="F452" s="237">
        <v>21853.800781000002</v>
      </c>
      <c r="G452" s="89">
        <f t="shared" si="14"/>
        <v>2.3472606669810325E-2</v>
      </c>
      <c r="H452" s="89"/>
      <c r="I452" s="89"/>
    </row>
    <row r="453" spans="2:9" hidden="1" outlineLevel="1">
      <c r="B453" s="86">
        <v>45327</v>
      </c>
      <c r="C453" s="237">
        <v>3759.5500489999999</v>
      </c>
      <c r="D453" s="89">
        <f t="shared" si="15"/>
        <v>0.20265190578207526</v>
      </c>
      <c r="F453" s="237">
        <v>21782.5</v>
      </c>
      <c r="G453" s="89">
        <f t="shared" si="14"/>
        <v>-3.2626261085894059E-3</v>
      </c>
      <c r="H453" s="89"/>
      <c r="I453" s="89"/>
    </row>
    <row r="454" spans="2:9" hidden="1" outlineLevel="1">
      <c r="B454" s="86">
        <v>45334</v>
      </c>
      <c r="C454" s="237">
        <v>4024.6000979999999</v>
      </c>
      <c r="D454" s="89">
        <f t="shared" si="15"/>
        <v>7.0500470946117666E-2</v>
      </c>
      <c r="F454" s="237">
        <v>22040.699218999998</v>
      </c>
      <c r="G454" s="89">
        <f t="shared" si="14"/>
        <v>1.1853516308963474E-2</v>
      </c>
      <c r="H454" s="89"/>
      <c r="I454" s="89"/>
    </row>
    <row r="455" spans="2:9" hidden="1" outlineLevel="1">
      <c r="B455" s="86">
        <v>45341</v>
      </c>
      <c r="C455" s="237">
        <v>3885.8000489999999</v>
      </c>
      <c r="D455" s="89">
        <f t="shared" si="15"/>
        <v>-3.4487910753909667E-2</v>
      </c>
      <c r="F455" s="237">
        <v>22212.699218999998</v>
      </c>
      <c r="G455" s="89">
        <f t="shared" si="14"/>
        <v>7.803745166656384E-3</v>
      </c>
      <c r="H455" s="89"/>
      <c r="I455" s="89"/>
    </row>
    <row r="456" spans="2:9" hidden="1" outlineLevel="1">
      <c r="B456" s="86">
        <v>45348</v>
      </c>
      <c r="C456" s="237">
        <v>3901.25</v>
      </c>
      <c r="D456" s="89">
        <f t="shared" si="15"/>
        <v>3.9760025748045713E-3</v>
      </c>
      <c r="F456" s="237">
        <v>22338.75</v>
      </c>
      <c r="G456" s="89">
        <f t="shared" si="14"/>
        <v>5.6747169606556902E-3</v>
      </c>
      <c r="H456" s="89"/>
      <c r="I456" s="89"/>
    </row>
    <row r="457" spans="2:9" collapsed="1"/>
  </sheetData>
  <mergeCells count="17">
    <mergeCell ref="B349:D349"/>
    <mergeCell ref="F349:G349"/>
    <mergeCell ref="I349:J349"/>
    <mergeCell ref="B127:D127"/>
    <mergeCell ref="F127:G127"/>
    <mergeCell ref="I127:J127"/>
    <mergeCell ref="B238:D238"/>
    <mergeCell ref="F238:G238"/>
    <mergeCell ref="I238:J238"/>
    <mergeCell ref="B2:J3"/>
    <mergeCell ref="B14:J14"/>
    <mergeCell ref="B125:J125"/>
    <mergeCell ref="B236:J236"/>
    <mergeCell ref="B347:J347"/>
    <mergeCell ref="B16:D16"/>
    <mergeCell ref="F16:G16"/>
    <mergeCell ref="I16:J16"/>
  </mergeCells>
  <pageMargins left="0.7" right="0.7" top="0.75" bottom="0.75" header="0.3" footer="0.3"/>
  <pageSetup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2"/>
  <sheetViews>
    <sheetView showGridLines="0" workbookViewId="0">
      <selection activeCell="C6" sqref="C6:G6"/>
    </sheetView>
  </sheetViews>
  <sheetFormatPr defaultRowHeight="15"/>
  <cols>
    <col min="1" max="1" width="1.85546875" customWidth="1"/>
    <col min="6" max="6" width="19" bestFit="1" customWidth="1"/>
  </cols>
  <sheetData>
    <row r="2" spans="3:7">
      <c r="C2" s="249" t="s">
        <v>175</v>
      </c>
      <c r="D2" s="249"/>
      <c r="E2" s="249"/>
      <c r="F2" s="249"/>
      <c r="G2" s="249"/>
    </row>
    <row r="3" spans="3:7">
      <c r="C3" s="249"/>
      <c r="D3" s="249"/>
      <c r="E3" s="249"/>
      <c r="F3" s="249"/>
      <c r="G3" s="249"/>
    </row>
    <row r="6" spans="3:7">
      <c r="C6" s="248" t="s">
        <v>169</v>
      </c>
      <c r="D6" s="248"/>
      <c r="E6" s="248"/>
      <c r="F6" s="248"/>
      <c r="G6" s="248"/>
    </row>
    <row r="8" spans="3:7">
      <c r="C8" s="74" t="s">
        <v>155</v>
      </c>
      <c r="D8" s="75" t="s">
        <v>170</v>
      </c>
    </row>
    <row r="9" spans="3:7">
      <c r="C9" s="51">
        <v>2000</v>
      </c>
      <c r="D9" s="52">
        <v>-0.14649999999999999</v>
      </c>
      <c r="F9" s="51" t="s">
        <v>171</v>
      </c>
      <c r="G9" s="76">
        <f>AVERAGE(D9:D32)</f>
        <v>0.15609166666666666</v>
      </c>
    </row>
    <row r="10" spans="3:7" ht="17.25">
      <c r="C10" s="51">
        <v>2001</v>
      </c>
      <c r="D10" s="52">
        <v>-0.1618</v>
      </c>
      <c r="F10" s="51" t="s">
        <v>172</v>
      </c>
      <c r="G10" s="76" t="s">
        <v>173</v>
      </c>
    </row>
    <row r="11" spans="3:7">
      <c r="C11" s="51">
        <v>2002</v>
      </c>
      <c r="D11" s="52">
        <v>3.2500000000000001E-2</v>
      </c>
      <c r="F11" s="74" t="s">
        <v>174</v>
      </c>
      <c r="G11" s="77">
        <f>SUM(G9:G10)</f>
        <v>0.15609166666666666</v>
      </c>
    </row>
    <row r="12" spans="3:7">
      <c r="C12" s="51">
        <v>2003</v>
      </c>
      <c r="D12" s="52">
        <v>0.71900000000000008</v>
      </c>
    </row>
    <row r="13" spans="3:7">
      <c r="C13" s="51">
        <v>2004</v>
      </c>
      <c r="D13" s="52">
        <v>0.10679999999999999</v>
      </c>
    </row>
    <row r="14" spans="3:7">
      <c r="C14" s="51">
        <v>2005</v>
      </c>
      <c r="D14" s="52">
        <v>0.36340000000000006</v>
      </c>
    </row>
    <row r="15" spans="3:7">
      <c r="C15" s="51">
        <v>2006</v>
      </c>
      <c r="D15" s="52">
        <v>0.39829999999999999</v>
      </c>
    </row>
    <row r="16" spans="3:7">
      <c r="C16" s="51">
        <v>2007</v>
      </c>
      <c r="D16" s="52">
        <v>0.54770000000000008</v>
      </c>
    </row>
    <row r="17" spans="3:4">
      <c r="C17" s="51">
        <v>2008</v>
      </c>
      <c r="D17" s="52">
        <v>-0.51790000000000003</v>
      </c>
    </row>
    <row r="18" spans="3:4">
      <c r="C18" s="51">
        <v>2009</v>
      </c>
      <c r="D18" s="52">
        <v>0.75760000000000005</v>
      </c>
    </row>
    <row r="19" spans="3:4">
      <c r="C19" s="51">
        <v>2010</v>
      </c>
      <c r="D19" s="52">
        <v>0.17949999999999999</v>
      </c>
    </row>
    <row r="20" spans="3:4">
      <c r="C20" s="51">
        <v>2011</v>
      </c>
      <c r="D20" s="52">
        <v>-0.2462</v>
      </c>
    </row>
    <row r="21" spans="3:4">
      <c r="C21" s="51">
        <v>2012</v>
      </c>
      <c r="D21" s="52">
        <v>0.27699999999999997</v>
      </c>
    </row>
    <row r="22" spans="3:4">
      <c r="C22" s="51">
        <v>2013</v>
      </c>
      <c r="D22" s="52">
        <v>6.7599999999999993E-2</v>
      </c>
    </row>
    <row r="23" spans="3:4">
      <c r="C23" s="51">
        <v>2014</v>
      </c>
      <c r="D23" s="52">
        <v>0.31390000000000001</v>
      </c>
    </row>
    <row r="24" spans="3:4">
      <c r="C24" s="51">
        <v>2015</v>
      </c>
      <c r="D24" s="52">
        <v>-4.0599999999999997E-2</v>
      </c>
    </row>
    <row r="25" spans="3:4">
      <c r="C25" s="51">
        <v>2016</v>
      </c>
      <c r="D25" s="52">
        <v>3.0099999999999998E-2</v>
      </c>
    </row>
    <row r="26" spans="3:4">
      <c r="C26" s="51">
        <v>2017</v>
      </c>
      <c r="D26" s="52">
        <v>0.28649999999999998</v>
      </c>
    </row>
    <row r="27" spans="3:4">
      <c r="C27" s="51">
        <v>2018</v>
      </c>
      <c r="D27" s="52">
        <v>3.15E-2</v>
      </c>
    </row>
    <row r="28" spans="3:4">
      <c r="C28" s="51">
        <v>2019</v>
      </c>
      <c r="D28" s="52">
        <v>0.1202</v>
      </c>
    </row>
    <row r="29" spans="3:4">
      <c r="C29" s="51">
        <v>2020</v>
      </c>
      <c r="D29" s="52">
        <v>0.14899999999999999</v>
      </c>
    </row>
    <row r="30" spans="3:4">
      <c r="C30" s="51">
        <v>2021</v>
      </c>
      <c r="D30" s="52">
        <v>0.2412</v>
      </c>
    </row>
    <row r="31" spans="3:4">
      <c r="C31" s="51">
        <v>2022</v>
      </c>
      <c r="D31" s="52">
        <v>4.3200000000000002E-2</v>
      </c>
    </row>
    <row r="32" spans="3:4">
      <c r="C32" s="51">
        <v>2023</v>
      </c>
      <c r="D32" s="52">
        <v>0.19420000000000001</v>
      </c>
    </row>
  </sheetData>
  <mergeCells count="2">
    <mergeCell ref="C6:G6"/>
    <mergeCell ref="C2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showGridLines="0" zoomScaleNormal="100" workbookViewId="0">
      <pane ySplit="2" topLeftCell="A26" activePane="bottomLeft" state="frozen"/>
      <selection pane="bottomLeft" activeCell="C5" sqref="C5:N43"/>
    </sheetView>
  </sheetViews>
  <sheetFormatPr defaultRowHeight="15"/>
  <cols>
    <col min="1" max="1" width="1.85546875" customWidth="1"/>
    <col min="2" max="2" width="28" bestFit="1" customWidth="1"/>
    <col min="3" max="5" width="9.5703125" bestFit="1" customWidth="1"/>
    <col min="6" max="6" width="11.140625" bestFit="1" customWidth="1"/>
    <col min="7" max="7" width="9.5703125" bestFit="1" customWidth="1"/>
    <col min="8" max="14" width="11.140625" bestFit="1" customWidth="1"/>
  </cols>
  <sheetData>
    <row r="2" spans="2:14">
      <c r="B2" s="145" t="s">
        <v>156</v>
      </c>
      <c r="C2" s="146">
        <v>40969</v>
      </c>
      <c r="D2" s="146">
        <v>41334</v>
      </c>
      <c r="E2" s="146">
        <v>41699</v>
      </c>
      <c r="F2" s="146">
        <v>42064</v>
      </c>
      <c r="G2" s="146">
        <v>42430</v>
      </c>
      <c r="H2" s="146">
        <v>42795</v>
      </c>
      <c r="I2" s="146">
        <v>43160</v>
      </c>
      <c r="J2" s="146">
        <v>43525</v>
      </c>
      <c r="K2" s="146">
        <v>43891</v>
      </c>
      <c r="L2" s="146">
        <v>44256</v>
      </c>
      <c r="M2" s="146">
        <v>44621</v>
      </c>
      <c r="N2" s="146">
        <v>44986</v>
      </c>
    </row>
    <row r="3" spans="2:14" s="78" customFormat="1"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</row>
    <row r="4" spans="2:14">
      <c r="B4" s="9" t="s">
        <v>113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2:14">
      <c r="B5" s="9" t="s">
        <v>88</v>
      </c>
      <c r="C5" s="16">
        <v>152</v>
      </c>
      <c r="D5" s="16">
        <v>229</v>
      </c>
      <c r="E5" s="16">
        <v>356</v>
      </c>
      <c r="F5" s="16">
        <v>474</v>
      </c>
      <c r="G5" s="16">
        <v>666</v>
      </c>
      <c r="H5" s="16">
        <v>984</v>
      </c>
      <c r="I5" s="16">
        <v>1375</v>
      </c>
      <c r="J5" s="16">
        <v>1659</v>
      </c>
      <c r="K5" s="16">
        <v>2149</v>
      </c>
      <c r="L5" s="16">
        <v>1764</v>
      </c>
      <c r="M5" s="16">
        <v>2515</v>
      </c>
      <c r="N5" s="16">
        <v>3659</v>
      </c>
    </row>
    <row r="6" spans="2:14">
      <c r="B6" s="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>
      <c r="B7" t="s">
        <v>44</v>
      </c>
      <c r="C7" s="10">
        <v>-3</v>
      </c>
      <c r="D7" s="10">
        <v>-8</v>
      </c>
      <c r="E7" s="10">
        <v>4</v>
      </c>
      <c r="F7" s="10">
        <v>2</v>
      </c>
      <c r="G7" s="10">
        <v>-1</v>
      </c>
      <c r="H7" s="10">
        <v>54</v>
      </c>
      <c r="I7" s="10">
        <v>-13</v>
      </c>
      <c r="J7" s="10">
        <v>-31</v>
      </c>
      <c r="K7" s="10">
        <v>45</v>
      </c>
      <c r="L7" s="10">
        <v>-24</v>
      </c>
      <c r="M7" s="10">
        <v>-23</v>
      </c>
      <c r="N7" s="10">
        <v>5</v>
      </c>
    </row>
    <row r="8" spans="2:14">
      <c r="B8" t="s">
        <v>30</v>
      </c>
      <c r="C8" s="238">
        <v>-73</v>
      </c>
      <c r="D8" s="238">
        <v>-80</v>
      </c>
      <c r="E8" s="238">
        <v>-102</v>
      </c>
      <c r="F8" s="238">
        <v>-161</v>
      </c>
      <c r="G8" s="238">
        <v>-132</v>
      </c>
      <c r="H8" s="238">
        <v>-276</v>
      </c>
      <c r="I8" s="238">
        <v>-212</v>
      </c>
      <c r="J8" s="238">
        <v>-445</v>
      </c>
      <c r="K8" s="238">
        <v>-339</v>
      </c>
      <c r="L8" s="238">
        <v>-301</v>
      </c>
      <c r="M8" s="238">
        <v>-494</v>
      </c>
      <c r="N8" s="238">
        <v>-501</v>
      </c>
    </row>
    <row r="9" spans="2:14">
      <c r="B9" t="s">
        <v>89</v>
      </c>
      <c r="C9" s="238">
        <v>20</v>
      </c>
      <c r="D9" s="238">
        <v>30</v>
      </c>
      <c r="E9" s="238">
        <v>28</v>
      </c>
      <c r="F9" s="238">
        <v>-4</v>
      </c>
      <c r="G9" s="238">
        <v>72</v>
      </c>
      <c r="H9" s="238">
        <v>0</v>
      </c>
      <c r="I9" s="238">
        <v>55</v>
      </c>
      <c r="J9" s="238">
        <v>146</v>
      </c>
      <c r="K9" s="238">
        <v>-30</v>
      </c>
      <c r="L9" s="238">
        <v>145</v>
      </c>
      <c r="M9" s="238">
        <v>11</v>
      </c>
      <c r="N9" s="238">
        <v>165</v>
      </c>
    </row>
    <row r="10" spans="2:14">
      <c r="B10" t="s">
        <v>90</v>
      </c>
      <c r="C10" s="238">
        <v>-1</v>
      </c>
      <c r="D10" s="238">
        <v>-13</v>
      </c>
      <c r="E10" s="238">
        <v>-18</v>
      </c>
      <c r="F10" s="238">
        <v>-5</v>
      </c>
      <c r="G10" s="238">
        <v>0</v>
      </c>
      <c r="H10" s="238">
        <v>0</v>
      </c>
      <c r="I10" s="238">
        <v>0</v>
      </c>
      <c r="J10" s="238">
        <v>0</v>
      </c>
      <c r="K10" s="238">
        <v>0</v>
      </c>
      <c r="L10" s="238">
        <v>0</v>
      </c>
      <c r="M10" s="238">
        <v>0</v>
      </c>
      <c r="N10" s="238">
        <v>0</v>
      </c>
    </row>
    <row r="11" spans="2:14">
      <c r="B11" t="s">
        <v>299</v>
      </c>
      <c r="C11" s="238">
        <v>0</v>
      </c>
      <c r="D11" s="238">
        <v>0</v>
      </c>
      <c r="E11" s="238">
        <v>0</v>
      </c>
      <c r="F11" s="238">
        <v>0</v>
      </c>
      <c r="G11" s="238">
        <v>0</v>
      </c>
      <c r="H11" s="238">
        <v>-2</v>
      </c>
      <c r="I11" s="238">
        <v>-62</v>
      </c>
      <c r="J11" s="238">
        <v>52</v>
      </c>
      <c r="K11" s="238">
        <v>2</v>
      </c>
      <c r="L11" s="238">
        <v>12</v>
      </c>
      <c r="M11" s="238">
        <v>-3</v>
      </c>
      <c r="N11" s="238">
        <v>0</v>
      </c>
    </row>
    <row r="12" spans="2:14">
      <c r="B12" t="s">
        <v>91</v>
      </c>
      <c r="C12" s="10">
        <v>-1</v>
      </c>
      <c r="D12" s="10">
        <v>6</v>
      </c>
      <c r="E12" s="10">
        <v>6</v>
      </c>
      <c r="F12" s="10">
        <v>16</v>
      </c>
      <c r="G12" s="10">
        <v>-7</v>
      </c>
      <c r="H12" s="10">
        <v>-46</v>
      </c>
      <c r="I12" s="10">
        <v>-11</v>
      </c>
      <c r="J12" s="10">
        <v>-72</v>
      </c>
      <c r="K12" s="10">
        <v>-54</v>
      </c>
      <c r="L12" s="10">
        <v>41</v>
      </c>
      <c r="M12" s="10">
        <v>-73</v>
      </c>
      <c r="N12" s="10">
        <v>12</v>
      </c>
    </row>
    <row r="13" spans="2:14">
      <c r="B13" s="143" t="s">
        <v>92</v>
      </c>
      <c r="C13" s="170">
        <v>-58</v>
      </c>
      <c r="D13" s="170">
        <v>-65</v>
      </c>
      <c r="E13" s="170">
        <v>-83</v>
      </c>
      <c r="F13" s="170">
        <v>-152</v>
      </c>
      <c r="G13" s="170">
        <v>-69</v>
      </c>
      <c r="H13" s="170">
        <v>-270</v>
      </c>
      <c r="I13" s="170">
        <v>-243</v>
      </c>
      <c r="J13" s="170">
        <v>-351</v>
      </c>
      <c r="K13" s="170">
        <v>-376</v>
      </c>
      <c r="L13" s="170">
        <v>-127</v>
      </c>
      <c r="M13" s="170">
        <v>-582</v>
      </c>
      <c r="N13" s="170">
        <v>-320</v>
      </c>
    </row>
    <row r="14" spans="2:14">
      <c r="B14" s="140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</row>
    <row r="15" spans="2:14">
      <c r="B15" s="9" t="s">
        <v>93</v>
      </c>
      <c r="C15" s="16">
        <v>-28</v>
      </c>
      <c r="D15" s="16">
        <v>-37</v>
      </c>
      <c r="E15" s="16">
        <v>-75</v>
      </c>
      <c r="F15" s="16">
        <v>-100</v>
      </c>
      <c r="G15" s="16">
        <v>-164</v>
      </c>
      <c r="H15" s="16">
        <v>-258</v>
      </c>
      <c r="I15" s="16">
        <v>-403</v>
      </c>
      <c r="J15" s="16">
        <v>-502</v>
      </c>
      <c r="K15" s="16">
        <v>-492</v>
      </c>
      <c r="L15" s="16">
        <v>-262</v>
      </c>
      <c r="M15" s="16">
        <v>-560</v>
      </c>
      <c r="N15" s="16">
        <v>-709</v>
      </c>
    </row>
    <row r="16" spans="2:14" ht="15.75" thickBot="1">
      <c r="B16" s="153" t="s">
        <v>18</v>
      </c>
      <c r="C16" s="172">
        <f>SUM(C5,C13,C15)</f>
        <v>66</v>
      </c>
      <c r="D16" s="172">
        <f t="shared" ref="D16:N16" si="0">SUM(D5,D13,D15)</f>
        <v>127</v>
      </c>
      <c r="E16" s="172">
        <f t="shared" si="0"/>
        <v>198</v>
      </c>
      <c r="F16" s="172">
        <f t="shared" si="0"/>
        <v>222</v>
      </c>
      <c r="G16" s="172">
        <f t="shared" si="0"/>
        <v>433</v>
      </c>
      <c r="H16" s="172">
        <f t="shared" si="0"/>
        <v>456</v>
      </c>
      <c r="I16" s="172">
        <f t="shared" si="0"/>
        <v>729</v>
      </c>
      <c r="J16" s="172">
        <f t="shared" si="0"/>
        <v>806</v>
      </c>
      <c r="K16" s="172">
        <f t="shared" si="0"/>
        <v>1281</v>
      </c>
      <c r="L16" s="172">
        <f t="shared" si="0"/>
        <v>1375</v>
      </c>
      <c r="M16" s="172">
        <f t="shared" si="0"/>
        <v>1373</v>
      </c>
      <c r="N16" s="172">
        <f t="shared" si="0"/>
        <v>2630</v>
      </c>
    </row>
    <row r="17" spans="2:14">
      <c r="B17" s="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14">
      <c r="B18" s="9" t="s">
        <v>114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>
      <c r="B19" t="s">
        <v>94</v>
      </c>
      <c r="C19" s="238">
        <v>-183</v>
      </c>
      <c r="D19" s="238">
        <v>-239</v>
      </c>
      <c r="E19" s="238">
        <v>-272</v>
      </c>
      <c r="F19" s="238">
        <v>-477</v>
      </c>
      <c r="G19" s="238">
        <v>0</v>
      </c>
      <c r="H19" s="238">
        <v>-645</v>
      </c>
      <c r="I19" s="238">
        <v>-916</v>
      </c>
      <c r="J19" s="238">
        <v>-1417</v>
      </c>
      <c r="K19" s="238">
        <v>-1712</v>
      </c>
      <c r="L19" s="238">
        <v>-2029</v>
      </c>
      <c r="M19" s="238">
        <v>-2410</v>
      </c>
      <c r="N19" s="238">
        <v>-2212</v>
      </c>
    </row>
    <row r="20" spans="2:14">
      <c r="B20" t="s">
        <v>95</v>
      </c>
      <c r="C20" s="238">
        <v>0</v>
      </c>
      <c r="D20" s="238">
        <v>2</v>
      </c>
      <c r="E20" s="238">
        <v>1</v>
      </c>
      <c r="F20" s="238">
        <v>0</v>
      </c>
      <c r="G20" s="238">
        <v>2</v>
      </c>
      <c r="H20" s="238">
        <v>10</v>
      </c>
      <c r="I20" s="238">
        <v>7</v>
      </c>
      <c r="J20" s="238">
        <v>8</v>
      </c>
      <c r="K20" s="238">
        <v>6</v>
      </c>
      <c r="L20" s="238">
        <v>2</v>
      </c>
      <c r="M20" s="238">
        <v>21</v>
      </c>
      <c r="N20" s="238">
        <v>5</v>
      </c>
    </row>
    <row r="21" spans="2:14">
      <c r="B21" t="s">
        <v>96</v>
      </c>
      <c r="C21" s="238">
        <v>-86</v>
      </c>
      <c r="D21" s="238">
        <v>-187</v>
      </c>
      <c r="E21" s="238">
        <v>-644</v>
      </c>
      <c r="F21" s="238">
        <v>-2901</v>
      </c>
      <c r="G21" s="238">
        <v>-638</v>
      </c>
      <c r="H21" s="238">
        <v>0</v>
      </c>
      <c r="I21" s="238">
        <v>0</v>
      </c>
      <c r="J21" s="238">
        <v>0</v>
      </c>
      <c r="K21" s="238">
        <v>0</v>
      </c>
      <c r="L21" s="238">
        <v>0</v>
      </c>
      <c r="M21" s="238">
        <v>0</v>
      </c>
      <c r="N21" s="238">
        <v>-193</v>
      </c>
    </row>
    <row r="22" spans="2:14">
      <c r="B22" t="s">
        <v>97</v>
      </c>
      <c r="C22" s="238">
        <v>140</v>
      </c>
      <c r="D22" s="238">
        <v>194</v>
      </c>
      <c r="E22" s="238">
        <v>645</v>
      </c>
      <c r="F22" s="238">
        <v>2904</v>
      </c>
      <c r="G22" s="238">
        <v>0</v>
      </c>
      <c r="H22" s="238">
        <v>0</v>
      </c>
      <c r="I22" s="238">
        <v>1376</v>
      </c>
      <c r="J22" s="238">
        <v>410</v>
      </c>
      <c r="K22" s="238">
        <v>232</v>
      </c>
      <c r="L22" s="238">
        <v>3</v>
      </c>
      <c r="M22" s="238">
        <v>4</v>
      </c>
      <c r="N22" s="238">
        <v>6</v>
      </c>
    </row>
    <row r="23" spans="2:14">
      <c r="B23" t="s">
        <v>300</v>
      </c>
      <c r="C23" s="238">
        <v>0</v>
      </c>
      <c r="D23" s="238">
        <v>0</v>
      </c>
      <c r="E23" s="238">
        <v>0</v>
      </c>
      <c r="F23" s="238">
        <v>0</v>
      </c>
      <c r="G23" s="238">
        <v>3</v>
      </c>
      <c r="H23" s="238">
        <v>8</v>
      </c>
      <c r="I23" s="238">
        <v>0</v>
      </c>
      <c r="J23" s="238">
        <v>0</v>
      </c>
      <c r="K23" s="238">
        <v>0</v>
      </c>
      <c r="L23" s="238">
        <v>0</v>
      </c>
      <c r="M23" s="238">
        <v>0</v>
      </c>
      <c r="N23" s="238">
        <v>0</v>
      </c>
    </row>
    <row r="24" spans="2:14">
      <c r="B24" t="s">
        <v>98</v>
      </c>
      <c r="C24" s="238">
        <v>0</v>
      </c>
      <c r="D24" s="238">
        <v>0</v>
      </c>
      <c r="E24" s="238">
        <v>0</v>
      </c>
      <c r="F24" s="238">
        <v>0</v>
      </c>
      <c r="G24" s="238">
        <v>1</v>
      </c>
      <c r="H24" s="238">
        <v>1</v>
      </c>
      <c r="I24" s="238">
        <v>31</v>
      </c>
      <c r="J24" s="238">
        <v>36</v>
      </c>
      <c r="K24" s="238">
        <v>12</v>
      </c>
      <c r="L24" s="238">
        <v>129</v>
      </c>
      <c r="M24" s="238">
        <v>43</v>
      </c>
      <c r="N24" s="238">
        <v>39</v>
      </c>
    </row>
    <row r="25" spans="2:14">
      <c r="B25" t="s">
        <v>99</v>
      </c>
      <c r="C25" s="238">
        <v>0</v>
      </c>
      <c r="D25" s="238">
        <v>0</v>
      </c>
      <c r="E25" s="238">
        <v>0</v>
      </c>
      <c r="F25" s="238">
        <v>0</v>
      </c>
      <c r="G25" s="238">
        <v>0</v>
      </c>
      <c r="H25" s="238">
        <v>0</v>
      </c>
      <c r="I25" s="238">
        <v>0</v>
      </c>
      <c r="J25" s="238">
        <v>0</v>
      </c>
      <c r="K25" s="238">
        <v>0</v>
      </c>
      <c r="L25" s="238">
        <v>0</v>
      </c>
      <c r="M25" s="238">
        <v>0</v>
      </c>
      <c r="N25" s="238">
        <v>0</v>
      </c>
    </row>
    <row r="26" spans="2:14">
      <c r="B26" t="s">
        <v>100</v>
      </c>
      <c r="C26" s="238">
        <v>0</v>
      </c>
      <c r="D26" s="238">
        <v>0</v>
      </c>
      <c r="E26" s="238">
        <v>0</v>
      </c>
      <c r="F26" s="238">
        <v>0</v>
      </c>
      <c r="G26" s="238">
        <v>-14</v>
      </c>
      <c r="H26" s="238">
        <v>-21</v>
      </c>
      <c r="I26" s="238">
        <v>-49</v>
      </c>
      <c r="J26" s="238">
        <v>0</v>
      </c>
      <c r="K26" s="238">
        <v>0</v>
      </c>
      <c r="L26" s="238">
        <v>0</v>
      </c>
      <c r="M26" s="238">
        <v>0</v>
      </c>
      <c r="N26" s="238">
        <v>0</v>
      </c>
    </row>
    <row r="27" spans="2:14">
      <c r="B27" t="s">
        <v>101</v>
      </c>
      <c r="C27" s="238">
        <v>0</v>
      </c>
      <c r="D27" s="238">
        <v>0</v>
      </c>
      <c r="E27" s="238">
        <v>0</v>
      </c>
      <c r="F27" s="238">
        <v>0</v>
      </c>
      <c r="G27" s="238">
        <v>0</v>
      </c>
      <c r="H27" s="238">
        <v>0</v>
      </c>
      <c r="I27" s="238">
        <v>8</v>
      </c>
      <c r="J27" s="238">
        <v>0</v>
      </c>
      <c r="K27" s="238">
        <v>0</v>
      </c>
      <c r="L27" s="238">
        <v>0</v>
      </c>
      <c r="M27" s="238">
        <v>0</v>
      </c>
      <c r="N27" s="238">
        <v>0</v>
      </c>
    </row>
    <row r="28" spans="2:14">
      <c r="B28" t="s">
        <v>102</v>
      </c>
      <c r="C28" s="10">
        <v>0</v>
      </c>
      <c r="D28" s="10">
        <v>0</v>
      </c>
      <c r="E28" s="10">
        <v>0</v>
      </c>
      <c r="F28" s="10">
        <v>0</v>
      </c>
      <c r="G28" s="10">
        <v>14</v>
      </c>
      <c r="H28" s="10">
        <v>-1835</v>
      </c>
      <c r="I28" s="10">
        <v>7</v>
      </c>
      <c r="J28" s="10">
        <v>3</v>
      </c>
      <c r="K28" s="10">
        <v>-3194</v>
      </c>
      <c r="L28" s="10">
        <v>786</v>
      </c>
      <c r="M28" s="10">
        <v>1054</v>
      </c>
      <c r="N28" s="10">
        <v>42</v>
      </c>
    </row>
    <row r="29" spans="2:14" ht="15.75" thickBot="1">
      <c r="B29" s="153" t="s">
        <v>19</v>
      </c>
      <c r="C29" s="172">
        <f>SUM(C19:C28)</f>
        <v>-129</v>
      </c>
      <c r="D29" s="172">
        <f t="shared" ref="D29:N29" si="1">SUM(D19:D28)</f>
        <v>-230</v>
      </c>
      <c r="E29" s="172">
        <f t="shared" si="1"/>
        <v>-270</v>
      </c>
      <c r="F29" s="172">
        <f t="shared" si="1"/>
        <v>-474</v>
      </c>
      <c r="G29" s="172">
        <f t="shared" si="1"/>
        <v>-632</v>
      </c>
      <c r="H29" s="172">
        <f t="shared" si="1"/>
        <v>-2482</v>
      </c>
      <c r="I29" s="172">
        <f t="shared" si="1"/>
        <v>464</v>
      </c>
      <c r="J29" s="172">
        <f t="shared" si="1"/>
        <v>-960</v>
      </c>
      <c r="K29" s="172">
        <f t="shared" si="1"/>
        <v>-4656</v>
      </c>
      <c r="L29" s="172">
        <f t="shared" si="1"/>
        <v>-1109</v>
      </c>
      <c r="M29" s="172">
        <f t="shared" si="1"/>
        <v>-1288</v>
      </c>
      <c r="N29" s="172">
        <f t="shared" si="1"/>
        <v>-2313</v>
      </c>
    </row>
    <row r="30" spans="2:1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9" t="s">
        <v>116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t="s">
        <v>103</v>
      </c>
      <c r="C32" s="10">
        <v>36</v>
      </c>
      <c r="D32" s="10">
        <v>14</v>
      </c>
      <c r="E32" s="10">
        <v>5</v>
      </c>
      <c r="F32" s="10">
        <v>33</v>
      </c>
      <c r="G32" s="10">
        <v>0</v>
      </c>
      <c r="H32" s="10">
        <v>1841</v>
      </c>
      <c r="I32" s="10">
        <v>0</v>
      </c>
      <c r="J32" s="10">
        <v>0</v>
      </c>
      <c r="K32" s="10">
        <v>110</v>
      </c>
      <c r="L32" s="10">
        <v>0</v>
      </c>
      <c r="M32" s="10">
        <v>0</v>
      </c>
      <c r="N32" s="10">
        <v>15</v>
      </c>
    </row>
    <row r="33" spans="2:14">
      <c r="B33" t="s">
        <v>301</v>
      </c>
      <c r="C33" s="10">
        <v>0</v>
      </c>
      <c r="D33" s="10">
        <v>0</v>
      </c>
      <c r="E33" s="10">
        <v>0</v>
      </c>
      <c r="F33" s="10">
        <v>200</v>
      </c>
      <c r="G33" s="10">
        <v>350</v>
      </c>
      <c r="H33" s="10">
        <v>250</v>
      </c>
      <c r="I33" s="10">
        <v>0</v>
      </c>
      <c r="J33" s="10">
        <v>0</v>
      </c>
      <c r="K33" s="10">
        <v>300</v>
      </c>
      <c r="L33" s="10">
        <v>0</v>
      </c>
      <c r="M33" s="10">
        <v>0</v>
      </c>
      <c r="N33" s="10">
        <v>0</v>
      </c>
    </row>
    <row r="34" spans="2:14">
      <c r="B34" t="s">
        <v>104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-384</v>
      </c>
      <c r="J34" s="10">
        <v>-170</v>
      </c>
      <c r="K34" s="10">
        <v>-512</v>
      </c>
      <c r="L34" s="10">
        <v>-34</v>
      </c>
      <c r="M34" s="10">
        <v>0</v>
      </c>
      <c r="N34" s="10">
        <v>0</v>
      </c>
    </row>
    <row r="35" spans="2:14">
      <c r="B35" t="s">
        <v>105</v>
      </c>
      <c r="C35" s="10">
        <v>129</v>
      </c>
      <c r="D35" s="10">
        <v>219</v>
      </c>
      <c r="E35" s="10">
        <v>245</v>
      </c>
      <c r="F35" s="10">
        <v>295</v>
      </c>
      <c r="G35" s="10">
        <v>-60</v>
      </c>
      <c r="H35" s="10">
        <v>260</v>
      </c>
      <c r="I35" s="10">
        <v>0</v>
      </c>
      <c r="J35" s="10">
        <v>992</v>
      </c>
      <c r="K35" s="10">
        <v>1100</v>
      </c>
      <c r="L35" s="10">
        <v>200</v>
      </c>
      <c r="M35" s="10">
        <v>248</v>
      </c>
      <c r="N35" s="10">
        <v>0</v>
      </c>
    </row>
    <row r="36" spans="2:14">
      <c r="B36" t="s">
        <v>106</v>
      </c>
      <c r="C36" s="10">
        <v>-47</v>
      </c>
      <c r="D36" s="10">
        <v>-73</v>
      </c>
      <c r="E36" s="10">
        <v>-130</v>
      </c>
      <c r="F36" s="10">
        <v>-232</v>
      </c>
      <c r="G36" s="10">
        <v>0</v>
      </c>
      <c r="H36" s="10">
        <v>-155</v>
      </c>
      <c r="I36" s="10">
        <v>-695</v>
      </c>
      <c r="J36" s="10">
        <v>-562</v>
      </c>
      <c r="K36" s="10">
        <v>-1550</v>
      </c>
      <c r="L36" s="10">
        <v>-204</v>
      </c>
      <c r="M36" s="10">
        <v>-248</v>
      </c>
      <c r="N36" s="10">
        <v>0</v>
      </c>
    </row>
    <row r="37" spans="2:14">
      <c r="B37" t="s">
        <v>107</v>
      </c>
      <c r="C37" s="10">
        <v>-24</v>
      </c>
      <c r="D37" s="10">
        <v>-42</v>
      </c>
      <c r="E37" s="10">
        <v>-54</v>
      </c>
      <c r="F37" s="10">
        <v>-62</v>
      </c>
      <c r="G37" s="10">
        <v>-93</v>
      </c>
      <c r="H37" s="10">
        <v>-120</v>
      </c>
      <c r="I37" s="10">
        <v>-80</v>
      </c>
      <c r="J37" s="10">
        <v>-51</v>
      </c>
      <c r="K37" s="10">
        <v>-98</v>
      </c>
      <c r="L37" s="10">
        <v>-44</v>
      </c>
      <c r="M37" s="10">
        <v>-54</v>
      </c>
      <c r="N37" s="10">
        <v>-67</v>
      </c>
    </row>
    <row r="38" spans="2:14">
      <c r="B38" t="s">
        <v>109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-70</v>
      </c>
      <c r="L38" s="10">
        <v>-98</v>
      </c>
      <c r="M38" s="10">
        <v>-125</v>
      </c>
      <c r="N38" s="10">
        <v>-153</v>
      </c>
    </row>
    <row r="39" spans="2:14">
      <c r="B39" t="s">
        <v>302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</row>
    <row r="40" spans="2:14">
      <c r="B40" t="s">
        <v>110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-50</v>
      </c>
      <c r="I40" s="10">
        <v>0</v>
      </c>
      <c r="J40" s="10">
        <v>0</v>
      </c>
      <c r="K40" s="10">
        <v>4077</v>
      </c>
      <c r="L40" s="10">
        <v>0</v>
      </c>
      <c r="M40" s="10">
        <v>0</v>
      </c>
      <c r="N40" s="10">
        <v>0</v>
      </c>
    </row>
    <row r="41" spans="2:14" ht="15.75" thickBot="1">
      <c r="B41" s="153" t="s">
        <v>20</v>
      </c>
      <c r="C41" s="172">
        <f>SUM(C32:C40)</f>
        <v>94</v>
      </c>
      <c r="D41" s="172">
        <f t="shared" ref="D41:N41" si="2">SUM(D32:D40)</f>
        <v>118</v>
      </c>
      <c r="E41" s="172">
        <f t="shared" si="2"/>
        <v>66</v>
      </c>
      <c r="F41" s="172">
        <f t="shared" si="2"/>
        <v>234</v>
      </c>
      <c r="G41" s="172">
        <f t="shared" si="2"/>
        <v>197</v>
      </c>
      <c r="H41" s="172">
        <f t="shared" si="2"/>
        <v>2026</v>
      </c>
      <c r="I41" s="172">
        <f t="shared" si="2"/>
        <v>-1159</v>
      </c>
      <c r="J41" s="172">
        <f t="shared" si="2"/>
        <v>209</v>
      </c>
      <c r="K41" s="172">
        <f t="shared" si="2"/>
        <v>3357</v>
      </c>
      <c r="L41" s="172">
        <f t="shared" si="2"/>
        <v>-180</v>
      </c>
      <c r="M41" s="172">
        <f t="shared" si="2"/>
        <v>-179</v>
      </c>
      <c r="N41" s="172">
        <f t="shared" si="2"/>
        <v>-204</v>
      </c>
    </row>
    <row r="42" spans="2:14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2:14" ht="15.75" thickBot="1">
      <c r="B43" s="153" t="s">
        <v>21</v>
      </c>
      <c r="C43" s="172">
        <f>SUM(C16,C29,C41)</f>
        <v>31</v>
      </c>
      <c r="D43" s="172">
        <f t="shared" ref="D43:N43" si="3">SUM(D16,D29,D41)</f>
        <v>15</v>
      </c>
      <c r="E43" s="172">
        <f t="shared" si="3"/>
        <v>-6</v>
      </c>
      <c r="F43" s="172">
        <f t="shared" si="3"/>
        <v>-18</v>
      </c>
      <c r="G43" s="172">
        <f t="shared" si="3"/>
        <v>-2</v>
      </c>
      <c r="H43" s="172">
        <f t="shared" si="3"/>
        <v>0</v>
      </c>
      <c r="I43" s="172">
        <f t="shared" si="3"/>
        <v>34</v>
      </c>
      <c r="J43" s="172">
        <f t="shared" si="3"/>
        <v>55</v>
      </c>
      <c r="K43" s="172">
        <f t="shared" si="3"/>
        <v>-18</v>
      </c>
      <c r="L43" s="172">
        <f t="shared" si="3"/>
        <v>86</v>
      </c>
      <c r="M43" s="172">
        <f t="shared" si="3"/>
        <v>-94</v>
      </c>
      <c r="N43" s="172">
        <f t="shared" si="3"/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showGridLines="0" topLeftCell="A43" workbookViewId="0">
      <selection activeCell="O52" sqref="O52"/>
    </sheetView>
  </sheetViews>
  <sheetFormatPr defaultRowHeight="15"/>
  <cols>
    <col min="1" max="1" width="1.85546875" customWidth="1"/>
    <col min="7" max="7" width="9.28515625" bestFit="1" customWidth="1"/>
    <col min="8" max="8" width="13.42578125" customWidth="1"/>
    <col min="9" max="9" width="10.140625" bestFit="1" customWidth="1"/>
    <col min="10" max="10" width="14.28515625" bestFit="1" customWidth="1"/>
    <col min="11" max="11" width="10.140625" bestFit="1" customWidth="1"/>
  </cols>
  <sheetData>
    <row r="2" spans="2:11">
      <c r="B2" s="247" t="s">
        <v>312</v>
      </c>
      <c r="C2" s="247"/>
      <c r="D2" s="247"/>
      <c r="E2" s="247"/>
      <c r="F2" s="247"/>
      <c r="G2" s="247"/>
      <c r="H2" s="247"/>
      <c r="I2" s="247"/>
      <c r="J2" s="247"/>
      <c r="K2" s="247"/>
    </row>
    <row r="3" spans="2:11">
      <c r="B3" s="247"/>
      <c r="C3" s="247"/>
      <c r="D3" s="247"/>
      <c r="E3" s="247"/>
      <c r="F3" s="247"/>
      <c r="G3" s="247"/>
      <c r="H3" s="247"/>
      <c r="I3" s="247"/>
      <c r="J3" s="247"/>
      <c r="K3" s="247"/>
    </row>
    <row r="5" spans="2:11">
      <c r="B5" s="145" t="s">
        <v>288</v>
      </c>
      <c r="C5" s="145"/>
      <c r="D5" s="145"/>
      <c r="E5" s="145"/>
      <c r="F5" s="145"/>
      <c r="G5" s="146">
        <v>43525</v>
      </c>
      <c r="H5" s="146">
        <v>43891</v>
      </c>
      <c r="I5" s="146">
        <v>44256</v>
      </c>
      <c r="J5" s="146">
        <v>44621</v>
      </c>
      <c r="K5" s="146">
        <v>44986</v>
      </c>
    </row>
    <row r="7" spans="2:11">
      <c r="B7" s="9" t="s">
        <v>289</v>
      </c>
    </row>
    <row r="8" spans="2:11">
      <c r="B8" s="21" t="str">
        <f>'Raw FS'!B34</f>
        <v>Inventories</v>
      </c>
      <c r="C8" s="21"/>
      <c r="D8" s="21"/>
      <c r="E8" s="21"/>
      <c r="F8" s="21"/>
      <c r="G8" s="238">
        <f>'Raw FS'!J34</f>
        <v>1609</v>
      </c>
      <c r="H8" s="238">
        <f>'Raw FS'!K34</f>
        <v>1947</v>
      </c>
      <c r="I8" s="238">
        <f>'Raw FS'!L34</f>
        <v>2248</v>
      </c>
      <c r="J8" s="238">
        <f>'Raw FS'!M34</f>
        <v>2743</v>
      </c>
      <c r="K8" s="238">
        <f>'Raw FS'!N34</f>
        <v>3243</v>
      </c>
    </row>
    <row r="9" spans="2:11">
      <c r="B9" s="21" t="str">
        <f>'Raw FS'!B35</f>
        <v>Trade receivables</v>
      </c>
      <c r="C9" s="21"/>
      <c r="D9" s="21"/>
      <c r="E9" s="21"/>
      <c r="F9" s="21"/>
      <c r="G9" s="238">
        <f>'Raw FS'!J35</f>
        <v>64</v>
      </c>
      <c r="H9" s="238">
        <f>'Raw FS'!K35</f>
        <v>20</v>
      </c>
      <c r="I9" s="238">
        <f>'Raw FS'!L35</f>
        <v>44</v>
      </c>
      <c r="J9" s="238">
        <f>'Raw FS'!M35</f>
        <v>67</v>
      </c>
      <c r="K9" s="238">
        <f>'Raw FS'!N35</f>
        <v>62</v>
      </c>
    </row>
    <row r="10" spans="2:11">
      <c r="B10" s="21" t="str">
        <f>'Raw FS'!B37</f>
        <v>Short term loans</v>
      </c>
      <c r="C10" s="21"/>
      <c r="D10" s="21"/>
      <c r="E10" s="21"/>
      <c r="F10" s="21"/>
      <c r="G10" s="238">
        <f>'Raw FS'!J37</f>
        <v>2</v>
      </c>
      <c r="H10" s="238">
        <f>'Raw FS'!K37</f>
        <v>2</v>
      </c>
      <c r="I10" s="238">
        <f>'Raw FS'!L37</f>
        <v>2</v>
      </c>
      <c r="J10" s="238">
        <f>'Raw FS'!M37</f>
        <v>2</v>
      </c>
      <c r="K10" s="238">
        <f>'Raw FS'!N37</f>
        <v>2</v>
      </c>
    </row>
    <row r="11" spans="2:11">
      <c r="B11" s="21" t="str">
        <f>'Raw FS'!B38</f>
        <v>Other asset items</v>
      </c>
      <c r="G11" s="10">
        <f>'Raw FS'!J38</f>
        <v>318</v>
      </c>
      <c r="H11" s="10">
        <f>'Raw FS'!K38</f>
        <v>3672</v>
      </c>
      <c r="I11" s="10">
        <f>'Raw FS'!L38</f>
        <v>1884</v>
      </c>
      <c r="J11" s="10">
        <f>'Raw FS'!M38</f>
        <v>1965</v>
      </c>
      <c r="K11" s="10">
        <f>'Raw FS'!N38</f>
        <v>1017</v>
      </c>
    </row>
    <row r="12" spans="2:11">
      <c r="B12" s="147" t="s">
        <v>85</v>
      </c>
      <c r="C12" s="148"/>
      <c r="D12" s="148"/>
      <c r="E12" s="148"/>
      <c r="F12" s="148"/>
      <c r="G12" s="240">
        <f>SUM(G8:G11)</f>
        <v>1993</v>
      </c>
      <c r="H12" s="240">
        <f t="shared" ref="H12:K12" si="0">SUM(H8:H11)</f>
        <v>5641</v>
      </c>
      <c r="I12" s="240">
        <f t="shared" si="0"/>
        <v>4178</v>
      </c>
      <c r="J12" s="240">
        <f t="shared" si="0"/>
        <v>4777</v>
      </c>
      <c r="K12" s="240">
        <f t="shared" si="0"/>
        <v>4324</v>
      </c>
    </row>
    <row r="13" spans="2:11">
      <c r="G13" s="134"/>
      <c r="H13" s="134"/>
      <c r="I13" s="134"/>
      <c r="J13" s="134"/>
      <c r="K13" s="134"/>
    </row>
    <row r="14" spans="2:11">
      <c r="B14" s="9" t="s">
        <v>290</v>
      </c>
      <c r="G14" s="134"/>
      <c r="H14" s="134"/>
      <c r="I14" s="134"/>
      <c r="J14" s="134"/>
      <c r="K14" s="134"/>
    </row>
    <row r="15" spans="2:11">
      <c r="B15" s="21" t="str">
        <f>'Raw FS'!B13</f>
        <v>Trade Payables</v>
      </c>
      <c r="C15" s="21"/>
      <c r="D15" s="21"/>
      <c r="E15" s="21"/>
      <c r="F15" s="21"/>
      <c r="G15" s="238">
        <f>'Raw FS'!J13</f>
        <v>463</v>
      </c>
      <c r="H15" s="238">
        <f>'Raw FS'!K13</f>
        <v>433</v>
      </c>
      <c r="I15" s="238">
        <f>'Raw FS'!L13</f>
        <v>578</v>
      </c>
      <c r="J15" s="238">
        <f>'Raw FS'!M13</f>
        <v>589</v>
      </c>
      <c r="K15" s="238">
        <f>'Raw FS'!N13</f>
        <v>754</v>
      </c>
    </row>
    <row r="16" spans="2:11">
      <c r="B16" s="21" t="str">
        <f>'Raw FS'!B14</f>
        <v>Other liability items</v>
      </c>
      <c r="C16" s="21"/>
      <c r="D16" s="21"/>
      <c r="E16" s="21"/>
      <c r="F16" s="21"/>
      <c r="G16" s="238">
        <f>'Raw FS'!J14</f>
        <v>254</v>
      </c>
      <c r="H16" s="238">
        <f>'Raw FS'!K14</f>
        <v>229</v>
      </c>
      <c r="I16" s="238">
        <f>'Raw FS'!L14</f>
        <v>500</v>
      </c>
      <c r="J16" s="238">
        <f>'Raw FS'!M14</f>
        <v>557</v>
      </c>
      <c r="K16" s="238">
        <f>'Raw FS'!N14</f>
        <v>629</v>
      </c>
    </row>
    <row r="17" spans="1:11">
      <c r="B17" s="147" t="s">
        <v>85</v>
      </c>
      <c r="C17" s="148"/>
      <c r="D17" s="148"/>
      <c r="E17" s="148"/>
      <c r="F17" s="148"/>
      <c r="G17" s="240">
        <f>SUM(G15:G16)</f>
        <v>717</v>
      </c>
      <c r="H17" s="240">
        <f>SUM(H15:H16)</f>
        <v>662</v>
      </c>
      <c r="I17" s="240">
        <f>SUM(I15:I16)</f>
        <v>1078</v>
      </c>
      <c r="J17" s="240">
        <f>SUM(J15:J16)</f>
        <v>1146</v>
      </c>
      <c r="K17" s="240">
        <f>SUM(K15:K16)</f>
        <v>1383</v>
      </c>
    </row>
    <row r="18" spans="1:11">
      <c r="G18" s="10"/>
      <c r="H18" s="10"/>
      <c r="I18" s="10"/>
      <c r="J18" s="10"/>
      <c r="K18" s="10"/>
    </row>
    <row r="19" spans="1:11" ht="15.75" thickBot="1">
      <c r="A19" t="s">
        <v>59</v>
      </c>
      <c r="B19" s="150" t="s">
        <v>291</v>
      </c>
      <c r="C19" s="151"/>
      <c r="D19" s="151"/>
      <c r="E19" s="151"/>
      <c r="F19" s="151"/>
      <c r="G19" s="241">
        <f>G12-G17</f>
        <v>1276</v>
      </c>
      <c r="H19" s="241">
        <f t="shared" ref="H19:K19" si="1">H12-H17</f>
        <v>4979</v>
      </c>
      <c r="I19" s="241">
        <f t="shared" si="1"/>
        <v>3100</v>
      </c>
      <c r="J19" s="241">
        <f t="shared" si="1"/>
        <v>3631</v>
      </c>
      <c r="K19" s="241">
        <f t="shared" si="1"/>
        <v>2941</v>
      </c>
    </row>
    <row r="20" spans="1:11" ht="15.75" thickTop="1">
      <c r="G20" s="134"/>
      <c r="H20" s="134"/>
      <c r="I20" s="134"/>
      <c r="J20" s="134"/>
      <c r="K20" s="134"/>
    </row>
    <row r="21" spans="1:11">
      <c r="B21" s="9" t="s">
        <v>292</v>
      </c>
      <c r="G21" s="134"/>
      <c r="H21" s="134"/>
      <c r="I21" s="134"/>
      <c r="J21" s="134"/>
      <c r="K21" s="134"/>
    </row>
    <row r="22" spans="1:11">
      <c r="B22" s="21" t="str">
        <f>'Raw FS'!B18</f>
        <v>Land</v>
      </c>
      <c r="C22" s="21"/>
      <c r="D22" s="21"/>
      <c r="E22" s="21"/>
      <c r="F22" s="21"/>
      <c r="G22" s="238">
        <f>'Raw FS'!J18</f>
        <v>2028</v>
      </c>
      <c r="H22" s="238">
        <f>'Raw FS'!K18</f>
        <v>2740</v>
      </c>
      <c r="I22" s="238">
        <f>'Raw FS'!L18</f>
        <v>3483</v>
      </c>
      <c r="J22" s="238">
        <f>'Raw FS'!M18</f>
        <v>4527</v>
      </c>
      <c r="K22" s="238">
        <f>'Raw FS'!N18</f>
        <v>5519</v>
      </c>
    </row>
    <row r="23" spans="1:11">
      <c r="B23" s="21" t="str">
        <f>'Raw FS'!B19</f>
        <v>Building</v>
      </c>
      <c r="C23" s="21"/>
      <c r="D23" s="21"/>
      <c r="E23" s="21"/>
      <c r="F23" s="21"/>
      <c r="G23" s="238">
        <f>'Raw FS'!J19</f>
        <v>2173</v>
      </c>
      <c r="H23" s="238">
        <f>'Raw FS'!K19</f>
        <v>3139</v>
      </c>
      <c r="I23" s="238">
        <f>'Raw FS'!L19</f>
        <v>3649</v>
      </c>
      <c r="J23" s="238">
        <f>'Raw FS'!M19</f>
        <v>4938</v>
      </c>
      <c r="K23" s="238">
        <f>'Raw FS'!N19</f>
        <v>6201</v>
      </c>
    </row>
    <row r="24" spans="1:11">
      <c r="B24" s="21" t="str">
        <f>'Raw FS'!B20</f>
        <v>Plant Machinery</v>
      </c>
      <c r="C24" s="21"/>
      <c r="D24" s="21"/>
      <c r="E24" s="21"/>
      <c r="F24" s="21"/>
      <c r="G24" s="238">
        <f>'Raw FS'!J20</f>
        <v>191</v>
      </c>
      <c r="H24" s="238">
        <f>'Raw FS'!K20</f>
        <v>272</v>
      </c>
      <c r="I24" s="238">
        <f>'Raw FS'!L20</f>
        <v>352</v>
      </c>
      <c r="J24" s="238">
        <f>'Raw FS'!M20</f>
        <v>491</v>
      </c>
      <c r="K24" s="238">
        <f>'Raw FS'!N20</f>
        <v>656</v>
      </c>
    </row>
    <row r="25" spans="1:11">
      <c r="B25" s="21" t="str">
        <f>'Raw FS'!B21</f>
        <v>Equipments</v>
      </c>
      <c r="C25" s="21"/>
      <c r="D25" s="21"/>
      <c r="E25" s="21"/>
      <c r="F25" s="21"/>
      <c r="G25" s="238">
        <f>'Raw FS'!J21</f>
        <v>29</v>
      </c>
      <c r="H25" s="238">
        <f>'Raw FS'!K21</f>
        <v>39</v>
      </c>
      <c r="I25" s="238">
        <f>'Raw FS'!L21</f>
        <v>50</v>
      </c>
      <c r="J25" s="238">
        <f>'Raw FS'!M21</f>
        <v>73</v>
      </c>
      <c r="K25" s="238">
        <f>'Raw FS'!N21</f>
        <v>85</v>
      </c>
    </row>
    <row r="26" spans="1:11">
      <c r="B26" s="21" t="str">
        <f>'Raw FS'!B22</f>
        <v>Computers</v>
      </c>
      <c r="C26" s="21"/>
      <c r="D26" s="21"/>
      <c r="E26" s="21"/>
      <c r="F26" s="21"/>
      <c r="G26" s="238">
        <f>'Raw FS'!J22</f>
        <v>76</v>
      </c>
      <c r="H26" s="238">
        <f>'Raw FS'!K22</f>
        <v>95</v>
      </c>
      <c r="I26" s="238">
        <f>'Raw FS'!L22</f>
        <v>119</v>
      </c>
      <c r="J26" s="238">
        <f>'Raw FS'!M22</f>
        <v>153</v>
      </c>
      <c r="K26" s="238">
        <f>'Raw FS'!N22</f>
        <v>190</v>
      </c>
    </row>
    <row r="27" spans="1:11">
      <c r="B27" s="21" t="str">
        <f>'Raw FS'!B23</f>
        <v>Furniture n fittings</v>
      </c>
      <c r="C27" s="21"/>
      <c r="D27" s="21"/>
      <c r="E27" s="21"/>
      <c r="F27" s="21"/>
      <c r="G27" s="238">
        <f>'Raw FS'!J23</f>
        <v>357</v>
      </c>
      <c r="H27" s="238">
        <f>'Raw FS'!K23</f>
        <v>476</v>
      </c>
      <c r="I27" s="238">
        <f>'Raw FS'!L23</f>
        <v>581</v>
      </c>
      <c r="J27" s="238">
        <f>'Raw FS'!M23</f>
        <v>772</v>
      </c>
      <c r="K27" s="238">
        <f>'Raw FS'!N23</f>
        <v>968</v>
      </c>
    </row>
    <row r="28" spans="1:11">
      <c r="B28" s="21" t="str">
        <f>'Raw FS'!B24</f>
        <v>Vehicles</v>
      </c>
      <c r="C28" s="21"/>
      <c r="D28" s="21"/>
      <c r="E28" s="21"/>
      <c r="F28" s="21"/>
      <c r="G28" s="238">
        <f>'Raw FS'!J24</f>
        <v>3</v>
      </c>
      <c r="H28" s="238">
        <f>'Raw FS'!K24</f>
        <v>4</v>
      </c>
      <c r="I28" s="238">
        <f>'Raw FS'!L24</f>
        <v>4</v>
      </c>
      <c r="J28" s="238">
        <f>'Raw FS'!M24</f>
        <v>3</v>
      </c>
      <c r="K28" s="238">
        <f>'Raw FS'!N24</f>
        <v>15</v>
      </c>
    </row>
    <row r="29" spans="1:11">
      <c r="B29" s="21" t="str">
        <f>'Raw FS'!B25</f>
        <v>Intangible Assets</v>
      </c>
      <c r="C29" s="21"/>
      <c r="D29" s="21"/>
      <c r="E29" s="21"/>
      <c r="F29" s="21"/>
      <c r="G29" s="238">
        <f>'Raw FS'!J25</f>
        <v>78</v>
      </c>
      <c r="H29" s="238">
        <f>'Raw FS'!K25</f>
        <v>78</v>
      </c>
      <c r="I29" s="238">
        <f>'Raw FS'!L25</f>
        <v>78</v>
      </c>
      <c r="J29" s="238">
        <f>'Raw FS'!M25</f>
        <v>78</v>
      </c>
      <c r="K29" s="238">
        <f>'Raw FS'!N25</f>
        <v>78</v>
      </c>
    </row>
    <row r="30" spans="1:11">
      <c r="B30" s="21" t="str">
        <f>'Raw FS'!B26</f>
        <v>Other fixed assets</v>
      </c>
      <c r="C30" s="21"/>
      <c r="D30" s="21"/>
      <c r="E30" s="21"/>
      <c r="F30" s="21"/>
      <c r="G30" s="238">
        <f>'Raw FS'!J26</f>
        <v>74</v>
      </c>
      <c r="H30" s="238">
        <f>'Raw FS'!K26</f>
        <v>82</v>
      </c>
      <c r="I30" s="238">
        <f>'Raw FS'!L26</f>
        <v>81</v>
      </c>
      <c r="J30" s="238">
        <f>'Raw FS'!M26</f>
        <v>91</v>
      </c>
      <c r="K30" s="238">
        <f>'Raw FS'!N26</f>
        <v>105</v>
      </c>
    </row>
    <row r="31" spans="1:11">
      <c r="B31" s="9" t="s">
        <v>278</v>
      </c>
      <c r="C31" s="9"/>
      <c r="D31" s="9"/>
      <c r="E31" s="9"/>
      <c r="F31" s="9"/>
      <c r="G31" s="16">
        <f>SUM(G22:G30)</f>
        <v>5009</v>
      </c>
      <c r="H31" s="16">
        <f t="shared" ref="H31:K31" si="2">SUM(H22:H30)</f>
        <v>6925</v>
      </c>
      <c r="I31" s="16">
        <f t="shared" si="2"/>
        <v>8397</v>
      </c>
      <c r="J31" s="16">
        <f t="shared" si="2"/>
        <v>11126</v>
      </c>
      <c r="K31" s="16">
        <f t="shared" si="2"/>
        <v>13817</v>
      </c>
    </row>
    <row r="32" spans="1:11">
      <c r="B32" t="s">
        <v>279</v>
      </c>
      <c r="G32" s="10">
        <f>-'Raw FS'!J28</f>
        <v>-609</v>
      </c>
      <c r="H32" s="10">
        <f>-'Raw FS'!K28</f>
        <v>-979</v>
      </c>
      <c r="I32" s="10">
        <f>-'Raw FS'!L28</f>
        <v>-1387</v>
      </c>
      <c r="J32" s="10">
        <f>-'Raw FS'!M28</f>
        <v>-1867</v>
      </c>
      <c r="K32" s="10">
        <f>-'Raw FS'!N28</f>
        <v>-2476</v>
      </c>
    </row>
    <row r="33" spans="1:11" ht="15.75" thickBot="1">
      <c r="B33" s="150" t="s">
        <v>293</v>
      </c>
      <c r="C33" s="151"/>
      <c r="D33" s="151"/>
      <c r="E33" s="151"/>
      <c r="F33" s="151"/>
      <c r="G33" s="241">
        <f>SUM(G31:G32)</f>
        <v>4400</v>
      </c>
      <c r="H33" s="241">
        <f t="shared" ref="H33:K33" si="3">SUM(H31:H32)</f>
        <v>5946</v>
      </c>
      <c r="I33" s="241">
        <f t="shared" si="3"/>
        <v>7010</v>
      </c>
      <c r="J33" s="241">
        <f t="shared" si="3"/>
        <v>9259</v>
      </c>
      <c r="K33" s="241">
        <f t="shared" si="3"/>
        <v>11341</v>
      </c>
    </row>
    <row r="34" spans="1:11" ht="15.75" thickTop="1">
      <c r="G34" s="134"/>
      <c r="H34" s="134"/>
      <c r="I34" s="134"/>
      <c r="J34" s="134"/>
      <c r="K34" s="134"/>
    </row>
    <row r="35" spans="1:11">
      <c r="A35" t="s">
        <v>59</v>
      </c>
      <c r="B35" s="160" t="s">
        <v>294</v>
      </c>
      <c r="C35" s="21"/>
      <c r="D35" s="21"/>
      <c r="E35" s="21"/>
      <c r="F35" s="21"/>
      <c r="G35" s="238">
        <f>G19+G33</f>
        <v>5676</v>
      </c>
      <c r="H35" s="238">
        <f t="shared" ref="H35:K35" si="4">H19+H33</f>
        <v>10925</v>
      </c>
      <c r="I35" s="238">
        <f t="shared" si="4"/>
        <v>10110</v>
      </c>
      <c r="J35" s="238">
        <f t="shared" si="4"/>
        <v>12890</v>
      </c>
      <c r="K35" s="238">
        <f t="shared" si="4"/>
        <v>14282</v>
      </c>
    </row>
    <row r="36" spans="1:11">
      <c r="B36" s="20" t="s">
        <v>295</v>
      </c>
      <c r="C36" s="21"/>
      <c r="D36" s="21"/>
      <c r="E36" s="21"/>
      <c r="F36" s="21"/>
      <c r="G36" s="238">
        <f>HistoricalFS!H27+HistoricalFS!H21</f>
        <v>1420.8200000000015</v>
      </c>
      <c r="H36" s="238">
        <f>HistoricalFS!I27+HistoricalFS!I21</f>
        <v>1753.9000000000005</v>
      </c>
      <c r="I36" s="238">
        <f>HistoricalFS!J27+HistoricalFS!J21</f>
        <v>1330.6699999999985</v>
      </c>
      <c r="J36" s="238">
        <f>HistoricalFS!K27+HistoricalFS!K21</f>
        <v>2004.2700000000013</v>
      </c>
      <c r="K36" s="238">
        <f>HistoricalFS!L27+HistoricalFS!L21</f>
        <v>2999.8999999999969</v>
      </c>
    </row>
    <row r="37" spans="1:11" ht="5.25" customHeight="1"/>
    <row r="38" spans="1:11" ht="15.75" thickBot="1">
      <c r="A38" t="s">
        <v>59</v>
      </c>
      <c r="B38" s="150" t="s">
        <v>296</v>
      </c>
      <c r="C38" s="151"/>
      <c r="D38" s="151"/>
      <c r="E38" s="151"/>
      <c r="F38" s="151"/>
      <c r="G38" s="152">
        <f>G36/G35</f>
        <v>0.25032064834390444</v>
      </c>
      <c r="H38" s="152">
        <f t="shared" ref="H38:K38" si="5">H36/H35</f>
        <v>0.16054004576659045</v>
      </c>
      <c r="I38" s="152">
        <f t="shared" si="5"/>
        <v>0.13161918892185939</v>
      </c>
      <c r="J38" s="152">
        <f t="shared" si="5"/>
        <v>0.15549030256012422</v>
      </c>
      <c r="K38" s="152">
        <f t="shared" si="5"/>
        <v>0.21004761237921837</v>
      </c>
    </row>
    <row r="39" spans="1:11" ht="15.75" thickTop="1"/>
    <row r="41" spans="1:11">
      <c r="A41" t="s">
        <v>59</v>
      </c>
      <c r="B41" s="145" t="s">
        <v>297</v>
      </c>
      <c r="C41" s="145"/>
      <c r="D41" s="145"/>
      <c r="E41" s="145"/>
      <c r="F41" s="145"/>
      <c r="G41" s="146">
        <v>43525</v>
      </c>
      <c r="H41" s="146">
        <v>43891</v>
      </c>
      <c r="I41" s="146">
        <v>44256</v>
      </c>
      <c r="J41" s="146">
        <v>44621</v>
      </c>
      <c r="K41" s="146">
        <v>44986</v>
      </c>
    </row>
    <row r="43" spans="1:11">
      <c r="B43" s="21" t="s">
        <v>298</v>
      </c>
      <c r="C43" s="21"/>
      <c r="D43" s="21"/>
      <c r="E43" s="21"/>
      <c r="F43" s="21"/>
      <c r="G43" s="238">
        <f>-SUM('Cash Flow Data'!J19:J20)</f>
        <v>1409</v>
      </c>
      <c r="H43" s="238">
        <f>-SUM('Cash Flow Data'!K19:K20)</f>
        <v>1706</v>
      </c>
      <c r="I43" s="238">
        <f>-SUM('Cash Flow Data'!L19:L20)</f>
        <v>2027</v>
      </c>
      <c r="J43" s="238">
        <f>-SUM('Cash Flow Data'!M19:M20)</f>
        <v>2389</v>
      </c>
      <c r="K43" s="238">
        <f>-SUM('Cash Flow Data'!N19:N20)</f>
        <v>2207</v>
      </c>
    </row>
    <row r="44" spans="1:11">
      <c r="B44" s="21" t="s">
        <v>303</v>
      </c>
      <c r="C44" s="21"/>
      <c r="D44" s="21"/>
      <c r="E44" s="21"/>
      <c r="F44" s="21"/>
      <c r="G44" s="242" t="s">
        <v>60</v>
      </c>
      <c r="H44" s="238">
        <f>H19-G19</f>
        <v>3703</v>
      </c>
      <c r="I44" s="238">
        <f t="shared" ref="I44:K44" si="6">I19-H19</f>
        <v>-1879</v>
      </c>
      <c r="J44" s="238">
        <f t="shared" si="6"/>
        <v>531</v>
      </c>
      <c r="K44" s="238">
        <f t="shared" si="6"/>
        <v>-690</v>
      </c>
    </row>
    <row r="45" spans="1:11">
      <c r="G45" s="10"/>
      <c r="H45" s="10"/>
      <c r="I45" s="10"/>
      <c r="J45" s="10"/>
      <c r="K45" s="10"/>
    </row>
    <row r="46" spans="1:11">
      <c r="B46" s="21" t="s">
        <v>295</v>
      </c>
      <c r="C46" s="21"/>
      <c r="D46" s="21"/>
      <c r="E46" s="21"/>
      <c r="F46" s="21"/>
      <c r="G46" s="238">
        <f>G36</f>
        <v>1420.8200000000015</v>
      </c>
      <c r="H46" s="238">
        <f t="shared" ref="H46:K46" si="7">H36</f>
        <v>1753.9000000000005</v>
      </c>
      <c r="I46" s="238">
        <f t="shared" si="7"/>
        <v>1330.6699999999985</v>
      </c>
      <c r="J46" s="238">
        <f t="shared" si="7"/>
        <v>2004.2700000000013</v>
      </c>
      <c r="K46" s="238">
        <f t="shared" si="7"/>
        <v>2999.8999999999969</v>
      </c>
    </row>
    <row r="47" spans="1:11">
      <c r="B47" s="40" t="s">
        <v>304</v>
      </c>
      <c r="C47" s="40"/>
      <c r="D47" s="40"/>
      <c r="E47" s="40"/>
      <c r="F47" s="40"/>
      <c r="G47" s="154">
        <v>0.25</v>
      </c>
      <c r="H47" s="154">
        <v>0.25</v>
      </c>
      <c r="I47" s="154">
        <v>0.25</v>
      </c>
      <c r="J47" s="154">
        <v>0.25</v>
      </c>
      <c r="K47" s="154">
        <v>0.25</v>
      </c>
    </row>
    <row r="48" spans="1:11">
      <c r="B48" s="149" t="s">
        <v>305</v>
      </c>
      <c r="C48" s="149"/>
      <c r="D48" s="149"/>
      <c r="E48" s="149"/>
      <c r="F48" s="149"/>
      <c r="G48" s="171">
        <f>G46*(1-G47)</f>
        <v>1065.6150000000011</v>
      </c>
      <c r="H48" s="171">
        <f t="shared" ref="H48:K48" si="8">H46*(1-H47)</f>
        <v>1315.4250000000004</v>
      </c>
      <c r="I48" s="171">
        <f t="shared" si="8"/>
        <v>998.00249999999892</v>
      </c>
      <c r="J48" s="171">
        <f t="shared" si="8"/>
        <v>1503.202500000001</v>
      </c>
      <c r="K48" s="171">
        <f t="shared" si="8"/>
        <v>2249.9249999999975</v>
      </c>
    </row>
    <row r="49" spans="1:11">
      <c r="G49" s="10"/>
      <c r="H49" s="10"/>
      <c r="I49" s="10"/>
      <c r="J49" s="10"/>
      <c r="K49" s="10"/>
    </row>
    <row r="50" spans="1:11">
      <c r="B50" s="149" t="s">
        <v>306</v>
      </c>
      <c r="C50" s="149"/>
      <c r="D50" s="149"/>
      <c r="E50" s="149"/>
      <c r="F50" s="149"/>
      <c r="G50" s="243" t="s">
        <v>60</v>
      </c>
      <c r="H50" s="171">
        <f>SUM(H43:H44)</f>
        <v>5409</v>
      </c>
      <c r="I50" s="171">
        <f t="shared" ref="I50:K50" si="9">SUM(I43:I44)</f>
        <v>148</v>
      </c>
      <c r="J50" s="171">
        <f t="shared" si="9"/>
        <v>2920</v>
      </c>
      <c r="K50" s="171">
        <f t="shared" si="9"/>
        <v>1517</v>
      </c>
    </row>
    <row r="51" spans="1:11" ht="4.5" customHeight="1">
      <c r="G51" s="87"/>
    </row>
    <row r="52" spans="1:11" ht="15.75" thickBot="1">
      <c r="A52" t="s">
        <v>59</v>
      </c>
      <c r="B52" s="153" t="s">
        <v>307</v>
      </c>
      <c r="C52" s="153"/>
      <c r="D52" s="153"/>
      <c r="E52" s="153"/>
      <c r="F52" s="153"/>
      <c r="G52" s="155" t="s">
        <v>60</v>
      </c>
      <c r="H52" s="156">
        <f>H50/H48</f>
        <v>4.1119790181880367</v>
      </c>
      <c r="I52" s="156">
        <f t="shared" ref="I52:K52" si="10">I50/I48</f>
        <v>0.14829622170285162</v>
      </c>
      <c r="J52" s="156">
        <f t="shared" si="10"/>
        <v>1.9425193877737683</v>
      </c>
      <c r="K52" s="156">
        <f t="shared" si="10"/>
        <v>0.67424469704545786</v>
      </c>
    </row>
    <row r="53" spans="1:11">
      <c r="G53" s="87"/>
      <c r="H53" s="118"/>
      <c r="I53" s="118"/>
      <c r="J53" s="118"/>
      <c r="K53" s="118"/>
    </row>
    <row r="54" spans="1:11">
      <c r="J54" s="158" t="s">
        <v>308</v>
      </c>
      <c r="K54" s="159">
        <f>AVERAGE(H52:K52)</f>
        <v>1.7192598311775287</v>
      </c>
    </row>
    <row r="55" spans="1:11">
      <c r="J55" s="158" t="s">
        <v>309</v>
      </c>
      <c r="K55" s="159">
        <f>MEDIAN(H52:K52)</f>
        <v>1.3083820424096131</v>
      </c>
    </row>
    <row r="57" spans="1:11">
      <c r="A57" t="s">
        <v>59</v>
      </c>
      <c r="B57" s="145" t="s">
        <v>310</v>
      </c>
      <c r="C57" s="145"/>
      <c r="D57" s="145"/>
      <c r="E57" s="145"/>
      <c r="F57" s="145"/>
      <c r="G57" s="146">
        <v>43525</v>
      </c>
      <c r="H57" s="146">
        <v>43891</v>
      </c>
      <c r="I57" s="146">
        <v>44256</v>
      </c>
      <c r="J57" s="146">
        <v>44621</v>
      </c>
      <c r="K57" s="146">
        <v>44986</v>
      </c>
    </row>
    <row r="59" spans="1:11">
      <c r="B59" t="s">
        <v>307</v>
      </c>
      <c r="H59" s="118">
        <f>H52</f>
        <v>4.1119790181880367</v>
      </c>
      <c r="I59" s="118">
        <f t="shared" ref="I59:K59" si="11">I52</f>
        <v>0.14829622170285162</v>
      </c>
      <c r="J59" s="118">
        <f t="shared" si="11"/>
        <v>1.9425193877737683</v>
      </c>
      <c r="K59" s="118">
        <f t="shared" si="11"/>
        <v>0.67424469704545786</v>
      </c>
    </row>
    <row r="60" spans="1:11">
      <c r="B60" t="s">
        <v>296</v>
      </c>
      <c r="H60" s="118">
        <f>H38</f>
        <v>0.16054004576659045</v>
      </c>
      <c r="I60" s="118">
        <f t="shared" ref="I60:K60" si="12">I38</f>
        <v>0.13161918892185939</v>
      </c>
      <c r="J60" s="118">
        <f t="shared" si="12"/>
        <v>0.15549030256012422</v>
      </c>
      <c r="K60" s="118">
        <f t="shared" si="12"/>
        <v>0.21004761237921837</v>
      </c>
    </row>
    <row r="61" spans="1:11" ht="3.75" customHeight="1"/>
    <row r="62" spans="1:11" ht="15.75" thickBot="1">
      <c r="B62" s="153" t="s">
        <v>311</v>
      </c>
      <c r="C62" s="153"/>
      <c r="D62" s="153"/>
      <c r="E62" s="153"/>
      <c r="F62" s="153"/>
      <c r="G62" s="153"/>
      <c r="H62" s="156">
        <f>H59*H60</f>
        <v>0.66013729977116709</v>
      </c>
      <c r="I62" s="156">
        <f t="shared" ref="I62:K62" si="13">I59*I60</f>
        <v>1.9518628420705571E-2</v>
      </c>
      <c r="J62" s="156">
        <f t="shared" si="13"/>
        <v>0.30204292733385052</v>
      </c>
      <c r="K62" s="156">
        <f t="shared" si="13"/>
        <v>0.14162348877374786</v>
      </c>
    </row>
    <row r="64" spans="1:11">
      <c r="J64" s="158" t="s">
        <v>308</v>
      </c>
      <c r="K64" s="159">
        <f>AVERAGE(H62:K62)</f>
        <v>0.28083058607486777</v>
      </c>
    </row>
    <row r="65" spans="10:11">
      <c r="J65" s="158" t="s">
        <v>309</v>
      </c>
      <c r="K65" s="159">
        <f>MEDIAN(H62:K62)</f>
        <v>0.22183320805379919</v>
      </c>
    </row>
  </sheetData>
  <mergeCells count="1">
    <mergeCell ref="B2:K3"/>
  </mergeCells>
  <pageMargins left="0.7" right="0.7" top="0.75" bottom="0.75" header="0.3" footer="0.3"/>
  <ignoredErrors>
    <ignoredError sqref="G43:K43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showGridLines="0" workbookViewId="0">
      <pane ySplit="2" topLeftCell="A3" activePane="bottomLeft" state="frozen"/>
      <selection pane="bottomLeft" activeCell="B2" sqref="B2:N2"/>
    </sheetView>
  </sheetViews>
  <sheetFormatPr defaultRowHeight="15"/>
  <cols>
    <col min="1" max="1" width="1.85546875" customWidth="1"/>
    <col min="2" max="2" width="24.85546875" bestFit="1" customWidth="1"/>
  </cols>
  <sheetData>
    <row r="2" spans="2:14">
      <c r="B2" s="145" t="s">
        <v>156</v>
      </c>
      <c r="C2" s="146">
        <v>40969</v>
      </c>
      <c r="D2" s="146">
        <v>41334</v>
      </c>
      <c r="E2" s="146">
        <v>41699</v>
      </c>
      <c r="F2" s="146">
        <v>42064</v>
      </c>
      <c r="G2" s="146">
        <v>42430</v>
      </c>
      <c r="H2" s="146">
        <v>42795</v>
      </c>
      <c r="I2" s="146">
        <v>43160</v>
      </c>
      <c r="J2" s="146">
        <v>43525</v>
      </c>
      <c r="K2" s="146">
        <v>43891</v>
      </c>
      <c r="L2" s="146">
        <v>44256</v>
      </c>
      <c r="M2" s="146">
        <v>44621</v>
      </c>
      <c r="N2" s="146">
        <v>44986</v>
      </c>
    </row>
    <row r="3" spans="2:14" s="78" customFormat="1"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</row>
    <row r="4" spans="2:14">
      <c r="B4" s="9" t="s">
        <v>261</v>
      </c>
      <c r="C4" s="137">
        <v>534</v>
      </c>
      <c r="D4" s="137">
        <v>544</v>
      </c>
      <c r="E4" s="137">
        <v>547</v>
      </c>
      <c r="F4" s="137">
        <v>562</v>
      </c>
      <c r="G4" s="137">
        <v>562</v>
      </c>
      <c r="H4" s="137">
        <v>624</v>
      </c>
      <c r="I4" s="137">
        <v>624</v>
      </c>
      <c r="J4" s="137">
        <v>624</v>
      </c>
      <c r="K4" s="137">
        <v>648</v>
      </c>
      <c r="L4" s="137">
        <v>648</v>
      </c>
      <c r="M4" s="137">
        <v>648</v>
      </c>
      <c r="N4" s="137">
        <v>648</v>
      </c>
    </row>
    <row r="5" spans="2:14">
      <c r="B5" s="9" t="s">
        <v>12</v>
      </c>
      <c r="C5" s="137">
        <v>148</v>
      </c>
      <c r="D5" s="137">
        <v>245</v>
      </c>
      <c r="E5" s="137">
        <v>409</v>
      </c>
      <c r="F5" s="137">
        <v>638</v>
      </c>
      <c r="G5" s="137">
        <v>959</v>
      </c>
      <c r="H5" s="137">
        <v>3218</v>
      </c>
      <c r="I5" s="137">
        <v>4045</v>
      </c>
      <c r="J5" s="137">
        <v>4963</v>
      </c>
      <c r="K5" s="137">
        <v>10432</v>
      </c>
      <c r="L5" s="137">
        <v>11536</v>
      </c>
      <c r="M5" s="137">
        <v>13030</v>
      </c>
      <c r="N5" s="137">
        <v>15430</v>
      </c>
    </row>
    <row r="6" spans="2:14">
      <c r="B6" s="9" t="s">
        <v>37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</row>
    <row r="7" spans="2:14">
      <c r="B7" t="s">
        <v>262</v>
      </c>
      <c r="C7" s="137">
        <v>0</v>
      </c>
      <c r="D7" s="137">
        <v>0</v>
      </c>
      <c r="E7" s="137">
        <v>0</v>
      </c>
      <c r="F7" s="137">
        <v>0</v>
      </c>
      <c r="G7" s="137">
        <v>908</v>
      </c>
      <c r="H7" s="137">
        <v>981</v>
      </c>
      <c r="I7" s="137">
        <v>246</v>
      </c>
      <c r="J7" s="137">
        <v>126</v>
      </c>
      <c r="K7" s="137">
        <v>0</v>
      </c>
      <c r="L7" s="137">
        <v>0</v>
      </c>
      <c r="M7" s="137">
        <v>0</v>
      </c>
      <c r="N7" s="137">
        <v>0</v>
      </c>
    </row>
    <row r="8" spans="2:14">
      <c r="B8" t="s">
        <v>263</v>
      </c>
      <c r="C8" s="137">
        <v>0</v>
      </c>
      <c r="D8" s="137">
        <v>0</v>
      </c>
      <c r="E8" s="137">
        <v>0</v>
      </c>
      <c r="F8" s="137">
        <v>0</v>
      </c>
      <c r="G8" s="137">
        <v>129</v>
      </c>
      <c r="H8" s="137">
        <v>139</v>
      </c>
      <c r="I8" s="137">
        <v>7</v>
      </c>
      <c r="J8" s="137">
        <v>304</v>
      </c>
      <c r="K8" s="137">
        <v>4</v>
      </c>
      <c r="L8" s="137">
        <v>0</v>
      </c>
      <c r="M8" s="137">
        <v>0</v>
      </c>
      <c r="N8" s="137">
        <v>0</v>
      </c>
    </row>
    <row r="9" spans="2:14">
      <c r="B9" t="s">
        <v>264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295</v>
      </c>
      <c r="L9" s="137">
        <v>393</v>
      </c>
      <c r="M9" s="137">
        <v>647</v>
      </c>
      <c r="N9" s="137">
        <v>643</v>
      </c>
    </row>
    <row r="10" spans="2:14">
      <c r="B10" t="s">
        <v>265</v>
      </c>
      <c r="C10" s="137">
        <v>381</v>
      </c>
      <c r="D10" s="137">
        <v>526</v>
      </c>
      <c r="E10" s="137">
        <v>641</v>
      </c>
      <c r="F10" s="137">
        <v>904</v>
      </c>
      <c r="G10" s="137">
        <v>155</v>
      </c>
      <c r="H10" s="137">
        <v>378</v>
      </c>
      <c r="I10" s="137">
        <v>186</v>
      </c>
      <c r="J10" s="137">
        <v>270</v>
      </c>
      <c r="K10" s="137">
        <v>34</v>
      </c>
      <c r="L10" s="137">
        <v>0</v>
      </c>
      <c r="M10" s="137">
        <v>0</v>
      </c>
      <c r="N10" s="137">
        <v>0</v>
      </c>
    </row>
    <row r="11" spans="2:14">
      <c r="B11" s="9" t="s">
        <v>38</v>
      </c>
      <c r="C11" s="137">
        <v>128</v>
      </c>
      <c r="D11" s="137">
        <v>176</v>
      </c>
      <c r="E11" s="137">
        <v>211</v>
      </c>
      <c r="F11" s="137">
        <v>251</v>
      </c>
      <c r="G11" s="137">
        <v>389</v>
      </c>
      <c r="H11" s="137">
        <v>480</v>
      </c>
      <c r="I11" s="137">
        <v>540</v>
      </c>
      <c r="J11" s="137">
        <v>718</v>
      </c>
      <c r="K11" s="137">
        <v>663</v>
      </c>
      <c r="L11" s="137">
        <v>1079</v>
      </c>
      <c r="M11" s="137">
        <v>1146</v>
      </c>
      <c r="N11" s="137">
        <v>1383</v>
      </c>
    </row>
    <row r="12" spans="2:14">
      <c r="B12" t="s">
        <v>266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1</v>
      </c>
      <c r="J12" s="137">
        <v>1</v>
      </c>
      <c r="K12" s="137">
        <v>0</v>
      </c>
      <c r="L12" s="137">
        <v>0</v>
      </c>
      <c r="M12" s="137">
        <v>0</v>
      </c>
      <c r="N12" s="137">
        <v>0</v>
      </c>
    </row>
    <row r="13" spans="2:14">
      <c r="B13" t="s">
        <v>267</v>
      </c>
      <c r="C13" s="137">
        <v>64</v>
      </c>
      <c r="D13" s="137">
        <v>94</v>
      </c>
      <c r="E13" s="137">
        <v>123</v>
      </c>
      <c r="F13" s="137">
        <v>119</v>
      </c>
      <c r="G13" s="137">
        <v>194</v>
      </c>
      <c r="H13" s="137">
        <v>261</v>
      </c>
      <c r="I13" s="137">
        <v>317</v>
      </c>
      <c r="J13" s="137">
        <v>463</v>
      </c>
      <c r="K13" s="137">
        <v>433</v>
      </c>
      <c r="L13" s="137">
        <v>578</v>
      </c>
      <c r="M13" s="137">
        <v>589</v>
      </c>
      <c r="N13" s="137">
        <v>754</v>
      </c>
    </row>
    <row r="14" spans="2:14">
      <c r="B14" t="s">
        <v>268</v>
      </c>
      <c r="C14" s="134">
        <v>64</v>
      </c>
      <c r="D14" s="134">
        <v>82</v>
      </c>
      <c r="E14" s="134">
        <v>89</v>
      </c>
      <c r="F14" s="134">
        <v>133</v>
      </c>
      <c r="G14" s="134">
        <v>194</v>
      </c>
      <c r="H14" s="134">
        <v>219</v>
      </c>
      <c r="I14" s="134">
        <v>222</v>
      </c>
      <c r="J14" s="134">
        <v>254</v>
      </c>
      <c r="K14" s="134">
        <v>229</v>
      </c>
      <c r="L14" s="134">
        <v>500</v>
      </c>
      <c r="M14" s="134">
        <v>557</v>
      </c>
      <c r="N14" s="134">
        <v>629</v>
      </c>
    </row>
    <row r="15" spans="2:14">
      <c r="B15" s="133" t="s">
        <v>82</v>
      </c>
      <c r="C15" s="135">
        <v>1191</v>
      </c>
      <c r="D15" s="135">
        <v>1492</v>
      </c>
      <c r="E15" s="135">
        <v>1808</v>
      </c>
      <c r="F15" s="135">
        <v>2355</v>
      </c>
      <c r="G15" s="135">
        <v>3102</v>
      </c>
      <c r="H15" s="135">
        <v>5819</v>
      </c>
      <c r="I15" s="135">
        <v>5648</v>
      </c>
      <c r="J15" s="135">
        <v>7006</v>
      </c>
      <c r="K15" s="135">
        <v>12076</v>
      </c>
      <c r="L15" s="135">
        <v>13655</v>
      </c>
      <c r="M15" s="135">
        <v>15471</v>
      </c>
      <c r="N15" s="135">
        <v>18105</v>
      </c>
    </row>
    <row r="16" spans="2:14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4">
      <c r="B17" s="9" t="s">
        <v>287</v>
      </c>
      <c r="C17" s="135">
        <v>779</v>
      </c>
      <c r="D17" s="135">
        <v>925</v>
      </c>
      <c r="E17" s="135">
        <v>1172</v>
      </c>
      <c r="F17" s="135">
        <v>1528</v>
      </c>
      <c r="G17" s="135">
        <v>2094</v>
      </c>
      <c r="H17" s="135">
        <v>2578</v>
      </c>
      <c r="I17" s="135">
        <v>3400</v>
      </c>
      <c r="J17" s="135">
        <v>4400</v>
      </c>
      <c r="K17" s="135">
        <v>5948</v>
      </c>
      <c r="L17" s="135">
        <v>7009</v>
      </c>
      <c r="M17" s="135">
        <v>9260</v>
      </c>
      <c r="N17" s="135">
        <v>11340</v>
      </c>
    </row>
    <row r="18" spans="2:14">
      <c r="B18" t="s">
        <v>269</v>
      </c>
      <c r="C18" s="137">
        <v>306</v>
      </c>
      <c r="D18" s="137">
        <v>379</v>
      </c>
      <c r="E18" s="137">
        <v>460</v>
      </c>
      <c r="F18" s="137">
        <v>602</v>
      </c>
      <c r="G18" s="137">
        <v>784</v>
      </c>
      <c r="H18" s="137">
        <v>1044</v>
      </c>
      <c r="I18" s="137">
        <v>1438</v>
      </c>
      <c r="J18" s="137">
        <v>2028</v>
      </c>
      <c r="K18" s="137">
        <v>2740</v>
      </c>
      <c r="L18" s="137">
        <v>3483</v>
      </c>
      <c r="M18" s="137">
        <v>4527</v>
      </c>
      <c r="N18" s="137">
        <v>5519</v>
      </c>
    </row>
    <row r="19" spans="2:14">
      <c r="B19" t="s">
        <v>270</v>
      </c>
      <c r="C19" s="137">
        <v>459</v>
      </c>
      <c r="D19" s="137">
        <v>543</v>
      </c>
      <c r="E19" s="137">
        <v>717</v>
      </c>
      <c r="F19" s="137">
        <v>946</v>
      </c>
      <c r="G19" s="137">
        <v>1162</v>
      </c>
      <c r="H19" s="137">
        <v>1379</v>
      </c>
      <c r="I19" s="137">
        <v>1757</v>
      </c>
      <c r="J19" s="137">
        <v>2173</v>
      </c>
      <c r="K19" s="137">
        <v>3139</v>
      </c>
      <c r="L19" s="137">
        <v>3649</v>
      </c>
      <c r="M19" s="137">
        <v>4938</v>
      </c>
      <c r="N19" s="137">
        <v>6201</v>
      </c>
    </row>
    <row r="20" spans="2:14">
      <c r="B20" t="s">
        <v>271</v>
      </c>
      <c r="C20" s="137">
        <v>23</v>
      </c>
      <c r="D20" s="137">
        <v>30</v>
      </c>
      <c r="E20" s="137">
        <v>39</v>
      </c>
      <c r="F20" s="137">
        <v>51</v>
      </c>
      <c r="G20" s="137">
        <v>59</v>
      </c>
      <c r="H20" s="137">
        <v>88</v>
      </c>
      <c r="I20" s="137">
        <v>124</v>
      </c>
      <c r="J20" s="137">
        <v>191</v>
      </c>
      <c r="K20" s="137">
        <v>272</v>
      </c>
      <c r="L20" s="137">
        <v>352</v>
      </c>
      <c r="M20" s="137">
        <v>491</v>
      </c>
      <c r="N20" s="137">
        <v>656</v>
      </c>
    </row>
    <row r="21" spans="2:14">
      <c r="B21" t="s">
        <v>272</v>
      </c>
      <c r="C21" s="137">
        <v>5</v>
      </c>
      <c r="D21" s="137">
        <v>6</v>
      </c>
      <c r="E21" s="137">
        <v>9</v>
      </c>
      <c r="F21" s="137">
        <v>12</v>
      </c>
      <c r="G21" s="137">
        <v>11</v>
      </c>
      <c r="H21" s="137">
        <v>16</v>
      </c>
      <c r="I21" s="137">
        <v>21</v>
      </c>
      <c r="J21" s="137">
        <v>29</v>
      </c>
      <c r="K21" s="137">
        <v>39</v>
      </c>
      <c r="L21" s="137">
        <v>50</v>
      </c>
      <c r="M21" s="137">
        <v>73</v>
      </c>
      <c r="N21" s="137">
        <v>85</v>
      </c>
    </row>
    <row r="22" spans="2:14">
      <c r="B22" t="s">
        <v>273</v>
      </c>
      <c r="C22" s="137">
        <v>14</v>
      </c>
      <c r="D22" s="137">
        <v>18</v>
      </c>
      <c r="E22" s="137">
        <v>23</v>
      </c>
      <c r="F22" s="137">
        <v>30</v>
      </c>
      <c r="G22" s="137">
        <v>21</v>
      </c>
      <c r="H22" s="137">
        <v>30</v>
      </c>
      <c r="I22" s="137">
        <v>53</v>
      </c>
      <c r="J22" s="137">
        <v>76</v>
      </c>
      <c r="K22" s="137">
        <v>95</v>
      </c>
      <c r="L22" s="137">
        <v>119</v>
      </c>
      <c r="M22" s="137">
        <v>153</v>
      </c>
      <c r="N22" s="137">
        <v>190</v>
      </c>
    </row>
    <row r="23" spans="2:14">
      <c r="B23" t="s">
        <v>274</v>
      </c>
      <c r="C23" s="137">
        <v>92</v>
      </c>
      <c r="D23" s="137">
        <v>108</v>
      </c>
      <c r="E23" s="137">
        <v>135</v>
      </c>
      <c r="F23" s="137">
        <v>172</v>
      </c>
      <c r="G23" s="137">
        <v>143</v>
      </c>
      <c r="H23" s="137">
        <v>202</v>
      </c>
      <c r="I23" s="137">
        <v>265</v>
      </c>
      <c r="J23" s="137">
        <v>357</v>
      </c>
      <c r="K23" s="137">
        <v>476</v>
      </c>
      <c r="L23" s="137">
        <v>581</v>
      </c>
      <c r="M23" s="137">
        <v>772</v>
      </c>
      <c r="N23" s="137">
        <v>968</v>
      </c>
    </row>
    <row r="24" spans="2:14">
      <c r="B24" t="s">
        <v>275</v>
      </c>
      <c r="C24" s="137">
        <v>2</v>
      </c>
      <c r="D24" s="137">
        <v>2</v>
      </c>
      <c r="E24" s="137">
        <v>4</v>
      </c>
      <c r="F24" s="137">
        <v>6</v>
      </c>
      <c r="G24" s="137">
        <v>6</v>
      </c>
      <c r="H24" s="137">
        <v>6</v>
      </c>
      <c r="I24" s="137">
        <v>2</v>
      </c>
      <c r="J24" s="137">
        <v>3</v>
      </c>
      <c r="K24" s="137">
        <v>4</v>
      </c>
      <c r="L24" s="137">
        <v>4</v>
      </c>
      <c r="M24" s="137">
        <v>3</v>
      </c>
      <c r="N24" s="137">
        <v>15</v>
      </c>
    </row>
    <row r="25" spans="2:14">
      <c r="B25" t="s">
        <v>276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0</v>
      </c>
      <c r="I25" s="137">
        <v>78</v>
      </c>
      <c r="J25" s="137">
        <v>78</v>
      </c>
      <c r="K25" s="137">
        <v>78</v>
      </c>
      <c r="L25" s="137">
        <v>78</v>
      </c>
      <c r="M25" s="137">
        <v>78</v>
      </c>
      <c r="N25" s="137">
        <v>78</v>
      </c>
    </row>
    <row r="26" spans="2:14">
      <c r="B26" t="s">
        <v>277</v>
      </c>
      <c r="C26" s="137">
        <v>5</v>
      </c>
      <c r="D26" s="137">
        <v>8</v>
      </c>
      <c r="E26" s="137">
        <v>10</v>
      </c>
      <c r="F26" s="137">
        <v>12</v>
      </c>
      <c r="G26" s="137">
        <v>6</v>
      </c>
      <c r="H26" s="137">
        <v>39</v>
      </c>
      <c r="I26" s="137">
        <v>61</v>
      </c>
      <c r="J26" s="137">
        <v>74</v>
      </c>
      <c r="K26" s="137">
        <v>82</v>
      </c>
      <c r="L26" s="137">
        <v>81</v>
      </c>
      <c r="M26" s="137">
        <v>91</v>
      </c>
      <c r="N26" s="137">
        <v>105</v>
      </c>
    </row>
    <row r="27" spans="2:14">
      <c r="B27" s="9" t="s">
        <v>278</v>
      </c>
      <c r="C27" s="136">
        <v>906</v>
      </c>
      <c r="D27" s="136">
        <v>1095</v>
      </c>
      <c r="E27" s="136">
        <v>1397</v>
      </c>
      <c r="F27" s="136">
        <v>1832</v>
      </c>
      <c r="G27" s="136">
        <v>2192</v>
      </c>
      <c r="H27" s="136">
        <v>2805</v>
      </c>
      <c r="I27" s="136">
        <v>3801</v>
      </c>
      <c r="J27" s="136">
        <v>5010</v>
      </c>
      <c r="K27" s="136">
        <v>6927</v>
      </c>
      <c r="L27" s="136">
        <v>8396</v>
      </c>
      <c r="M27" s="136">
        <v>11127</v>
      </c>
      <c r="N27" s="136">
        <v>13816</v>
      </c>
    </row>
    <row r="28" spans="2:14">
      <c r="B28" s="9" t="s">
        <v>279</v>
      </c>
      <c r="C28" s="134">
        <v>127</v>
      </c>
      <c r="D28" s="134">
        <v>170</v>
      </c>
      <c r="E28" s="134">
        <v>225</v>
      </c>
      <c r="F28" s="134">
        <v>304</v>
      </c>
      <c r="G28" s="134">
        <v>98</v>
      </c>
      <c r="H28" s="134">
        <v>228</v>
      </c>
      <c r="I28" s="134">
        <v>401</v>
      </c>
      <c r="J28" s="134">
        <v>609</v>
      </c>
      <c r="K28" s="134">
        <v>979</v>
      </c>
      <c r="L28" s="134">
        <v>1387</v>
      </c>
      <c r="M28" s="134">
        <v>1867</v>
      </c>
      <c r="N28" s="134">
        <v>2476</v>
      </c>
    </row>
    <row r="29" spans="2:14">
      <c r="B29" s="138" t="s">
        <v>14</v>
      </c>
      <c r="C29" s="139">
        <f>C27-C28</f>
        <v>779</v>
      </c>
      <c r="D29" s="139">
        <f t="shared" ref="D29:N29" si="0">D27-D28</f>
        <v>925</v>
      </c>
      <c r="E29" s="139">
        <f t="shared" si="0"/>
        <v>1172</v>
      </c>
      <c r="F29" s="139">
        <f t="shared" si="0"/>
        <v>1528</v>
      </c>
      <c r="G29" s="139">
        <f t="shared" si="0"/>
        <v>2094</v>
      </c>
      <c r="H29" s="139">
        <f t="shared" si="0"/>
        <v>2577</v>
      </c>
      <c r="I29" s="139">
        <f t="shared" si="0"/>
        <v>3400</v>
      </c>
      <c r="J29" s="139">
        <f t="shared" si="0"/>
        <v>4401</v>
      </c>
      <c r="K29" s="139">
        <f t="shared" si="0"/>
        <v>5948</v>
      </c>
      <c r="L29" s="139">
        <f t="shared" si="0"/>
        <v>7009</v>
      </c>
      <c r="M29" s="139">
        <f t="shared" si="0"/>
        <v>9260</v>
      </c>
      <c r="N29" s="139">
        <f t="shared" si="0"/>
        <v>11340</v>
      </c>
    </row>
    <row r="30" spans="2:14">
      <c r="B30" s="140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</row>
    <row r="31" spans="2:14">
      <c r="B31" s="9" t="s">
        <v>280</v>
      </c>
      <c r="C31" s="142">
        <v>85</v>
      </c>
      <c r="D31" s="142">
        <v>118</v>
      </c>
      <c r="E31" s="142">
        <v>89</v>
      </c>
      <c r="F31" s="142">
        <v>98</v>
      </c>
      <c r="G31" s="142">
        <v>82</v>
      </c>
      <c r="H31" s="142">
        <v>153</v>
      </c>
      <c r="I31" s="142">
        <v>147</v>
      </c>
      <c r="J31" s="142">
        <v>377</v>
      </c>
      <c r="K31" s="142">
        <v>364</v>
      </c>
      <c r="L31" s="142">
        <v>1020</v>
      </c>
      <c r="M31" s="142">
        <v>1129</v>
      </c>
      <c r="N31" s="142">
        <v>829</v>
      </c>
    </row>
    <row r="32" spans="2:14">
      <c r="B32" s="9" t="s">
        <v>16</v>
      </c>
      <c r="C32" s="142">
        <v>23</v>
      </c>
      <c r="D32" s="142">
        <v>16</v>
      </c>
      <c r="E32" s="142">
        <v>16</v>
      </c>
      <c r="F32" s="142">
        <v>15</v>
      </c>
      <c r="G32" s="142">
        <v>29</v>
      </c>
      <c r="H32" s="142">
        <v>26</v>
      </c>
      <c r="I32" s="142">
        <v>68</v>
      </c>
      <c r="J32" s="142">
        <v>17</v>
      </c>
      <c r="K32" s="142">
        <v>15</v>
      </c>
      <c r="L32" s="142">
        <v>3</v>
      </c>
      <c r="M32" s="142">
        <v>6</v>
      </c>
      <c r="N32" s="142">
        <v>202</v>
      </c>
    </row>
    <row r="33" spans="2:14">
      <c r="B33" s="9" t="s">
        <v>39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</row>
    <row r="34" spans="2:14">
      <c r="B34" t="s">
        <v>281</v>
      </c>
      <c r="C34" s="142">
        <v>196</v>
      </c>
      <c r="D34" s="142">
        <v>276</v>
      </c>
      <c r="E34" s="142">
        <v>378</v>
      </c>
      <c r="F34" s="142">
        <v>540</v>
      </c>
      <c r="G34" s="142">
        <v>672</v>
      </c>
      <c r="H34" s="142">
        <v>948</v>
      </c>
      <c r="I34" s="142">
        <v>1163</v>
      </c>
      <c r="J34" s="142">
        <v>1609</v>
      </c>
      <c r="K34" s="142">
        <v>1947</v>
      </c>
      <c r="L34" s="142">
        <v>2248</v>
      </c>
      <c r="M34" s="142">
        <v>2743</v>
      </c>
      <c r="N34" s="142">
        <v>3243</v>
      </c>
    </row>
    <row r="35" spans="2:14">
      <c r="B35" t="s">
        <v>282</v>
      </c>
      <c r="C35" s="142">
        <v>6</v>
      </c>
      <c r="D35" s="142">
        <v>13</v>
      </c>
      <c r="E35" s="142">
        <v>10</v>
      </c>
      <c r="F35" s="142">
        <v>7</v>
      </c>
      <c r="G35" s="142">
        <v>8</v>
      </c>
      <c r="H35" s="142">
        <v>21</v>
      </c>
      <c r="I35" s="142">
        <v>34</v>
      </c>
      <c r="J35" s="142">
        <v>64</v>
      </c>
      <c r="K35" s="142">
        <v>20</v>
      </c>
      <c r="L35" s="142">
        <v>44</v>
      </c>
      <c r="M35" s="142">
        <v>67</v>
      </c>
      <c r="N35" s="142">
        <v>62</v>
      </c>
    </row>
    <row r="36" spans="2:14">
      <c r="B36" t="s">
        <v>283</v>
      </c>
      <c r="C36" s="142">
        <v>48</v>
      </c>
      <c r="D36" s="142">
        <v>62</v>
      </c>
      <c r="E36" s="142">
        <v>55</v>
      </c>
      <c r="F36" s="142">
        <v>38</v>
      </c>
      <c r="G36" s="142">
        <v>35</v>
      </c>
      <c r="H36" s="142">
        <v>1884</v>
      </c>
      <c r="I36" s="142">
        <v>560</v>
      </c>
      <c r="J36" s="142">
        <v>219</v>
      </c>
      <c r="K36" s="142">
        <v>108</v>
      </c>
      <c r="L36" s="142">
        <v>1446</v>
      </c>
      <c r="M36" s="142">
        <v>299</v>
      </c>
      <c r="N36" s="142">
        <v>1408</v>
      </c>
    </row>
    <row r="37" spans="2:14">
      <c r="B37" t="s">
        <v>284</v>
      </c>
      <c r="C37" s="142">
        <v>0</v>
      </c>
      <c r="D37" s="142">
        <v>0</v>
      </c>
      <c r="E37" s="142">
        <v>0</v>
      </c>
      <c r="F37" s="142">
        <v>1</v>
      </c>
      <c r="G37" s="142">
        <v>1</v>
      </c>
      <c r="H37" s="142">
        <v>1</v>
      </c>
      <c r="I37" s="142">
        <v>2</v>
      </c>
      <c r="J37" s="142">
        <v>2</v>
      </c>
      <c r="K37" s="142">
        <v>2</v>
      </c>
      <c r="L37" s="142">
        <v>2</v>
      </c>
      <c r="M37" s="142">
        <v>2</v>
      </c>
      <c r="N37" s="142">
        <v>2</v>
      </c>
    </row>
    <row r="38" spans="2:14">
      <c r="B38" t="s">
        <v>285</v>
      </c>
      <c r="C38" s="134">
        <v>55</v>
      </c>
      <c r="D38" s="134">
        <v>82</v>
      </c>
      <c r="E38" s="134">
        <v>88</v>
      </c>
      <c r="F38" s="134">
        <v>128</v>
      </c>
      <c r="G38" s="134">
        <v>181</v>
      </c>
      <c r="H38" s="134">
        <v>209</v>
      </c>
      <c r="I38" s="134">
        <v>274</v>
      </c>
      <c r="J38" s="134">
        <v>318</v>
      </c>
      <c r="K38" s="134">
        <v>3672</v>
      </c>
      <c r="L38" s="134">
        <v>1884</v>
      </c>
      <c r="M38" s="134">
        <v>1965</v>
      </c>
      <c r="N38" s="134">
        <v>1017</v>
      </c>
    </row>
    <row r="39" spans="2:14">
      <c r="B39" s="143" t="s">
        <v>86</v>
      </c>
      <c r="C39" s="144">
        <v>1191</v>
      </c>
      <c r="D39" s="144">
        <v>1492</v>
      </c>
      <c r="E39" s="144">
        <v>1808</v>
      </c>
      <c r="F39" s="144">
        <v>2355</v>
      </c>
      <c r="G39" s="144">
        <v>3102</v>
      </c>
      <c r="H39" s="144">
        <v>5819</v>
      </c>
      <c r="I39" s="144">
        <v>5648</v>
      </c>
      <c r="J39" s="144">
        <v>7006</v>
      </c>
      <c r="K39" s="144">
        <v>12076</v>
      </c>
      <c r="L39" s="144">
        <v>13655</v>
      </c>
      <c r="M39" s="144">
        <v>15471</v>
      </c>
      <c r="N39" s="144">
        <v>18105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workbookViewId="0">
      <selection activeCell="B17" sqref="B17"/>
    </sheetView>
  </sheetViews>
  <sheetFormatPr defaultRowHeight="15"/>
  <cols>
    <col min="1" max="1" width="1.85546875" customWidth="1"/>
    <col min="2" max="2" width="25.7109375" customWidth="1"/>
    <col min="3" max="13" width="13.28515625" customWidth="1"/>
  </cols>
  <sheetData>
    <row r="2" spans="2:15">
      <c r="B2" s="244" t="str">
        <f>"Ratio Analysis - "&amp;'Data Sheet'!B1</f>
        <v>Ratio Analysis - AVENUE SUPERMARTS LTD</v>
      </c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</row>
    <row r="3" spans="2:15">
      <c r="B3" s="145" t="s">
        <v>56</v>
      </c>
      <c r="C3" s="146">
        <f>'Data Sheet'!B16</f>
        <v>41729</v>
      </c>
      <c r="D3" s="146">
        <f>'Data Sheet'!C16</f>
        <v>42094</v>
      </c>
      <c r="E3" s="146">
        <f>'Data Sheet'!D16</f>
        <v>42460</v>
      </c>
      <c r="F3" s="146">
        <f>'Data Sheet'!E16</f>
        <v>42825</v>
      </c>
      <c r="G3" s="146">
        <f>'Data Sheet'!F16</f>
        <v>43190</v>
      </c>
      <c r="H3" s="146">
        <f>'Data Sheet'!G16</f>
        <v>43555</v>
      </c>
      <c r="I3" s="146">
        <f>'Data Sheet'!H16</f>
        <v>43921</v>
      </c>
      <c r="J3" s="146">
        <f>'Data Sheet'!I16</f>
        <v>44286</v>
      </c>
      <c r="K3" s="146">
        <f>'Data Sheet'!J16</f>
        <v>44651</v>
      </c>
      <c r="L3" s="146">
        <f>'Data Sheet'!K16</f>
        <v>45016</v>
      </c>
      <c r="M3" s="169" t="s">
        <v>151</v>
      </c>
      <c r="N3" s="146" t="s">
        <v>152</v>
      </c>
      <c r="O3" s="146" t="s">
        <v>153</v>
      </c>
    </row>
    <row r="5" spans="2:15">
      <c r="B5" s="23" t="s">
        <v>120</v>
      </c>
      <c r="C5" s="24" t="s">
        <v>60</v>
      </c>
      <c r="D5" s="25">
        <f>IFERROR(HistoricalFS!D7,0)</f>
        <v>0.37404405865382984</v>
      </c>
      <c r="E5" s="25">
        <f>IFERROR(HistoricalFS!E7,0)</f>
        <v>0.33299997049428276</v>
      </c>
      <c r="F5" s="25">
        <f>IFERROR(HistoricalFS!F7,0)</f>
        <v>0.38607090598991589</v>
      </c>
      <c r="G5" s="25">
        <f>IFERROR(HistoricalFS!G7,0)</f>
        <v>0.26353833093791246</v>
      </c>
      <c r="H5" s="25">
        <f>IFERROR(HistoricalFS!H7,0)</f>
        <v>0.33068940744485542</v>
      </c>
      <c r="I5" s="25">
        <f>IFERROR(HistoricalFS!I7,0)</f>
        <v>0.24322903023916598</v>
      </c>
      <c r="J5" s="25">
        <f>IFERROR(HistoricalFS!J7,0)</f>
        <v>-2.9237400583831175E-2</v>
      </c>
      <c r="K5" s="25">
        <f>IFERROR(HistoricalFS!K7,0)</f>
        <v>0.28302998874210639</v>
      </c>
      <c r="L5" s="39">
        <f>IFERROR(HistoricalFS!L7,0)</f>
        <v>0.38297993915987938</v>
      </c>
      <c r="M5" s="40"/>
      <c r="N5" s="39">
        <f>IFERROR(AVERAGE(D5:L5),0)</f>
        <v>0.28526047011979078</v>
      </c>
      <c r="O5" s="39">
        <f>IFERROR(MEDIAN(C5:L5),0)</f>
        <v>0.33068940744485542</v>
      </c>
    </row>
    <row r="6" spans="2:15">
      <c r="B6" s="4" t="s">
        <v>121</v>
      </c>
      <c r="C6" s="26" t="s">
        <v>60</v>
      </c>
      <c r="D6" s="27">
        <f>IFERROR(HistoricalFS!D18/HistoricalFS!C18-1,0)</f>
        <v>0.33690811064228599</v>
      </c>
      <c r="E6" s="27">
        <f>IFERROR(HistoricalFS!E18/HistoricalFS!D18-1,0)</f>
        <v>0.45631876561610074</v>
      </c>
      <c r="F6" s="27">
        <f>IFERROR(HistoricalFS!F18/HistoricalFS!E18-1,0)</f>
        <v>0.45859795924510016</v>
      </c>
      <c r="G6" s="27">
        <f>IFERROR(HistoricalFS!G18/HistoricalFS!F18-1,0)</f>
        <v>0.39588105408695995</v>
      </c>
      <c r="H6" s="27">
        <f>IFERROR(HistoricalFS!H18/HistoricalFS!G18-1,0)</f>
        <v>0.20730156852889503</v>
      </c>
      <c r="I6" s="27">
        <f>IFERROR(HistoricalFS!I18/HistoricalFS!H18-1,0)</f>
        <v>0.30306555399770918</v>
      </c>
      <c r="J6" s="27">
        <f>IFERROR(HistoricalFS!J18/HistoricalFS!I18-1,0)</f>
        <v>-0.18018051881539909</v>
      </c>
      <c r="K6" s="27">
        <f>IFERROR(HistoricalFS!K18/HistoricalFS!J18-1,0)</f>
        <v>0.43415117805173198</v>
      </c>
      <c r="L6" s="27">
        <f>IFERROR(HistoricalFS!L18/HistoricalFS!K18-1,0)</f>
        <v>0.45414110735908042</v>
      </c>
      <c r="M6" s="4"/>
      <c r="N6" s="27">
        <f t="shared" ref="N6:N9" si="0">IFERROR(AVERAGE(D6:L6),0)</f>
        <v>0.31846497541249608</v>
      </c>
      <c r="O6" s="27">
        <f t="shared" ref="O6:O9" si="1">IFERROR(MEDIAN(C6:L6),0)</f>
        <v>0.39588105408695995</v>
      </c>
    </row>
    <row r="7" spans="2:15">
      <c r="B7" s="4" t="s">
        <v>122</v>
      </c>
      <c r="C7" s="26" t="s">
        <v>60</v>
      </c>
      <c r="D7" s="27">
        <f>IFERROR(HistoricalFS!D27/HistoricalFS!C27-1,0)</f>
        <v>0.32271752920074936</v>
      </c>
      <c r="E7" s="27">
        <f>IFERROR(HistoricalFS!E27/HistoricalFS!D27-1,0)</f>
        <v>0.56994972880011341</v>
      </c>
      <c r="F7" s="27">
        <f>IFERROR(HistoricalFS!F27/HistoricalFS!E27-1,0)</f>
        <v>0.51547325623038032</v>
      </c>
      <c r="G7" s="27">
        <f>IFERROR(HistoricalFS!G27/HistoricalFS!F27-1,0)</f>
        <v>0.57680224637882582</v>
      </c>
      <c r="H7" s="27">
        <f>IFERROR(HistoricalFS!H27/HistoricalFS!G27-1,0)</f>
        <v>0.2109545807179638</v>
      </c>
      <c r="I7" s="27">
        <f>IFERROR(HistoricalFS!I27/HistoricalFS!H27-1,0)</f>
        <v>0.22653446029076574</v>
      </c>
      <c r="J7" s="27">
        <f>IFERROR(HistoricalFS!J27/HistoricalFS!I27-1,0)</f>
        <v>-0.23490307339830829</v>
      </c>
      <c r="K7" s="27">
        <f>IFERROR(HistoricalFS!K27/HistoricalFS!J27-1,0)</f>
        <v>0.51314952444493001</v>
      </c>
      <c r="L7" s="27">
        <f>IFERROR(HistoricalFS!L27/HistoricalFS!K27-1,0)</f>
        <v>0.5034709404864417</v>
      </c>
      <c r="M7" s="4"/>
      <c r="N7" s="27">
        <f t="shared" si="0"/>
        <v>0.3560165770168735</v>
      </c>
      <c r="O7" s="27">
        <f t="shared" si="1"/>
        <v>0.5034709404864417</v>
      </c>
    </row>
    <row r="8" spans="2:15">
      <c r="B8" s="4" t="s">
        <v>123</v>
      </c>
      <c r="C8" s="26" t="s">
        <v>60</v>
      </c>
      <c r="D8" s="27">
        <f>IFERROR(HistoricalFS!D33/HistoricalFS!C33-1,0)</f>
        <v>0.31927503273378322</v>
      </c>
      <c r="E8" s="27">
        <f>IFERROR(HistoricalFS!E33/HistoricalFS!D33-1,0)</f>
        <v>0.58389051399917613</v>
      </c>
      <c r="F8" s="27">
        <f>IFERROR(HistoricalFS!F33/HistoricalFS!E33-1,0)</f>
        <v>0.48769870061341392</v>
      </c>
      <c r="G8" s="27">
        <f>IFERROR(HistoricalFS!G33/HistoricalFS!F33-1,0)</f>
        <v>0.5928397251163815</v>
      </c>
      <c r="H8" s="27">
        <f>IFERROR(HistoricalFS!H33/HistoricalFS!G33-1,0)</f>
        <v>0.18871863387750087</v>
      </c>
      <c r="I8" s="27">
        <f>IFERROR(HistoricalFS!I33/HistoricalFS!H33-1,0)</f>
        <v>0.45292871108613242</v>
      </c>
      <c r="J8" s="27">
        <f>IFERROR(HistoricalFS!J33/HistoricalFS!I33-1,0)</f>
        <v>-0.27074351928702245</v>
      </c>
      <c r="K8" s="27">
        <f>IFERROR(HistoricalFS!K33/HistoricalFS!J33-1,0)</f>
        <v>0.52349171270718653</v>
      </c>
      <c r="L8" s="27">
        <f>IFERROR(HistoricalFS!L33/HistoricalFS!K33-1,0)</f>
        <v>0.6324378426992332</v>
      </c>
      <c r="M8" s="4"/>
      <c r="N8" s="27">
        <f t="shared" si="0"/>
        <v>0.39005970594953165</v>
      </c>
      <c r="O8" s="27">
        <f t="shared" si="1"/>
        <v>0.48769870061341392</v>
      </c>
    </row>
    <row r="9" spans="2:15">
      <c r="B9" s="28" t="s">
        <v>124</v>
      </c>
      <c r="C9" s="28"/>
      <c r="D9" s="29">
        <f>IFERROR(HistoricalFS!D41/HistoricalFS!C41-1,0)</f>
        <v>0</v>
      </c>
      <c r="E9" s="29">
        <f>IFERROR(HistoricalFS!E41/HistoricalFS!D41-1,0)</f>
        <v>0</v>
      </c>
      <c r="F9" s="29">
        <f>IFERROR(HistoricalFS!F41/HistoricalFS!E41-1,0)</f>
        <v>0</v>
      </c>
      <c r="G9" s="29">
        <f>IFERROR(HistoricalFS!G41/HistoricalFS!F41-1,0)</f>
        <v>0</v>
      </c>
      <c r="H9" s="29">
        <f>IFERROR(HistoricalFS!H41/HistoricalFS!G41-1,0)</f>
        <v>0</v>
      </c>
      <c r="I9" s="29">
        <f>IFERROR(HistoricalFS!I41/HistoricalFS!H41-1,0)</f>
        <v>0</v>
      </c>
      <c r="J9" s="29">
        <f>IFERROR(HistoricalFS!J41/HistoricalFS!I41-1,0)</f>
        <v>0</v>
      </c>
      <c r="K9" s="29">
        <f>IFERROR(HistoricalFS!K41/HistoricalFS!J41-1,0)</f>
        <v>0</v>
      </c>
      <c r="L9" s="41">
        <f>IFERROR(HistoricalFS!L41/HistoricalFS!K41-1,0)</f>
        <v>0</v>
      </c>
      <c r="M9" s="42"/>
      <c r="N9" s="41">
        <f t="shared" si="0"/>
        <v>0</v>
      </c>
      <c r="O9" s="41">
        <f t="shared" si="1"/>
        <v>0</v>
      </c>
    </row>
    <row r="11" spans="2:15">
      <c r="B11" s="23" t="s">
        <v>125</v>
      </c>
      <c r="C11" s="25">
        <f>IFERROR(HistoricalFS!C13,0)</f>
        <v>9.5139635718065566E-2</v>
      </c>
      <c r="D11" s="25">
        <f>IFERROR(HistoricalFS!D13,0)</f>
        <v>9.3719475170938898E-2</v>
      </c>
      <c r="E11" s="25">
        <f>IFERROR(HistoricalFS!E13,0)</f>
        <v>9.4431810768241517E-2</v>
      </c>
      <c r="F11" s="25">
        <f>IFERROR(HistoricalFS!F13,0)</f>
        <v>0.10016137572808194</v>
      </c>
      <c r="G11" s="25">
        <f>IFERROR(HistoricalFS!G13,0)</f>
        <v>0.10772423702205787</v>
      </c>
      <c r="H11" s="25">
        <f>IFERROR(HistoricalFS!H13,0)</f>
        <v>9.9726961706654377E-2</v>
      </c>
      <c r="I11" s="25">
        <f>IFERROR(HistoricalFS!I13,0)</f>
        <v>9.9554084808324825E-2</v>
      </c>
      <c r="J11" s="25">
        <f>IFERROR(HistoricalFS!J13,0)</f>
        <v>8.8231152140615068E-2</v>
      </c>
      <c r="K11" s="25">
        <f>IFERROR(HistoricalFS!K13,0)</f>
        <v>9.5163491278969392E-2</v>
      </c>
      <c r="L11" s="39">
        <f>IFERROR(HistoricalFS!L13,0)</f>
        <v>9.9820586392577265E-2</v>
      </c>
      <c r="M11" s="40"/>
      <c r="N11" s="39">
        <f>IFERROR(AVERAGE(C11:L11),0)</f>
        <v>9.7367281073452674E-2</v>
      </c>
      <c r="O11" s="39">
        <f t="shared" ref="O11:O15" si="2">IFERROR(MEDIAN(C11:L11),0)</f>
        <v>9.7358788043647115E-2</v>
      </c>
    </row>
    <row r="12" spans="2:15">
      <c r="B12" s="4" t="s">
        <v>126</v>
      </c>
      <c r="C12" s="27">
        <f>IFERROR(HistoricalFS!C19,0)</f>
        <v>7.2822246120755857E-2</v>
      </c>
      <c r="D12" s="27">
        <f>IFERROR(HistoricalFS!D19,0)</f>
        <v>7.0854097334701854E-2</v>
      </c>
      <c r="E12" s="27">
        <f>IFERROR(HistoricalFS!E19,0)</f>
        <v>7.7408967631900333E-2</v>
      </c>
      <c r="F12" s="27">
        <f>IFERROR(HistoricalFS!F19,0)</f>
        <v>8.1459441740840702E-2</v>
      </c>
      <c r="G12" s="27">
        <f>IFERROR(HistoricalFS!G19,0)</f>
        <v>8.9991485512066663E-2</v>
      </c>
      <c r="H12" s="27">
        <f>IFERROR(HistoricalFS!H19,0)</f>
        <v>8.1647047767204689E-2</v>
      </c>
      <c r="I12" s="27">
        <f>IFERROR(HistoricalFS!I19,0)</f>
        <v>8.5576714300648976E-2</v>
      </c>
      <c r="J12" s="27">
        <f>IFERROR(HistoricalFS!J19,0)</f>
        <v>7.2270457845857075E-2</v>
      </c>
      <c r="K12" s="27">
        <f>IFERROR(HistoricalFS!K19,0)</f>
        <v>8.0782805676732586E-2</v>
      </c>
      <c r="L12" s="27">
        <f>IFERROR(HistoricalFS!L19,0)</f>
        <v>8.4939481171141737E-2</v>
      </c>
      <c r="M12" s="4"/>
      <c r="N12" s="27">
        <f t="shared" ref="N12:N15" si="3">IFERROR(AVERAGE(C12:L12),0)</f>
        <v>7.977527451018504E-2</v>
      </c>
      <c r="O12" s="27">
        <f t="shared" si="2"/>
        <v>8.1121123708786644E-2</v>
      </c>
    </row>
    <row r="13" spans="2:15">
      <c r="B13" s="4" t="s">
        <v>127</v>
      </c>
      <c r="C13" s="27">
        <f>IFERROR((HistoricalFS!C18-HistoricalFS!C24)/HistoricalFS!C6,0)</f>
        <v>6.0657465731209753E-2</v>
      </c>
      <c r="D13" s="27">
        <f>IFERROR((HistoricalFS!D18-HistoricalFS!D24)/HistoricalFS!D6,0)</f>
        <v>5.8191485892384744E-2</v>
      </c>
      <c r="E13" s="27">
        <f>IFERROR((HistoricalFS!E18-HistoricalFS!E24)/HistoricalFS!E6,0)</f>
        <v>6.5941964826602889E-2</v>
      </c>
      <c r="F13" s="27">
        <f>IFERROR((HistoricalFS!F18-HistoricalFS!F24)/HistoricalFS!F6,0)</f>
        <v>7.0716188843221839E-2</v>
      </c>
      <c r="G13" s="27">
        <f>IFERROR((HistoricalFS!G18-HistoricalFS!G24)/HistoricalFS!G6,0)</f>
        <v>7.9414895032328486E-2</v>
      </c>
      <c r="H13" s="27">
        <f>IFERROR((HistoricalFS!H18-HistoricalFS!H24)/HistoricalFS!H6,0)</f>
        <v>7.1024948361670337E-2</v>
      </c>
      <c r="I13" s="27">
        <f>IFERROR((HistoricalFS!I18-HistoricalFS!I24)/HistoricalFS!I6,0)</f>
        <v>7.0522151008033718E-2</v>
      </c>
      <c r="J13" s="27">
        <f>IFERROR((HistoricalFS!J18-HistoricalFS!J24)/HistoricalFS!J6,0)</f>
        <v>5.5116045770502921E-2</v>
      </c>
      <c r="K13" s="27">
        <f>IFERROR((HistoricalFS!K18-HistoricalFS!K24)/HistoricalFS!K6,0)</f>
        <v>6.4703400377127435E-2</v>
      </c>
      <c r="L13" s="27">
        <f>IFERROR((HistoricalFS!L18-HistoricalFS!L24)/HistoricalFS!L6,0)</f>
        <v>7.0026396162798987E-2</v>
      </c>
      <c r="M13" s="4"/>
      <c r="N13" s="27">
        <f t="shared" si="3"/>
        <v>6.6631494200588115E-2</v>
      </c>
      <c r="O13" s="27">
        <f t="shared" si="2"/>
        <v>6.7984180494700938E-2</v>
      </c>
    </row>
    <row r="14" spans="2:15">
      <c r="B14" s="4" t="s">
        <v>144</v>
      </c>
      <c r="C14" s="27">
        <f>IFERROR(HistoricalFS!C28,0)</f>
        <v>4.8776480428807951E-2</v>
      </c>
      <c r="D14" s="27">
        <f>IFERROR(HistoricalFS!D28,0)</f>
        <v>4.6954466466752352E-2</v>
      </c>
      <c r="E14" s="27">
        <f>IFERROR(HistoricalFS!E28,0)</f>
        <v>5.5300940380439437E-2</v>
      </c>
      <c r="F14" s="27">
        <f>IFERROR(HistoricalFS!F28,0)</f>
        <v>6.0463787118518748E-2</v>
      </c>
      <c r="G14" s="27">
        <f>IFERROR(HistoricalFS!G28,0)</f>
        <v>7.5454327754569922E-2</v>
      </c>
      <c r="H14" s="27">
        <f>IFERROR(HistoricalFS!H28,0)</f>
        <v>6.8664981714132683E-2</v>
      </c>
      <c r="I14" s="27">
        <f>IFERROR(HistoricalFS!I28,0)</f>
        <v>6.7742921247115034E-2</v>
      </c>
      <c r="J14" s="27">
        <f>IFERROR(HistoricalFS!J28,0)</f>
        <v>5.3390912336712844E-2</v>
      </c>
      <c r="K14" s="27">
        <f>IFERROR(HistoricalFS!K28,0)</f>
        <v>6.2966909831299933E-2</v>
      </c>
      <c r="L14" s="27">
        <f>IFERROR(HistoricalFS!L28,0)</f>
        <v>6.845285058950179E-2</v>
      </c>
      <c r="M14" s="4"/>
      <c r="N14" s="27">
        <f t="shared" si="3"/>
        <v>6.0816857786785063E-2</v>
      </c>
      <c r="O14" s="27">
        <f t="shared" si="2"/>
        <v>6.1715348474909337E-2</v>
      </c>
    </row>
    <row r="15" spans="2:15">
      <c r="B15" s="28" t="s">
        <v>128</v>
      </c>
      <c r="C15" s="29">
        <f>IFERROR(HistoricalFS!C34,0)</f>
        <v>3.0963537665796046E-2</v>
      </c>
      <c r="D15" s="29">
        <f>IFERROR(HistoricalFS!D34,0)</f>
        <v>2.9729339398052168E-2</v>
      </c>
      <c r="E15" s="29">
        <f>IFERROR(HistoricalFS!E34,0)</f>
        <v>3.5324845988238353E-2</v>
      </c>
      <c r="F15" s="29">
        <f>IFERROR(HistoricalFS!F34,0)</f>
        <v>3.7914891113408518E-2</v>
      </c>
      <c r="G15" s="29">
        <f>IFERROR(HistoricalFS!G34,0)</f>
        <v>4.7796211052869693E-2</v>
      </c>
      <c r="H15" s="29">
        <f>IFERROR(HistoricalFS!H34,0)</f>
        <v>4.2696850511784408E-2</v>
      </c>
      <c r="I15" s="29">
        <f>IFERROR(HistoricalFS!I34,0)</f>
        <v>4.9898673914966524E-2</v>
      </c>
      <c r="J15" s="29">
        <f>IFERROR(HistoricalFS!J34,0)</f>
        <v>3.7484892138776045E-2</v>
      </c>
      <c r="K15" s="29">
        <f>IFERROR(HistoricalFS!K34,0)</f>
        <v>4.4510200873120014E-2</v>
      </c>
      <c r="L15" s="41">
        <f>IFERROR(HistoricalFS!L34,0)</f>
        <v>5.2538821593872513E-2</v>
      </c>
      <c r="M15" s="42"/>
      <c r="N15" s="41">
        <f t="shared" si="3"/>
        <v>4.0885826425088423E-2</v>
      </c>
      <c r="O15" s="41">
        <f t="shared" si="2"/>
        <v>4.0305870812596463E-2</v>
      </c>
    </row>
    <row r="17" spans="2:15">
      <c r="B17" s="23" t="s">
        <v>129</v>
      </c>
      <c r="C17" s="30">
        <f>IFERROR(HistoricalFS!C16,0)</f>
        <v>2.2317389597309716E-2</v>
      </c>
      <c r="D17" s="30">
        <f>IFERROR(HistoricalFS!D16,0)</f>
        <v>2.2865377836237051E-2</v>
      </c>
      <c r="E17" s="30">
        <f>IFERROR(HistoricalFS!E16,0)</f>
        <v>1.7022843136341184E-2</v>
      </c>
      <c r="F17" s="30">
        <f>IFERROR(HistoricalFS!F16,0)</f>
        <v>1.870193398724123E-2</v>
      </c>
      <c r="G17" s="30">
        <f>IFERROR(HistoricalFS!G16,0)</f>
        <v>1.7732751509991221E-2</v>
      </c>
      <c r="H17" s="30">
        <f>IFERROR(HistoricalFS!H16,0)</f>
        <v>1.8079913939449684E-2</v>
      </c>
      <c r="I17" s="30">
        <f>IFERROR(HistoricalFS!I16,0)</f>
        <v>1.3977370507675852E-2</v>
      </c>
      <c r="J17" s="30">
        <f>IFERROR(HistoricalFS!J16,0)</f>
        <v>1.5960694294757993E-2</v>
      </c>
      <c r="K17" s="30">
        <f>IFERROR(HistoricalFS!K16,0)</f>
        <v>1.438068560223681E-2</v>
      </c>
      <c r="L17" s="47">
        <f>IFERROR(HistoricalFS!L16,0)</f>
        <v>1.4881105221435514E-2</v>
      </c>
      <c r="M17" s="40"/>
      <c r="N17" s="39">
        <f t="shared" ref="N17:N19" si="4">IFERROR(AVERAGE(C17:L17),0)</f>
        <v>1.7592006563267627E-2</v>
      </c>
      <c r="O17" s="39">
        <f t="shared" ref="O17:O19" si="5">IFERROR(MEDIAN(C17:L17),0)</f>
        <v>1.7377797323166203E-2</v>
      </c>
    </row>
    <row r="18" spans="2:15">
      <c r="B18" s="4" t="s">
        <v>130</v>
      </c>
      <c r="C18" s="31">
        <f>IFERROR(HistoricalFS!C25,0)</f>
        <v>1.2164780389546099E-2</v>
      </c>
      <c r="D18" s="31">
        <f>IFERROR(HistoricalFS!D25,0)</f>
        <v>1.26626114423171E-2</v>
      </c>
      <c r="E18" s="31">
        <f>IFERROR(HistoricalFS!E25,0)</f>
        <v>1.1467002805297445E-2</v>
      </c>
      <c r="F18" s="31">
        <f>IFERROR(HistoricalFS!F25,0)</f>
        <v>1.0743252897618866E-2</v>
      </c>
      <c r="G18" s="31">
        <f>IFERROR(HistoricalFS!G25,0)</f>
        <v>1.0576590479738178E-2</v>
      </c>
      <c r="H18" s="31">
        <f>IFERROR(HistoricalFS!H25,0)</f>
        <v>1.062209940553435E-2</v>
      </c>
      <c r="I18" s="31">
        <f>IFERROR(HistoricalFS!I25,0)</f>
        <v>1.5054563292615258E-2</v>
      </c>
      <c r="J18" s="31">
        <f>IFERROR(HistoricalFS!J25,0)</f>
        <v>1.7154412075354161E-2</v>
      </c>
      <c r="K18" s="31">
        <f>IFERROR(HistoricalFS!K25,0)</f>
        <v>1.6079405299605148E-2</v>
      </c>
      <c r="L18" s="31">
        <f>IFERROR(HistoricalFS!L25,0)</f>
        <v>1.4913085008342757E-2</v>
      </c>
      <c r="M18" s="4"/>
      <c r="N18" s="27">
        <f t="shared" si="4"/>
        <v>1.3143780309596936E-2</v>
      </c>
      <c r="O18" s="27">
        <f t="shared" si="5"/>
        <v>1.24136959159316E-2</v>
      </c>
    </row>
    <row r="19" spans="2:15">
      <c r="B19" s="28" t="s">
        <v>131</v>
      </c>
      <c r="C19" s="32">
        <f>C13</f>
        <v>6.0657465731209753E-2</v>
      </c>
      <c r="D19" s="32">
        <f t="shared" ref="D19:L19" si="6">D13</f>
        <v>5.8191485892384744E-2</v>
      </c>
      <c r="E19" s="32">
        <f t="shared" si="6"/>
        <v>6.5941964826602889E-2</v>
      </c>
      <c r="F19" s="32">
        <f t="shared" si="6"/>
        <v>7.0716188843221839E-2</v>
      </c>
      <c r="G19" s="32">
        <f t="shared" si="6"/>
        <v>7.9414895032328486E-2</v>
      </c>
      <c r="H19" s="32">
        <f t="shared" si="6"/>
        <v>7.1024948361670337E-2</v>
      </c>
      <c r="I19" s="32">
        <f t="shared" si="6"/>
        <v>7.0522151008033718E-2</v>
      </c>
      <c r="J19" s="32">
        <f t="shared" si="6"/>
        <v>5.5116045770502921E-2</v>
      </c>
      <c r="K19" s="32">
        <f t="shared" si="6"/>
        <v>6.4703400377127435E-2</v>
      </c>
      <c r="L19" s="48">
        <f t="shared" si="6"/>
        <v>7.0026396162798987E-2</v>
      </c>
      <c r="M19" s="42"/>
      <c r="N19" s="41">
        <f t="shared" si="4"/>
        <v>6.6631494200588115E-2</v>
      </c>
      <c r="O19" s="41">
        <f t="shared" si="5"/>
        <v>6.7984180494700938E-2</v>
      </c>
    </row>
    <row r="21" spans="2:15">
      <c r="B21" s="23" t="s">
        <v>132</v>
      </c>
      <c r="C21" s="25">
        <f>IFERROR((HistoricalFS!C18-HistoricalFS!C24)/SUM(HistoricalFS!C47:C49),0)</f>
        <v>0.17807052161439241</v>
      </c>
      <c r="D21" s="25">
        <f>IFERROR((HistoricalFS!D18-HistoricalFS!D24)/SUM(HistoricalFS!D47:D49),0)</f>
        <v>0.17814542774964898</v>
      </c>
      <c r="E21" s="25">
        <f>IFERROR((HistoricalFS!E18-HistoricalFS!E24)/SUM(HistoricalFS!E47:E49),0)</f>
        <v>0.20865311599171366</v>
      </c>
      <c r="F21" s="25">
        <f>IFERROR((HistoricalFS!F18-HistoricalFS!F24)/SUM(HistoricalFS!F47:F49),0)</f>
        <v>0.15758461163866583</v>
      </c>
      <c r="G21" s="25">
        <f>IFERROR((HistoricalFS!G18-HistoricalFS!G24)/SUM(HistoricalFS!G47:G49),0)</f>
        <v>0.23370984476244555</v>
      </c>
      <c r="H21" s="25">
        <f>IFERROR((HistoricalFS!H18-HistoricalFS!H24)/SUM(HistoricalFS!H47:H49),0)</f>
        <v>0.22597175392836721</v>
      </c>
      <c r="I21" s="25">
        <f>IFERROR((HistoricalFS!I18-HistoricalFS!I24)/SUM(HistoricalFS!I47:I49),0)</f>
        <v>0.15367657560328507</v>
      </c>
      <c r="J21" s="25">
        <f>IFERROR((HistoricalFS!J18-HistoricalFS!J24)/SUM(HistoricalFS!J47:J49),0)</f>
        <v>0.1058067399148564</v>
      </c>
      <c r="K21" s="25">
        <f>IFERROR((HistoricalFS!K18-HistoricalFS!K24)/SUM(HistoricalFS!K47:K49),0)</f>
        <v>0.13991823844049886</v>
      </c>
      <c r="L21" s="39">
        <f>IFERROR((HistoricalFS!L18-HistoricalFS!L24)/SUM(HistoricalFS!L47:L49),0)</f>
        <v>0.17940183043808977</v>
      </c>
      <c r="M21" s="40"/>
      <c r="N21" s="39">
        <f t="shared" ref="N21:N25" si="7">IFERROR(AVERAGE(C21:L21),0)</f>
        <v>0.17609386600819638</v>
      </c>
      <c r="O21" s="39">
        <f t="shared" ref="O21:O25" si="8">IFERROR(MEDIAN(C21:L21),0)</f>
        <v>0.17810797468202069</v>
      </c>
    </row>
    <row r="22" spans="2:15">
      <c r="B22" s="4" t="s">
        <v>133</v>
      </c>
      <c r="C22" s="27">
        <f>HistoricalFS!C44</f>
        <v>1</v>
      </c>
      <c r="D22" s="27">
        <f>HistoricalFS!D44</f>
        <v>1</v>
      </c>
      <c r="E22" s="27">
        <f>HistoricalFS!E44</f>
        <v>1</v>
      </c>
      <c r="F22" s="27">
        <f>HistoricalFS!F44</f>
        <v>1</v>
      </c>
      <c r="G22" s="27">
        <f>HistoricalFS!G44</f>
        <v>1</v>
      </c>
      <c r="H22" s="27">
        <f>HistoricalFS!H44</f>
        <v>1</v>
      </c>
      <c r="I22" s="27">
        <f>HistoricalFS!I44</f>
        <v>1</v>
      </c>
      <c r="J22" s="27">
        <f>HistoricalFS!J44</f>
        <v>1</v>
      </c>
      <c r="K22" s="27">
        <f>HistoricalFS!K44</f>
        <v>1</v>
      </c>
      <c r="L22" s="27">
        <f>HistoricalFS!L44</f>
        <v>1</v>
      </c>
      <c r="M22" s="4"/>
      <c r="N22" s="27">
        <f t="shared" si="7"/>
        <v>1</v>
      </c>
      <c r="O22" s="27">
        <f t="shared" si="8"/>
        <v>1</v>
      </c>
    </row>
    <row r="23" spans="2:15">
      <c r="B23" s="4" t="s">
        <v>134</v>
      </c>
      <c r="C23" s="27">
        <f>IFERROR(HistoricalFS!C33/SUM(HistoricalFS!C47:C48),0)</f>
        <v>0.15185700681268757</v>
      </c>
      <c r="D23" s="27">
        <f>IFERROR(HistoricalFS!D33/SUM(HistoricalFS!D47:D48),0)</f>
        <v>0.15964109106980467</v>
      </c>
      <c r="E23" s="27">
        <f>IFERROR(HistoricalFS!E33/SUM(HistoricalFS!E47:E48),0)</f>
        <v>0.19942911262529323</v>
      </c>
      <c r="F23" s="27">
        <f>IFERROR(HistoricalFS!F33/SUM(HistoricalFS!F47:F48),0)</f>
        <v>0.11741952948893498</v>
      </c>
      <c r="G23" s="27">
        <f>IFERROR(HistoricalFS!G33/SUM(HistoricalFS!G47:G48),0)</f>
        <v>0.15389211938188724</v>
      </c>
      <c r="H23" s="27">
        <f>IFERROR(HistoricalFS!H33/SUM(HistoricalFS!H47:H48),0)</f>
        <v>0.15286579745680079</v>
      </c>
      <c r="I23" s="27">
        <f>IFERROR(HistoricalFS!I33/SUM(HistoricalFS!I47:I48),0)</f>
        <v>0.11200533586528208</v>
      </c>
      <c r="J23" s="27">
        <f>IFERROR(HistoricalFS!J33/SUM(HistoricalFS!J47:J48),0)</f>
        <v>7.4279509279193148E-2</v>
      </c>
      <c r="K23" s="27">
        <f>IFERROR(HistoricalFS!K33/SUM(HistoricalFS!K47:K48),0)</f>
        <v>0.10080393986097026</v>
      </c>
      <c r="L23" s="27">
        <f>IFERROR(HistoricalFS!L33/SUM(HistoricalFS!L47:L48),0)</f>
        <v>0.13998271004496612</v>
      </c>
      <c r="M23" s="4"/>
      <c r="N23" s="27">
        <f t="shared" si="7"/>
        <v>0.13621761518858205</v>
      </c>
      <c r="O23" s="27">
        <f t="shared" si="8"/>
        <v>0.14591985842882685</v>
      </c>
    </row>
    <row r="24" spans="2:15">
      <c r="B24" s="4" t="s">
        <v>135</v>
      </c>
      <c r="C24" s="27">
        <f>IFERROR(C22*C23,0)</f>
        <v>0.15185700681268757</v>
      </c>
      <c r="D24" s="27">
        <f t="shared" ref="D24:L24" si="9">IFERROR(D22*D23,0)</f>
        <v>0.15964109106980467</v>
      </c>
      <c r="E24" s="27">
        <f t="shared" si="9"/>
        <v>0.19942911262529323</v>
      </c>
      <c r="F24" s="27">
        <f t="shared" si="9"/>
        <v>0.11741952948893498</v>
      </c>
      <c r="G24" s="27">
        <f t="shared" si="9"/>
        <v>0.15389211938188724</v>
      </c>
      <c r="H24" s="27">
        <f t="shared" si="9"/>
        <v>0.15286579745680079</v>
      </c>
      <c r="I24" s="27">
        <f t="shared" si="9"/>
        <v>0.11200533586528208</v>
      </c>
      <c r="J24" s="27">
        <f t="shared" si="9"/>
        <v>7.4279509279193148E-2</v>
      </c>
      <c r="K24" s="27">
        <f t="shared" si="9"/>
        <v>0.10080393986097026</v>
      </c>
      <c r="L24" s="27">
        <f t="shared" si="9"/>
        <v>0.13998271004496612</v>
      </c>
      <c r="M24" s="4"/>
      <c r="N24" s="27">
        <f t="shared" si="7"/>
        <v>0.13621761518858205</v>
      </c>
      <c r="O24" s="27">
        <f t="shared" si="8"/>
        <v>0.14591985842882685</v>
      </c>
    </row>
    <row r="25" spans="2:15">
      <c r="B25" s="28" t="s">
        <v>136</v>
      </c>
      <c r="C25" s="33">
        <f>IFERROR((HistoricalFS!C18-HistoricalFS!C24)/HistoricalFS!C21,0)</f>
        <v>5.1054238505747103</v>
      </c>
      <c r="D25" s="33">
        <f>IFERROR((HistoricalFS!D18-HistoricalFS!D24)/HistoricalFS!D21,0)</f>
        <v>5.1785516860143606</v>
      </c>
      <c r="E25" s="33">
        <f>IFERROR((HistoricalFS!E18-HistoricalFS!E24)/HistoricalFS!E21,0)</f>
        <v>6.1969564265382182</v>
      </c>
      <c r="F25" s="33">
        <f>IFERROR((HistoricalFS!F18-HistoricalFS!F24)/HistoricalFS!F21,0)</f>
        <v>6.8975241842925117</v>
      </c>
      <c r="G25" s="33">
        <f>IFERROR((HistoricalFS!G18-HistoricalFS!G24)/HistoricalFS!G21,0)</f>
        <v>20.051394020826347</v>
      </c>
      <c r="H25" s="33">
        <f>IFERROR((HistoricalFS!H18-HistoricalFS!H24)/HistoricalFS!H21,0)</f>
        <v>30.095742427451842</v>
      </c>
      <c r="I25" s="33">
        <f>IFERROR((HistoricalFS!I18-HistoricalFS!I24)/HistoricalFS!I21,0)</f>
        <v>25.374710648148152</v>
      </c>
      <c r="J25" s="33">
        <f>IFERROR((HistoricalFS!J18-HistoricalFS!J24)/HistoricalFS!J21,0)</f>
        <v>31.948859543817488</v>
      </c>
      <c r="K25" s="33">
        <f>IFERROR((HistoricalFS!K18-HistoricalFS!K24)/HistoricalFS!K21,0)</f>
        <v>37.2610150585611</v>
      </c>
      <c r="L25" s="46">
        <f>IFERROR((HistoricalFS!L18-HistoricalFS!L24)/HistoricalFS!L21,0)</f>
        <v>44.502299362112403</v>
      </c>
      <c r="M25" s="42"/>
      <c r="N25" s="46">
        <f t="shared" si="7"/>
        <v>21.261247720833715</v>
      </c>
      <c r="O25" s="46">
        <f t="shared" si="8"/>
        <v>22.713052334487251</v>
      </c>
    </row>
    <row r="27" spans="2:15">
      <c r="B27" s="23" t="s">
        <v>137</v>
      </c>
      <c r="C27" s="34">
        <f>IFERROR(HistoricalFS!C6/HistoricalFS!C59,0)</f>
        <v>491.24528301886789</v>
      </c>
      <c r="D27" s="34">
        <f>IFERROR(HistoricalFS!D6/HistoricalFS!D59,0)</f>
        <v>910.81046676096184</v>
      </c>
      <c r="E27" s="34">
        <f>IFERROR(HistoricalFS!E6/HistoricalFS!E59,0)</f>
        <v>1019.4489311163895</v>
      </c>
      <c r="F27" s="34">
        <f>IFERROR(HistoricalFS!F6/HistoricalFS!F59,0)</f>
        <v>566.55714285714294</v>
      </c>
      <c r="G27" s="34">
        <f>IFERROR(HistoricalFS!G6/HistoricalFS!G59,0)</f>
        <v>448.48448687350833</v>
      </c>
      <c r="H27" s="34">
        <f>IFERROR(HistoricalFS!H6/HistoricalFS!H59,0)</f>
        <v>310.77396302625448</v>
      </c>
      <c r="I27" s="34">
        <f>IFERROR(HistoricalFS!I6/HistoricalFS!I59,0)</f>
        <v>1272.1329923273656</v>
      </c>
      <c r="J27" s="34">
        <f>IFERROR(HistoricalFS!J6/HistoricalFS!J59,0)</f>
        <v>553.99403396053242</v>
      </c>
      <c r="K27" s="34">
        <f>IFERROR(HistoricalFS!K6/HistoricalFS!K59,0)</f>
        <v>463.09268949020782</v>
      </c>
      <c r="L27" s="45">
        <f>IFERROR(HistoricalFS!L6/HistoricalFS!L59,0)</f>
        <v>689.18211068211065</v>
      </c>
      <c r="M27" s="40"/>
      <c r="N27" s="45">
        <f t="shared" ref="N27:N31" si="10">IFERROR(AVERAGE(C27:L27),0)</f>
        <v>672.57221001133416</v>
      </c>
      <c r="O27" s="45">
        <f t="shared" ref="O27:O31" si="11">IFERROR(MEDIAN(C27:L27),0)</f>
        <v>560.27558840883762</v>
      </c>
    </row>
    <row r="28" spans="2:15">
      <c r="B28" s="4" t="s">
        <v>138</v>
      </c>
      <c r="C28" s="35">
        <f>IFERROR(HistoricalFS!C6/HistoricalFS!C50,0)</f>
        <v>22.183470604941778</v>
      </c>
      <c r="D28" s="35">
        <f>IFERROR(HistoricalFS!D6/HistoricalFS!D50,0)</f>
        <v>25.618356142584339</v>
      </c>
      <c r="E28" s="35">
        <f>IFERROR(HistoricalFS!E6/HistoricalFS!E50,0)</f>
        <v>22.078707752456403</v>
      </c>
      <c r="F28" s="35">
        <f>IFERROR(HistoricalFS!F6/HistoricalFS!F50,0)</f>
        <v>24.777583406222668</v>
      </c>
      <c r="G28" s="35">
        <f>IFERROR(HistoricalFS!G6/HistoricalFS!G50,0)</f>
        <v>27.843384205067419</v>
      </c>
      <c r="H28" s="35">
        <f>IFERROR(HistoricalFS!H6/HistoricalFS!H50,0)</f>
        <v>27.865329433068673</v>
      </c>
      <c r="I28" s="35">
        <f>IFERROR(HistoricalFS!I6/HistoricalFS!I50,0)</f>
        <v>37.498605310374984</v>
      </c>
      <c r="J28" s="35">
        <f>IFERROR(HistoricalFS!J6/HistoricalFS!J50,0)</f>
        <v>22.383078534808043</v>
      </c>
      <c r="K28" s="35">
        <f>IFERROR(HistoricalFS!K6/HistoricalFS!K50,0)</f>
        <v>27.020472784368454</v>
      </c>
      <c r="L28" s="35">
        <f>IFERROR(HistoricalFS!L6/HistoricalFS!L50,0)</f>
        <v>30.979404703364093</v>
      </c>
      <c r="M28" s="4"/>
      <c r="N28" s="35">
        <f t="shared" si="10"/>
        <v>26.824839287725688</v>
      </c>
      <c r="O28" s="35">
        <f t="shared" si="11"/>
        <v>26.319414463476399</v>
      </c>
    </row>
    <row r="29" spans="2:15">
      <c r="B29" s="4" t="s">
        <v>146</v>
      </c>
      <c r="C29" s="35">
        <f>IFERROR(HistoricalFS!C6/HistoricalFS!C60,0)</f>
        <v>12.387280945206564</v>
      </c>
      <c r="D29" s="35">
        <f>IFERROR(HistoricalFS!D6/HistoricalFS!D60,0)</f>
        <v>11.933489001315765</v>
      </c>
      <c r="E29" s="35">
        <f>IFERROR(HistoricalFS!E6/HistoricalFS!E60,0)</f>
        <v>12.779347615715583</v>
      </c>
      <c r="F29" s="35">
        <f>IFERROR(HistoricalFS!F6/HistoricalFS!F60,0)</f>
        <v>12.551640468403841</v>
      </c>
      <c r="G29" s="35">
        <f>IFERROR(HistoricalFS!G6/HistoricalFS!G60,0)</f>
        <v>12.921225665047919</v>
      </c>
      <c r="H29" s="35">
        <f>IFERROR(HistoricalFS!H6/HistoricalFS!H60,0)</f>
        <v>12.435595064184254</v>
      </c>
      <c r="I29" s="35">
        <f>IFERROR(HistoricalFS!I6/HistoricalFS!I60,0)</f>
        <v>12.770976686864538</v>
      </c>
      <c r="J29" s="35">
        <f>IFERROR(HistoricalFS!J6/HistoricalFS!J60,0)</f>
        <v>10.738457843329122</v>
      </c>
      <c r="K29" s="35">
        <f>IFERROR(HistoricalFS!K6/HistoricalFS!K60,0)</f>
        <v>11.294243544588101</v>
      </c>
      <c r="L29" s="35">
        <f>IFERROR(HistoricalFS!L6/HistoricalFS!L60,0)</f>
        <v>13.2079001566219</v>
      </c>
      <c r="M29" s="4"/>
      <c r="N29" s="35">
        <f t="shared" si="10"/>
        <v>12.302015699127759</v>
      </c>
      <c r="O29" s="35">
        <f t="shared" si="11"/>
        <v>12.493617766294047</v>
      </c>
    </row>
    <row r="30" spans="2:15">
      <c r="B30" s="4" t="s">
        <v>145</v>
      </c>
      <c r="C30" s="35">
        <f>IFERROR(HistoricalFS!C6/HistoricalFS!C53,0)</f>
        <v>3.9997610289411014</v>
      </c>
      <c r="D30" s="35">
        <f>IFERROR(HistoricalFS!D6/HistoricalFS!D53,0)</f>
        <v>4.2140660174859956</v>
      </c>
      <c r="E30" s="35">
        <f>IFERROR(HistoricalFS!E6/HistoricalFS!E53,0)</f>
        <v>4.1001566739271658</v>
      </c>
      <c r="F30" s="35">
        <f>IFERROR(HistoricalFS!F6/HistoricalFS!F53,0)</f>
        <v>4.6155368053535062</v>
      </c>
      <c r="G30" s="35">
        <f>IFERROR(HistoricalFS!G6/HistoricalFS!G53,0)</f>
        <v>4.4215684256037555</v>
      </c>
      <c r="H30" s="35">
        <f>IFERROR(HistoricalFS!H6/HistoricalFS!H53,0)</f>
        <v>4.5460995325393094</v>
      </c>
      <c r="I30" s="35">
        <f>IFERROR(HistoricalFS!I6/HistoricalFS!I53,0)</f>
        <v>4.1812499264462355</v>
      </c>
      <c r="J30" s="35">
        <f>IFERROR(HistoricalFS!J6/HistoricalFS!J53,0)</f>
        <v>3.4446781189361948</v>
      </c>
      <c r="K30" s="35">
        <f>IFERROR(HistoricalFS!K6/HistoricalFS!K53,0)</f>
        <v>3.3451623214636683</v>
      </c>
      <c r="L30" s="35">
        <f>IFERROR(HistoricalFS!L6/HistoricalFS!L53,0)</f>
        <v>3.7775790795451338</v>
      </c>
      <c r="M30" s="4"/>
      <c r="N30" s="35">
        <f t="shared" si="10"/>
        <v>4.0645857930242064</v>
      </c>
      <c r="O30" s="35">
        <f t="shared" si="11"/>
        <v>4.1407033001867006</v>
      </c>
    </row>
    <row r="31" spans="2:15">
      <c r="B31" s="28" t="s">
        <v>149</v>
      </c>
      <c r="C31" s="33">
        <f>IFERROR(HistoricalFS!C6/SUM(HistoricalFS!C47:C48),0)</f>
        <v>4.9043816779513794</v>
      </c>
      <c r="D31" s="33">
        <f>IFERROR(HistoricalFS!D6/SUM(HistoricalFS!D47:D48),0)</f>
        <v>5.3698162926642148</v>
      </c>
      <c r="E31" s="33">
        <f>IFERROR(HistoricalFS!E6/SUM(HistoricalFS!E47:E48),0)</f>
        <v>5.6455762805503671</v>
      </c>
      <c r="F31" s="33">
        <f>IFERROR(HistoricalFS!F6/SUM(HistoricalFS!F47:F48),0)</f>
        <v>3.0969238217701172</v>
      </c>
      <c r="G31" s="33">
        <f>IFERROR(HistoricalFS!G6/SUM(HistoricalFS!G47:G48),0)</f>
        <v>3.2197556248059027</v>
      </c>
      <c r="H31" s="33">
        <f>IFERROR(HistoricalFS!H6/SUM(HistoricalFS!H47:H48),0)</f>
        <v>3.5802593311796977</v>
      </c>
      <c r="I31" s="33">
        <f>IFERROR(HistoricalFS!I6/SUM(HistoricalFS!I47:I48),0)</f>
        <v>2.2446555605095426</v>
      </c>
      <c r="J31" s="33">
        <f>IFERROR(HistoricalFS!J6/SUM(HistoricalFS!J47:J48),0)</f>
        <v>1.9815852478432268</v>
      </c>
      <c r="K31" s="33">
        <f>IFERROR(HistoricalFS!K6/SUM(HistoricalFS!K47:K48),0)</f>
        <v>2.2647379226240782</v>
      </c>
      <c r="L31" s="46">
        <f>IFERROR(HistoricalFS!L6/SUM(HistoricalFS!L47:L48),0)</f>
        <v>2.6643671441099093</v>
      </c>
      <c r="M31" s="42"/>
      <c r="N31" s="46">
        <f t="shared" si="10"/>
        <v>3.4972058904008434</v>
      </c>
      <c r="O31" s="46">
        <f t="shared" si="11"/>
        <v>3.1583397232880097</v>
      </c>
    </row>
    <row r="32" spans="2:15"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5">
      <c r="B33" s="9" t="s">
        <v>150</v>
      </c>
    </row>
    <row r="34" spans="2:15">
      <c r="B34" s="23" t="s">
        <v>147</v>
      </c>
      <c r="C34" s="36">
        <f>IFERROR(365/C27,0)</f>
        <v>0.74300967890613001</v>
      </c>
      <c r="D34" s="36">
        <f t="shared" ref="D34:L34" si="12">IFERROR(365/D27,0)</f>
        <v>0.40074199113896725</v>
      </c>
      <c r="E34" s="36">
        <f t="shared" si="12"/>
        <v>0.35803657138596606</v>
      </c>
      <c r="F34" s="36">
        <f t="shared" si="12"/>
        <v>0.64424216445195281</v>
      </c>
      <c r="G34" s="36">
        <f t="shared" si="12"/>
        <v>0.81385200755660803</v>
      </c>
      <c r="H34" s="36">
        <f t="shared" si="12"/>
        <v>1.1744870659231013</v>
      </c>
      <c r="I34" s="36">
        <f t="shared" si="12"/>
        <v>0.28691968701498183</v>
      </c>
      <c r="J34" s="36">
        <f t="shared" si="12"/>
        <v>0.65885186053466294</v>
      </c>
      <c r="K34" s="36">
        <f t="shared" si="12"/>
        <v>0.7881791448744474</v>
      </c>
      <c r="L34" s="43">
        <f t="shared" si="12"/>
        <v>0.52961328267610597</v>
      </c>
      <c r="M34" s="40"/>
      <c r="N34" s="43">
        <f t="shared" ref="N34:N37" si="13">IFERROR(AVERAGE(C34:L34),0)</f>
        <v>0.63979334544629229</v>
      </c>
      <c r="O34" s="43">
        <f t="shared" ref="O34:O37" si="14">IFERROR(MEDIAN(C34:L34),0)</f>
        <v>0.65154701249330782</v>
      </c>
    </row>
    <row r="35" spans="2:15">
      <c r="B35" s="4" t="s">
        <v>148</v>
      </c>
      <c r="C35" s="37">
        <f>IFERROR(365/C28,0)</f>
        <v>16.453692323449584</v>
      </c>
      <c r="D35" s="37">
        <f t="shared" ref="D35:L35" si="15">IFERROR(365/D28,0)</f>
        <v>14.247596448754006</v>
      </c>
      <c r="E35" s="37">
        <f t="shared" si="15"/>
        <v>16.531764634612337</v>
      </c>
      <c r="F35" s="37">
        <f t="shared" si="15"/>
        <v>14.731057263168511</v>
      </c>
      <c r="G35" s="37">
        <f t="shared" si="15"/>
        <v>13.109038661096772</v>
      </c>
      <c r="H35" s="37">
        <f t="shared" si="15"/>
        <v>13.098714690479952</v>
      </c>
      <c r="I35" s="37">
        <f t="shared" si="15"/>
        <v>9.7336953462376652</v>
      </c>
      <c r="J35" s="37">
        <f t="shared" si="15"/>
        <v>16.306961503637069</v>
      </c>
      <c r="K35" s="37">
        <f t="shared" si="15"/>
        <v>13.508275851159615</v>
      </c>
      <c r="L35" s="37">
        <f t="shared" si="15"/>
        <v>11.782021103858209</v>
      </c>
      <c r="M35" s="4"/>
      <c r="N35" s="37">
        <f t="shared" si="13"/>
        <v>13.950281782645371</v>
      </c>
      <c r="O35" s="37">
        <f t="shared" si="14"/>
        <v>13.87793614995681</v>
      </c>
    </row>
    <row r="36" spans="2:15">
      <c r="B36" s="4" t="s">
        <v>139</v>
      </c>
      <c r="C36" s="37">
        <f>IFERROR(365/C29,0)</f>
        <v>29.465707738003793</v>
      </c>
      <c r="D36" s="37">
        <f t="shared" ref="D36:L36" si="16">IFERROR(365/D29,0)</f>
        <v>30.586193187906382</v>
      </c>
      <c r="E36" s="37">
        <f t="shared" si="16"/>
        <v>28.561708388864552</v>
      </c>
      <c r="F36" s="37">
        <f t="shared" si="16"/>
        <v>29.079864175428863</v>
      </c>
      <c r="G36" s="37">
        <f t="shared" si="16"/>
        <v>28.248094218130536</v>
      </c>
      <c r="H36" s="37">
        <f t="shared" si="16"/>
        <v>29.351229122218378</v>
      </c>
      <c r="I36" s="37">
        <f t="shared" si="16"/>
        <v>28.580429590433528</v>
      </c>
      <c r="J36" s="37">
        <f t="shared" si="16"/>
        <v>33.989983042746033</v>
      </c>
      <c r="K36" s="37">
        <f t="shared" si="16"/>
        <v>32.317348086131737</v>
      </c>
      <c r="L36" s="37">
        <f t="shared" si="16"/>
        <v>27.634975709367698</v>
      </c>
      <c r="M36" s="4"/>
      <c r="N36" s="37">
        <f t="shared" si="13"/>
        <v>29.781553325923152</v>
      </c>
      <c r="O36" s="37">
        <f t="shared" si="14"/>
        <v>29.215546648823619</v>
      </c>
    </row>
    <row r="37" spans="2:15">
      <c r="B37" s="28" t="s">
        <v>140</v>
      </c>
      <c r="C37" s="38">
        <f>IFERROR(SUM(C34,C36)-C35,0)</f>
        <v>13.75502509346034</v>
      </c>
      <c r="D37" s="38">
        <f t="shared" ref="D37:L37" si="17">IFERROR(SUM(D34,D36)-D35,0)</f>
        <v>16.739338730291344</v>
      </c>
      <c r="E37" s="38">
        <f t="shared" si="17"/>
        <v>12.387980325638182</v>
      </c>
      <c r="F37" s="38">
        <f t="shared" si="17"/>
        <v>14.993049076712305</v>
      </c>
      <c r="G37" s="38">
        <f t="shared" si="17"/>
        <v>15.952907564590372</v>
      </c>
      <c r="H37" s="38">
        <f t="shared" si="17"/>
        <v>17.427001497661529</v>
      </c>
      <c r="I37" s="38">
        <f t="shared" si="17"/>
        <v>19.133653931210844</v>
      </c>
      <c r="J37" s="38">
        <f t="shared" si="17"/>
        <v>18.341873399643625</v>
      </c>
      <c r="K37" s="38">
        <f t="shared" si="17"/>
        <v>19.597251379846568</v>
      </c>
      <c r="L37" s="44">
        <f t="shared" si="17"/>
        <v>16.382567888185594</v>
      </c>
      <c r="M37" s="42"/>
      <c r="N37" s="44">
        <f t="shared" si="13"/>
        <v>16.471064888724072</v>
      </c>
      <c r="O37" s="44">
        <f t="shared" si="14"/>
        <v>16.560953309238471</v>
      </c>
    </row>
    <row r="39" spans="2:15">
      <c r="B39" s="23" t="s">
        <v>141</v>
      </c>
      <c r="C39" s="25">
        <f>IFERROR(HistoricalFS!C107/HistoricalFS!C6,0)</f>
        <v>4.2279066591556988E-2</v>
      </c>
      <c r="D39" s="25">
        <f>IFERROR(HistoricalFS!D107/HistoricalFS!D6,0)</f>
        <v>3.4478206922041239E-2</v>
      </c>
      <c r="E39" s="25">
        <f>IFERROR(HistoricalFS!E107/HistoricalFS!E6,0)</f>
        <v>5.0498848989254129E-2</v>
      </c>
      <c r="F39" s="25">
        <f>IFERROR(HistoricalFS!F107/HistoricalFS!F6,0)</f>
        <v>3.8266219521420099E-2</v>
      </c>
      <c r="G39" s="25">
        <f>IFERROR(HistoricalFS!G107/HistoricalFS!G6,0)</f>
        <v>4.8558523800654549E-2</v>
      </c>
      <c r="H39" s="25">
        <f>IFERROR(HistoricalFS!H107/HistoricalFS!H6,0)</f>
        <v>4.0332884768042421E-2</v>
      </c>
      <c r="I39" s="25">
        <f>IFERROR(HistoricalFS!I107/HistoricalFS!I6,0)</f>
        <v>5.1472847021736857E-2</v>
      </c>
      <c r="J39" s="25">
        <f>IFERROR(HistoricalFS!J107/HistoricalFS!J6,0)</f>
        <v>5.6957982956592913E-2</v>
      </c>
      <c r="K39" s="25">
        <f>IFERROR(HistoricalFS!K107/HistoricalFS!K6,0)</f>
        <v>4.4303268276006114E-2</v>
      </c>
      <c r="L39" s="39">
        <f>IFERROR(HistoricalFS!L107/HistoricalFS!L6,0)</f>
        <v>6.1398156283584616E-2</v>
      </c>
      <c r="M39" s="40"/>
      <c r="N39" s="39">
        <f t="shared" ref="N39:N41" si="18">IFERROR(AVERAGE(C39:L39),0)</f>
        <v>4.6854600513088998E-2</v>
      </c>
      <c r="O39" s="39">
        <f t="shared" ref="O39:O41" si="19">IFERROR(MEDIAN(C39:L39),0)</f>
        <v>4.6430896038330331E-2</v>
      </c>
    </row>
    <row r="40" spans="2:15">
      <c r="B40" s="4" t="s">
        <v>142</v>
      </c>
      <c r="C40" s="27">
        <f>IFERROR(HistoricalFS!C107/HistoricalFS!C64,0)</f>
        <v>0.10961192708765524</v>
      </c>
      <c r="D40" s="27">
        <f>IFERROR(HistoricalFS!D107/HistoricalFS!D64,0)</f>
        <v>9.4283615238596769E-2</v>
      </c>
      <c r="E40" s="27">
        <f>IFERROR(HistoricalFS!E107/HistoricalFS!E64,0)</f>
        <v>0.13975870207250546</v>
      </c>
      <c r="F40" s="27">
        <f>IFERROR(HistoricalFS!F107/HistoricalFS!F64,0)</f>
        <v>7.8236482863859438E-2</v>
      </c>
      <c r="G40" s="27">
        <f>IFERROR(HistoricalFS!G107/HistoricalFS!G64,0)</f>
        <v>0.12924248701360785</v>
      </c>
      <c r="H40" s="27">
        <f>IFERROR(HistoricalFS!H107/HistoricalFS!H64,0)</f>
        <v>0.11517236457069446</v>
      </c>
      <c r="I40" s="27">
        <f>IFERROR(HistoricalFS!I107/HistoricalFS!I64,0)</f>
        <v>0.1060055514335683</v>
      </c>
      <c r="J40" s="27">
        <f>IFERROR(HistoricalFS!J107/HistoricalFS!J64,0)</f>
        <v>0.10070559975979583</v>
      </c>
      <c r="K40" s="27">
        <f>IFERROR(HistoricalFS!K107/HistoricalFS!K64,0)</f>
        <v>8.870478793198619E-2</v>
      </c>
      <c r="L40" s="27">
        <f>IFERROR(HistoricalFS!L107/HistoricalFS!L64,0)</f>
        <v>0.14528250403766574</v>
      </c>
      <c r="M40" s="4"/>
      <c r="N40" s="27">
        <f t="shared" si="18"/>
        <v>0.11070040220099353</v>
      </c>
      <c r="O40" s="27">
        <f t="shared" si="19"/>
        <v>0.10780873926061177</v>
      </c>
    </row>
    <row r="41" spans="2:15">
      <c r="B41" s="28" t="s">
        <v>143</v>
      </c>
      <c r="C41" s="29">
        <f>IFERROR(HistoricalFS!C107/HistoricalFS!C49,0)</f>
        <v>0.30919759058706026</v>
      </c>
      <c r="D41" s="29">
        <f>IFERROR(HistoricalFS!D107/HistoricalFS!D49,0)</f>
        <v>0.24552672903810852</v>
      </c>
      <c r="E41" s="29">
        <f>IFERROR(HistoricalFS!E107/HistoricalFS!E49,0)</f>
        <v>0.36354563295704251</v>
      </c>
      <c r="F41" s="29">
        <f>IFERROR(HistoricalFS!F107/HistoricalFS!F49,0)</f>
        <v>0.30406325969064729</v>
      </c>
      <c r="G41" s="29">
        <f>IFERROR(HistoricalFS!G107/HistoricalFS!G49,0)</f>
        <v>1.661900967558338</v>
      </c>
      <c r="H41" s="29">
        <f>IFERROR(HistoricalFS!H107/HistoricalFS!H49,0)</f>
        <v>1.15238163250732</v>
      </c>
      <c r="I41" s="29">
        <f>IFERROR(HistoricalFS!I107/HistoricalFS!I49,0)</f>
        <v>3.8420720909991299</v>
      </c>
      <c r="J41" s="29">
        <f>IFERROR(HistoricalFS!J107/HistoricalFS!J49,0)</f>
        <v>3.5016678974306745</v>
      </c>
      <c r="K41" s="29">
        <f>IFERROR(HistoricalFS!K107/HistoricalFS!K49,0)</f>
        <v>2.1212940921878376</v>
      </c>
      <c r="L41" s="41">
        <f>IFERROR(HistoricalFS!L107/HistoricalFS!L49,0)</f>
        <v>4.0907493234626271</v>
      </c>
      <c r="M41" s="42"/>
      <c r="N41" s="41">
        <f t="shared" si="18"/>
        <v>1.7592399216418788</v>
      </c>
      <c r="O41" s="41">
        <f t="shared" si="19"/>
        <v>1.407141300032829</v>
      </c>
    </row>
  </sheetData>
  <mergeCells count="1">
    <mergeCell ref="B2:O2"/>
  </mergeCells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3999755851924192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Analysis'!$D$5:$L$5</xm:f>
              <xm:sqref>M5</xm:sqref>
            </x14:sparkline>
          </x14:sparklines>
        </x14:sparklineGroup>
        <x14:sparklineGroup displayEmptyCellsAs="gap" markers="1">
          <x14:colorSeries theme="4" tint="0.3999755851924192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4" tint="0.3999755851924192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40"/>
  <sheetViews>
    <sheetView showGridLines="0" tabSelected="1" topLeftCell="A6" zoomScaleNormal="100" workbookViewId="0">
      <selection activeCell="Q15" sqref="Q15"/>
    </sheetView>
  </sheetViews>
  <sheetFormatPr defaultRowHeight="15"/>
  <cols>
    <col min="1" max="1" width="1.85546875" customWidth="1"/>
    <col min="2" max="2" width="18.5703125" customWidth="1"/>
    <col min="3" max="3" width="9.140625" customWidth="1"/>
    <col min="5" max="5" width="11.85546875" customWidth="1"/>
    <col min="8" max="8" width="9.5703125" bestFit="1" customWidth="1"/>
    <col min="10" max="10" width="1.85546875" customWidth="1"/>
    <col min="14" max="14" width="1.85546875" customWidth="1"/>
    <col min="15" max="15" width="13" customWidth="1"/>
    <col min="16" max="16" width="10.42578125" bestFit="1" customWidth="1"/>
    <col min="17" max="17" width="13.85546875" customWidth="1"/>
  </cols>
  <sheetData>
    <row r="6" spans="2:17">
      <c r="B6" s="18" t="s">
        <v>505</v>
      </c>
    </row>
    <row r="7" spans="2:17">
      <c r="B7" s="253" t="s">
        <v>452</v>
      </c>
      <c r="C7" s="213"/>
      <c r="D7" s="213"/>
      <c r="E7" s="213"/>
      <c r="F7" s="213"/>
      <c r="G7" s="213"/>
      <c r="H7" s="213"/>
      <c r="I7" s="213"/>
      <c r="J7" s="213"/>
      <c r="K7" s="213"/>
    </row>
    <row r="8" spans="2:17" ht="4.5" customHeight="1"/>
    <row r="9" spans="2:17">
      <c r="B9" s="145"/>
      <c r="C9" s="145"/>
      <c r="D9" s="252" t="s">
        <v>456</v>
      </c>
      <c r="E9" s="252"/>
      <c r="F9" s="252"/>
      <c r="G9" s="252"/>
      <c r="H9" s="252"/>
      <c r="I9" s="145"/>
      <c r="J9" s="145"/>
      <c r="K9" s="252" t="s">
        <v>459</v>
      </c>
      <c r="L9" s="252"/>
      <c r="M9" s="252"/>
      <c r="N9" s="145"/>
      <c r="O9" s="252" t="s">
        <v>458</v>
      </c>
      <c r="P9" s="252"/>
      <c r="Q9" s="252"/>
    </row>
    <row r="10" spans="2:17" ht="30" customHeight="1">
      <c r="B10" s="145" t="s">
        <v>448</v>
      </c>
      <c r="C10" s="145" t="s">
        <v>449</v>
      </c>
      <c r="D10" s="254" t="s">
        <v>450</v>
      </c>
      <c r="E10" s="254" t="s">
        <v>451</v>
      </c>
      <c r="F10" s="254" t="s">
        <v>454</v>
      </c>
      <c r="G10" s="254" t="s">
        <v>453</v>
      </c>
      <c r="H10" s="254" t="s">
        <v>455</v>
      </c>
      <c r="I10" s="165"/>
      <c r="J10" s="165"/>
      <c r="K10" s="165" t="s">
        <v>157</v>
      </c>
      <c r="L10" s="165" t="s">
        <v>67</v>
      </c>
      <c r="M10" s="254" t="s">
        <v>457</v>
      </c>
      <c r="N10" s="165"/>
      <c r="O10" s="165" t="s">
        <v>493</v>
      </c>
      <c r="P10" s="165" t="s">
        <v>494</v>
      </c>
      <c r="Q10" s="165" t="s">
        <v>495</v>
      </c>
    </row>
    <row r="11" spans="2:17" s="78" customFormat="1" ht="4.5" customHeight="1">
      <c r="B11" s="130"/>
      <c r="C11" s="130"/>
      <c r="D11" s="255"/>
      <c r="E11" s="255"/>
      <c r="F11" s="255"/>
      <c r="G11" s="255"/>
      <c r="H11" s="255"/>
      <c r="I11" s="256"/>
      <c r="J11" s="256"/>
      <c r="K11" s="256"/>
      <c r="L11" s="256"/>
      <c r="M11" s="255"/>
      <c r="N11" s="256"/>
      <c r="O11" s="256"/>
      <c r="P11" s="256"/>
      <c r="Q11" s="256"/>
    </row>
    <row r="12" spans="2:17">
      <c r="B12" s="260" t="str">
        <f>Data!C3</f>
        <v>Avenue Super.</v>
      </c>
      <c r="C12" s="260"/>
      <c r="D12" s="261">
        <f>Data!D3</f>
        <v>4525.6000000000004</v>
      </c>
      <c r="E12" s="265">
        <f>Data!E3</f>
        <v>65.069999999999993</v>
      </c>
      <c r="F12" s="261">
        <f>D12*E12</f>
        <v>294480.79200000002</v>
      </c>
      <c r="G12" s="261">
        <f>Data!I3</f>
        <v>-777.94999999999993</v>
      </c>
      <c r="H12" s="261">
        <f>F12+G12</f>
        <v>293702.842</v>
      </c>
      <c r="I12" s="261"/>
      <c r="J12" s="261"/>
      <c r="K12" s="261">
        <f>Data!K3</f>
        <v>48656.39</v>
      </c>
      <c r="L12" s="261">
        <f>Data!L3</f>
        <v>4073.3783746365775</v>
      </c>
      <c r="M12" s="261">
        <f>Data!M3</f>
        <v>2432.5700000000002</v>
      </c>
      <c r="N12" s="261"/>
      <c r="O12" s="262">
        <f>$H12/K12</f>
        <v>6.036264548191923</v>
      </c>
      <c r="P12" s="262">
        <f>$H12/L12</f>
        <v>72.103010078508575</v>
      </c>
      <c r="Q12" s="263">
        <f>F12/M12</f>
        <v>121.05747912701382</v>
      </c>
    </row>
    <row r="13" spans="2:17">
      <c r="B13" s="257" t="str">
        <f>Data!C4</f>
        <v>Trent</v>
      </c>
      <c r="C13" s="257"/>
      <c r="D13" s="258">
        <f>Data!D4</f>
        <v>3948</v>
      </c>
      <c r="E13" s="266">
        <f>Data!E4</f>
        <v>35.549999999999997</v>
      </c>
      <c r="F13" s="258">
        <f t="shared" ref="F13:F20" si="0">D13*E13</f>
        <v>140351.4</v>
      </c>
      <c r="G13" s="258">
        <f>Data!I4</f>
        <v>4753.03</v>
      </c>
      <c r="H13" s="258">
        <f t="shared" ref="H13:H20" si="1">F13+G13</f>
        <v>145104.43</v>
      </c>
      <c r="I13" s="258"/>
      <c r="J13" s="258"/>
      <c r="K13" s="258">
        <f>Data!K4</f>
        <v>11260.16</v>
      </c>
      <c r="L13" s="258">
        <f>Data!L4</f>
        <v>2041.5867117117116</v>
      </c>
      <c r="M13" s="258">
        <f>Data!M4</f>
        <v>810.32</v>
      </c>
      <c r="N13" s="258"/>
      <c r="O13" s="259">
        <f t="shared" ref="O13:O20" si="2">$H13/K13</f>
        <v>12.886533583892236</v>
      </c>
      <c r="P13" s="259">
        <f t="shared" ref="P13:P20" si="3">$H13/L13</f>
        <v>71.074340936683129</v>
      </c>
      <c r="Q13" s="264">
        <f t="shared" ref="Q13:Q20" si="4">F13/M13</f>
        <v>173.20490670352453</v>
      </c>
    </row>
    <row r="14" spans="2:17">
      <c r="B14" s="257" t="str">
        <f>Data!C5</f>
        <v>Vedant Fashions</v>
      </c>
      <c r="C14" s="257"/>
      <c r="D14" s="258">
        <f>Data!D5</f>
        <v>926.5</v>
      </c>
      <c r="E14" s="266">
        <f>Data!E5</f>
        <v>24.29</v>
      </c>
      <c r="F14" s="258">
        <f t="shared" si="0"/>
        <v>22504.684999999998</v>
      </c>
      <c r="G14" s="258">
        <f>Data!I5</f>
        <v>355.01</v>
      </c>
      <c r="H14" s="258">
        <f t="shared" si="1"/>
        <v>22859.694999999996</v>
      </c>
      <c r="I14" s="258"/>
      <c r="J14" s="258"/>
      <c r="K14" s="258">
        <f>Data!K5</f>
        <v>1346.01</v>
      </c>
      <c r="L14" s="258">
        <f>Data!L5</f>
        <v>709.92515527950309</v>
      </c>
      <c r="M14" s="258">
        <f>Data!M5</f>
        <v>407.25</v>
      </c>
      <c r="N14" s="258"/>
      <c r="O14" s="259">
        <f t="shared" si="2"/>
        <v>16.983302501467296</v>
      </c>
      <c r="P14" s="259">
        <f t="shared" si="3"/>
        <v>32.200147902915141</v>
      </c>
      <c r="Q14" s="264">
        <f t="shared" si="4"/>
        <v>55.260122774708407</v>
      </c>
    </row>
    <row r="15" spans="2:17">
      <c r="B15" s="257" t="str">
        <f>Data!C6</f>
        <v>Redtape</v>
      </c>
      <c r="C15" s="257"/>
      <c r="D15" s="258">
        <f>Data!D6</f>
        <v>657.95</v>
      </c>
      <c r="E15" s="266">
        <f>Data!E6</f>
        <v>13.82</v>
      </c>
      <c r="F15" s="258">
        <f t="shared" si="0"/>
        <v>9092.8690000000006</v>
      </c>
      <c r="G15" s="258">
        <f>Data!I6</f>
        <v>444.64</v>
      </c>
      <c r="H15" s="258">
        <f t="shared" si="1"/>
        <v>9537.509</v>
      </c>
      <c r="I15" s="258"/>
      <c r="J15" s="258"/>
      <c r="K15" s="258">
        <f>Data!K6</f>
        <v>1714.85</v>
      </c>
      <c r="L15" s="258">
        <f>Data!L6</f>
        <v>311.40515834149528</v>
      </c>
      <c r="M15" s="258">
        <f>Data!M6</f>
        <v>169.84</v>
      </c>
      <c r="N15" s="258"/>
      <c r="O15" s="259">
        <f t="shared" si="2"/>
        <v>5.5617161850890753</v>
      </c>
      <c r="P15" s="259">
        <f t="shared" si="3"/>
        <v>30.62733145075558</v>
      </c>
      <c r="Q15" s="264">
        <f t="shared" si="4"/>
        <v>53.537853273669342</v>
      </c>
    </row>
    <row r="16" spans="2:17">
      <c r="B16" s="257" t="str">
        <f>Data!C7</f>
        <v>Medplus Health</v>
      </c>
      <c r="C16" s="257"/>
      <c r="D16" s="258">
        <f>Data!D7</f>
        <v>687.85</v>
      </c>
      <c r="E16" s="266">
        <f>Data!E7</f>
        <v>11.95</v>
      </c>
      <c r="F16" s="258">
        <f t="shared" si="0"/>
        <v>8219.807499999999</v>
      </c>
      <c r="G16" s="258">
        <f>Data!I7</f>
        <v>674.24</v>
      </c>
      <c r="H16" s="258">
        <f t="shared" si="1"/>
        <v>8894.0474999999988</v>
      </c>
      <c r="I16" s="258"/>
      <c r="J16" s="258"/>
      <c r="K16" s="258">
        <f>Data!K7</f>
        <v>5387.34</v>
      </c>
      <c r="L16" s="258">
        <f>Data!L7</f>
        <v>373.10672757475083</v>
      </c>
      <c r="M16" s="258">
        <f>Data!M7</f>
        <v>58.58</v>
      </c>
      <c r="N16" s="258"/>
      <c r="O16" s="259">
        <f t="shared" si="2"/>
        <v>1.6509163149160808</v>
      </c>
      <c r="P16" s="259">
        <f t="shared" si="3"/>
        <v>23.837810585224847</v>
      </c>
      <c r="Q16" s="264">
        <f t="shared" si="4"/>
        <v>140.31764254011605</v>
      </c>
    </row>
    <row r="17" spans="2:17">
      <c r="B17" s="257" t="str">
        <f>Data!C8</f>
        <v>Electronics Mart</v>
      </c>
      <c r="C17" s="257"/>
      <c r="D17" s="258">
        <f>Data!D8</f>
        <v>191.55</v>
      </c>
      <c r="E17" s="266">
        <f>Data!E8</f>
        <v>38.47</v>
      </c>
      <c r="F17" s="258">
        <f t="shared" si="0"/>
        <v>7368.9285</v>
      </c>
      <c r="G17" s="258">
        <f>Data!I8</f>
        <v>901.1</v>
      </c>
      <c r="H17" s="258">
        <f t="shared" si="1"/>
        <v>8270.0285000000003</v>
      </c>
      <c r="I17" s="258"/>
      <c r="J17" s="258"/>
      <c r="K17" s="258">
        <f>Data!K8</f>
        <v>6118.8</v>
      </c>
      <c r="L17" s="258">
        <f>Data!L8</f>
        <v>445.39714436805917</v>
      </c>
      <c r="M17" s="258">
        <f>Data!M8</f>
        <v>179.52</v>
      </c>
      <c r="N17" s="258"/>
      <c r="O17" s="259">
        <f t="shared" si="2"/>
        <v>1.3515768614761063</v>
      </c>
      <c r="P17" s="259">
        <f t="shared" si="3"/>
        <v>18.567762736183969</v>
      </c>
      <c r="Q17" s="264">
        <f t="shared" si="4"/>
        <v>41.04795287433155</v>
      </c>
    </row>
    <row r="18" spans="2:17">
      <c r="B18" s="257" t="str">
        <f>Data!C9</f>
        <v>Ethos Ltd</v>
      </c>
      <c r="C18" s="257"/>
      <c r="D18" s="258">
        <f>Data!D9</f>
        <v>2587.4499999999998</v>
      </c>
      <c r="E18" s="266">
        <f>Data!E9</f>
        <v>2.4500000000000002</v>
      </c>
      <c r="F18" s="258">
        <f t="shared" si="0"/>
        <v>6339.2524999999996</v>
      </c>
      <c r="G18" s="258">
        <f>Data!I9</f>
        <v>-83.78</v>
      </c>
      <c r="H18" s="258">
        <f t="shared" si="1"/>
        <v>6255.4724999999999</v>
      </c>
      <c r="I18" s="258"/>
      <c r="J18" s="258"/>
      <c r="K18" s="258">
        <f>Data!K9</f>
        <v>952.98</v>
      </c>
      <c r="L18" s="258">
        <f>Data!L9</f>
        <v>161.05696040868455</v>
      </c>
      <c r="M18" s="258">
        <f>Data!M9</f>
        <v>75.34</v>
      </c>
      <c r="N18" s="258"/>
      <c r="O18" s="259">
        <f t="shared" si="2"/>
        <v>6.5641172952213056</v>
      </c>
      <c r="P18" s="259">
        <f t="shared" si="3"/>
        <v>38.840125158991206</v>
      </c>
      <c r="Q18" s="264">
        <f t="shared" si="4"/>
        <v>84.141923281125557</v>
      </c>
    </row>
    <row r="19" spans="2:17">
      <c r="B19" s="257" t="str">
        <f>Data!C12</f>
        <v>Sai Silks</v>
      </c>
      <c r="C19" s="257"/>
      <c r="D19" s="258">
        <f>Data!D12</f>
        <v>200.4</v>
      </c>
      <c r="E19" s="266">
        <f>Data!E12</f>
        <v>15.34</v>
      </c>
      <c r="F19" s="258">
        <f t="shared" si="0"/>
        <v>3074.136</v>
      </c>
      <c r="G19" s="258">
        <f>Data!I12</f>
        <v>470.17</v>
      </c>
      <c r="H19" s="258">
        <f t="shared" si="1"/>
        <v>3544.306</v>
      </c>
      <c r="I19" s="258"/>
      <c r="J19" s="258"/>
      <c r="K19" s="258">
        <f>Data!K12</f>
        <v>1337.84</v>
      </c>
      <c r="L19" s="258">
        <f>Data!L12</f>
        <v>226.92056074766353</v>
      </c>
      <c r="M19" s="258">
        <f>Data!M12</f>
        <v>92.38</v>
      </c>
      <c r="N19" s="258"/>
      <c r="O19" s="259">
        <f>$H19/K19</f>
        <v>2.6492749506667468</v>
      </c>
      <c r="P19" s="259">
        <f t="shared" si="3"/>
        <v>15.619148781944361</v>
      </c>
      <c r="Q19" s="264">
        <f t="shared" si="4"/>
        <v>33.277072959515046</v>
      </c>
    </row>
    <row r="20" spans="2:17">
      <c r="B20" s="257" t="str">
        <f>Data!C11</f>
        <v>V-Mart Retail</v>
      </c>
      <c r="C20" s="257"/>
      <c r="D20" s="258">
        <f>Data!D10</f>
        <v>987.45</v>
      </c>
      <c r="E20" s="266">
        <f>Data!E10</f>
        <v>4.3499999999999996</v>
      </c>
      <c r="F20" s="258">
        <f t="shared" si="0"/>
        <v>4295.4075000000003</v>
      </c>
      <c r="G20" s="258">
        <f>Data!I10</f>
        <v>330.91999999999996</v>
      </c>
      <c r="H20" s="258">
        <f t="shared" si="1"/>
        <v>4626.3275000000003</v>
      </c>
      <c r="I20" s="258"/>
      <c r="J20" s="258"/>
      <c r="K20" s="258">
        <f>Data!K10</f>
        <v>3300.21</v>
      </c>
      <c r="L20" s="258">
        <f>Data!L10</f>
        <v>69.517733694018631</v>
      </c>
      <c r="M20" s="258">
        <f>Data!M10</f>
        <v>-11.11</v>
      </c>
      <c r="N20" s="258"/>
      <c r="O20" s="259">
        <f t="shared" si="2"/>
        <v>1.401828216992252</v>
      </c>
      <c r="P20" s="259">
        <f t="shared" si="3"/>
        <v>66.548882625586131</v>
      </c>
      <c r="Q20" s="264">
        <f t="shared" si="4"/>
        <v>-386.6253375337534</v>
      </c>
    </row>
    <row r="21" spans="2:17">
      <c r="B21" s="257" t="str">
        <f>Data!C12</f>
        <v>Sai Silks</v>
      </c>
      <c r="C21" s="257"/>
      <c r="D21" s="258">
        <f>Data!D11</f>
        <v>2153.9499999999998</v>
      </c>
      <c r="E21" s="266">
        <f>Data!E11</f>
        <v>1.98</v>
      </c>
      <c r="F21" s="258">
        <f t="shared" ref="F21" si="5">D21*E21</f>
        <v>4264.8209999999999</v>
      </c>
      <c r="G21" s="258">
        <f>Data!I11</f>
        <v>1399</v>
      </c>
      <c r="H21" s="258">
        <f t="shared" ref="H21" si="6">F21+G21</f>
        <v>5663.8209999999999</v>
      </c>
      <c r="I21" s="258"/>
      <c r="J21" s="258"/>
      <c r="K21" s="258">
        <f>Data!K11</f>
        <v>2710.91</v>
      </c>
      <c r="L21" s="258">
        <f>Data!L11</f>
        <v>219.79270186335401</v>
      </c>
      <c r="M21" s="258">
        <f>Data!M11</f>
        <v>-94.8</v>
      </c>
      <c r="N21" s="258"/>
      <c r="O21" s="259">
        <f t="shared" ref="O21" si="7">$H21/K21</f>
        <v>2.0892692859593276</v>
      </c>
      <c r="P21" s="259">
        <f t="shared" ref="P21" si="8">$H21/L21</f>
        <v>25.768922043286132</v>
      </c>
      <c r="Q21" s="264">
        <f t="shared" ref="Q21" si="9">F21/M21</f>
        <v>-44.987563291139239</v>
      </c>
    </row>
    <row r="22" spans="2:17" ht="4.5" customHeight="1"/>
    <row r="23" spans="2:17">
      <c r="B23" s="270" t="s">
        <v>496</v>
      </c>
      <c r="C23" s="270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1">
        <f>MAX(O12:O21)</f>
        <v>16.983302501467296</v>
      </c>
      <c r="P23" s="271">
        <f>MAX(P12:P21)</f>
        <v>72.103010078508575</v>
      </c>
      <c r="Q23" s="271">
        <f t="shared" ref="Q23" si="10">MAX(Q12:Q21)</f>
        <v>173.20490670352453</v>
      </c>
    </row>
    <row r="24" spans="2:17">
      <c r="B24" s="270" t="s">
        <v>498</v>
      </c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>
        <f>QUARTILE(O12:O21,)</f>
        <v>1.3515768614761063</v>
      </c>
      <c r="P24" s="270">
        <f t="shared" ref="P24" si="11">QUARTILE(P12:P21,)</f>
        <v>15.619148781944361</v>
      </c>
      <c r="Q24" s="270">
        <f>QUARTILE(Q12:Q19,)</f>
        <v>33.277072959515046</v>
      </c>
    </row>
    <row r="25" spans="2:17">
      <c r="B25" s="272" t="s">
        <v>236</v>
      </c>
      <c r="C25" s="272"/>
      <c r="D25" s="272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3">
        <f>AVERAGE(O12:O21)</f>
        <v>5.7174799743872349</v>
      </c>
      <c r="P25" s="273">
        <f t="shared" ref="P25:Q25" si="12">AVERAGE(P12:P21)</f>
        <v>39.518748230007908</v>
      </c>
      <c r="Q25" s="273">
        <f t="shared" si="12"/>
        <v>27.023205270911166</v>
      </c>
    </row>
    <row r="26" spans="2:17">
      <c r="B26" s="272" t="s">
        <v>153</v>
      </c>
      <c r="C26" s="272"/>
      <c r="D26" s="272"/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3">
        <f>MEDIAN(O12:O21)</f>
        <v>4.1054955678779113</v>
      </c>
      <c r="P26" s="273">
        <f t="shared" ref="P26:Q26" si="13">MEDIAN(P12:P21)</f>
        <v>31.413739676835363</v>
      </c>
      <c r="Q26" s="273">
        <f t="shared" si="13"/>
        <v>54.398988024188874</v>
      </c>
    </row>
    <row r="27" spans="2:17">
      <c r="B27" s="270" t="s">
        <v>499</v>
      </c>
      <c r="C27" s="270"/>
      <c r="D27" s="270"/>
      <c r="E27" s="270"/>
      <c r="F27" s="270"/>
      <c r="G27" s="270"/>
      <c r="H27" s="270"/>
      <c r="I27" s="270"/>
      <c r="J27" s="270"/>
      <c r="K27" s="270"/>
      <c r="L27" s="270"/>
      <c r="M27" s="270"/>
      <c r="N27" s="270"/>
      <c r="O27" s="270">
        <f>QUARTILE(O12:O21,)</f>
        <v>1.3515768614761063</v>
      </c>
      <c r="P27" s="270">
        <f t="shared" ref="P27" si="14">QUARTILE(P12:P21,)</f>
        <v>15.619148781944361</v>
      </c>
      <c r="Q27" s="270">
        <f>QUARTILE(Q12:Q19,)</f>
        <v>33.277072959515046</v>
      </c>
    </row>
    <row r="28" spans="2:17">
      <c r="B28" s="270" t="s">
        <v>497</v>
      </c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1">
        <f>MIN(O12:O21)</f>
        <v>1.3515768614761063</v>
      </c>
      <c r="P28" s="271">
        <f t="shared" ref="P28" si="15">MIN(P12:P21)</f>
        <v>15.619148781944361</v>
      </c>
      <c r="Q28" s="271">
        <f>MIN(Q12:Q19)</f>
        <v>33.277072959515046</v>
      </c>
    </row>
    <row r="30" spans="2:17">
      <c r="B30" s="145" t="s">
        <v>500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65" t="s">
        <v>493</v>
      </c>
      <c r="P30" s="165" t="s">
        <v>494</v>
      </c>
      <c r="Q30" s="165" t="s">
        <v>495</v>
      </c>
    </row>
    <row r="31" spans="2:17" s="78" customFormat="1" ht="4.5" customHeight="1"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256"/>
      <c r="P31" s="256"/>
      <c r="Q31" s="256"/>
    </row>
    <row r="32" spans="2:17">
      <c r="B32" s="21" t="s">
        <v>501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67">
        <f>O$26*K12</f>
        <v>199758.59349393912</v>
      </c>
      <c r="P32" s="267">
        <f>P$26*L12</f>
        <v>127960.04786608419</v>
      </c>
      <c r="Q32" s="267">
        <f>Q34+Q33</f>
        <v>131551.39629800111</v>
      </c>
    </row>
    <row r="33" spans="2:17">
      <c r="B33" s="21" t="s">
        <v>453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67">
        <f>$G$12</f>
        <v>-777.94999999999993</v>
      </c>
      <c r="P33" s="267">
        <f t="shared" ref="P33:Q33" si="16">$G$12</f>
        <v>-777.94999999999993</v>
      </c>
      <c r="Q33" s="267">
        <f t="shared" si="16"/>
        <v>-777.94999999999993</v>
      </c>
    </row>
    <row r="34" spans="2:17">
      <c r="B34" s="21" t="s">
        <v>502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67">
        <f>SUM(O32:O33)</f>
        <v>198980.6434939391</v>
      </c>
      <c r="P34" s="267">
        <f t="shared" ref="P34" si="17">SUM(P32:P33)</f>
        <v>127182.09786608419</v>
      </c>
      <c r="Q34" s="267">
        <f>Q26*M12</f>
        <v>132329.34629800112</v>
      </c>
    </row>
    <row r="35" spans="2:17">
      <c r="B35" s="21" t="s">
        <v>451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67">
        <f>$E$12</f>
        <v>65.069999999999993</v>
      </c>
      <c r="P35" s="267">
        <f t="shared" ref="P35:Q35" si="18">$E$12</f>
        <v>65.069999999999993</v>
      </c>
      <c r="Q35" s="267">
        <f t="shared" si="18"/>
        <v>65.069999999999993</v>
      </c>
    </row>
    <row r="36" spans="2:17" ht="4.5" customHeight="1">
      <c r="O36" s="268"/>
      <c r="P36" s="268"/>
      <c r="Q36" s="268"/>
    </row>
    <row r="37" spans="2:17">
      <c r="B37" s="275" t="s">
        <v>503</v>
      </c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6">
        <f>O34/O35</f>
        <v>3057.947494912235</v>
      </c>
      <c r="P37" s="276">
        <f t="shared" ref="P37:Q37" si="19">P34/P35</f>
        <v>1954.5427672673154</v>
      </c>
      <c r="Q37" s="276">
        <f t="shared" si="19"/>
        <v>2033.6460165667918</v>
      </c>
    </row>
    <row r="38" spans="2:17" ht="4.5" customHeight="1"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269"/>
      <c r="P38" s="269"/>
      <c r="Q38" s="269"/>
    </row>
    <row r="39" spans="2:17">
      <c r="B39" s="274" t="s">
        <v>504</v>
      </c>
    </row>
    <row r="40" spans="2:17">
      <c r="O40" s="87" t="str">
        <f>IF(O37&gt;$D$12,"Undervalued","Overvalued")</f>
        <v>Overvalued</v>
      </c>
      <c r="P40" s="87" t="str">
        <f t="shared" ref="P40:Q40" si="20">IF(P37&gt;$D$12,"Undervalued","Overvalued")</f>
        <v>Overvalued</v>
      </c>
      <c r="Q40" s="87" t="str">
        <f t="shared" si="20"/>
        <v>Overvalued</v>
      </c>
    </row>
  </sheetData>
  <mergeCells count="3">
    <mergeCell ref="D9:H9"/>
    <mergeCell ref="K9:M9"/>
    <mergeCell ref="O9:Q9"/>
  </mergeCells>
  <pageMargins left="0.7" right="0.7" top="0.75" bottom="0.75" header="0.3" footer="0.3"/>
  <pageSetup scale="77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J7" sqref="J7"/>
    </sheetView>
  </sheetViews>
  <sheetFormatPr defaultRowHeight="15"/>
  <cols>
    <col min="3" max="3" width="17.28515625" bestFit="1" customWidth="1"/>
    <col min="4" max="5" width="9.28515625" bestFit="1" customWidth="1"/>
    <col min="6" max="6" width="18.5703125" customWidth="1"/>
    <col min="7" max="8" width="9.28515625" bestFit="1" customWidth="1"/>
    <col min="9" max="10" width="9.28515625" customWidth="1"/>
    <col min="11" max="11" width="9.28515625" bestFit="1" customWidth="1"/>
    <col min="13" max="13" width="9.28515625" bestFit="1" customWidth="1"/>
  </cols>
  <sheetData>
    <row r="2" spans="2:13">
      <c r="B2" t="s">
        <v>158</v>
      </c>
      <c r="C2" t="s">
        <v>159</v>
      </c>
      <c r="D2" t="s">
        <v>160</v>
      </c>
      <c r="E2" t="s">
        <v>460</v>
      </c>
      <c r="F2" t="s">
        <v>491</v>
      </c>
      <c r="G2" t="s">
        <v>162</v>
      </c>
      <c r="H2" t="s">
        <v>461</v>
      </c>
      <c r="I2" t="s">
        <v>453</v>
      </c>
      <c r="J2" t="s">
        <v>492</v>
      </c>
      <c r="K2" t="s">
        <v>462</v>
      </c>
      <c r="L2" t="s">
        <v>67</v>
      </c>
      <c r="M2" t="s">
        <v>463</v>
      </c>
    </row>
    <row r="3" spans="2:13">
      <c r="B3">
        <v>1</v>
      </c>
      <c r="C3" t="s">
        <v>164</v>
      </c>
      <c r="D3" s="85">
        <v>4525.6000000000004</v>
      </c>
      <c r="E3" s="85">
        <v>65.069999999999993</v>
      </c>
      <c r="F3" s="85">
        <f>D3*E3</f>
        <v>294480.79200000002</v>
      </c>
      <c r="G3" s="85">
        <v>630.38</v>
      </c>
      <c r="H3" s="85">
        <v>1408.33</v>
      </c>
      <c r="I3" s="85">
        <f>G3-H3</f>
        <v>-777.94999999999993</v>
      </c>
      <c r="J3" s="85">
        <f>F3+G3-H3</f>
        <v>293702.842</v>
      </c>
      <c r="K3" s="85">
        <v>48656.39</v>
      </c>
      <c r="L3" s="85">
        <v>4073.3783746365775</v>
      </c>
      <c r="M3" s="85">
        <v>2432.5700000000002</v>
      </c>
    </row>
    <row r="4" spans="2:13">
      <c r="B4">
        <v>2</v>
      </c>
      <c r="C4" t="s">
        <v>165</v>
      </c>
      <c r="D4" s="85">
        <v>3948</v>
      </c>
      <c r="E4" s="85">
        <v>35.549999999999997</v>
      </c>
      <c r="F4" s="85">
        <f t="shared" ref="F4:F12" si="0">D4*E4</f>
        <v>140351.4</v>
      </c>
      <c r="G4" s="85">
        <v>4839.33</v>
      </c>
      <c r="H4" s="85">
        <v>86.3</v>
      </c>
      <c r="I4" s="85">
        <f t="shared" ref="I4:I12" si="1">G4-H4</f>
        <v>4753.03</v>
      </c>
      <c r="J4" s="85">
        <f t="shared" ref="J4:J12" si="2">F4+G4-H4</f>
        <v>145104.43</v>
      </c>
      <c r="K4" s="85">
        <v>11260.16</v>
      </c>
      <c r="L4" s="85">
        <v>2041.5867117117116</v>
      </c>
      <c r="M4" s="85">
        <v>810.32</v>
      </c>
    </row>
    <row r="5" spans="2:13">
      <c r="B5">
        <v>3</v>
      </c>
      <c r="C5" t="s">
        <v>166</v>
      </c>
      <c r="D5" s="85">
        <v>926.5</v>
      </c>
      <c r="E5" s="85">
        <v>24.29</v>
      </c>
      <c r="F5" s="85">
        <f t="shared" si="0"/>
        <v>22504.684999999998</v>
      </c>
      <c r="G5" s="85">
        <v>365.02</v>
      </c>
      <c r="H5" s="85">
        <v>10.01</v>
      </c>
      <c r="I5" s="85">
        <f t="shared" si="1"/>
        <v>355.01</v>
      </c>
      <c r="J5" s="85">
        <f t="shared" si="2"/>
        <v>22859.695</v>
      </c>
      <c r="K5" s="85">
        <v>1346.01</v>
      </c>
      <c r="L5" s="85">
        <v>709.92515527950309</v>
      </c>
      <c r="M5" s="85">
        <v>407.25</v>
      </c>
    </row>
    <row r="6" spans="2:13">
      <c r="B6">
        <v>4</v>
      </c>
      <c r="C6" t="s">
        <v>464</v>
      </c>
      <c r="D6" s="85">
        <v>657.95</v>
      </c>
      <c r="E6" s="85">
        <v>13.82</v>
      </c>
      <c r="F6" s="85">
        <f t="shared" si="0"/>
        <v>9092.8690000000006</v>
      </c>
      <c r="G6" s="85">
        <v>470.82</v>
      </c>
      <c r="H6" s="85">
        <v>26.18</v>
      </c>
      <c r="I6" s="85">
        <f t="shared" si="1"/>
        <v>444.64</v>
      </c>
      <c r="J6" s="85">
        <f t="shared" si="2"/>
        <v>9537.509</v>
      </c>
      <c r="K6" s="85">
        <v>1714.85</v>
      </c>
      <c r="L6" s="85">
        <v>311.40515834149528</v>
      </c>
      <c r="M6" s="85">
        <v>169.84</v>
      </c>
    </row>
    <row r="7" spans="2:13">
      <c r="B7">
        <v>5</v>
      </c>
      <c r="C7" t="s">
        <v>465</v>
      </c>
      <c r="D7" s="85">
        <v>687.85</v>
      </c>
      <c r="E7" s="85">
        <v>11.95</v>
      </c>
      <c r="F7" s="85">
        <f t="shared" si="0"/>
        <v>8219.807499999999</v>
      </c>
      <c r="G7" s="85">
        <v>958.08</v>
      </c>
      <c r="H7" s="85">
        <v>283.83999999999997</v>
      </c>
      <c r="I7" s="85">
        <f t="shared" si="1"/>
        <v>674.24</v>
      </c>
      <c r="J7" s="85">
        <f t="shared" si="2"/>
        <v>8894.0474999999988</v>
      </c>
      <c r="K7" s="85">
        <v>5387.34</v>
      </c>
      <c r="L7" s="85">
        <v>373.10672757475083</v>
      </c>
      <c r="M7" s="85">
        <v>58.58</v>
      </c>
    </row>
    <row r="8" spans="2:13">
      <c r="B8">
        <v>6</v>
      </c>
      <c r="C8" t="s">
        <v>466</v>
      </c>
      <c r="D8" s="85">
        <v>191.55</v>
      </c>
      <c r="E8" s="85">
        <v>38.47</v>
      </c>
      <c r="F8" s="85">
        <f t="shared" si="0"/>
        <v>7368.9285</v>
      </c>
      <c r="G8" s="85">
        <v>1104.26</v>
      </c>
      <c r="H8" s="85">
        <v>203.16</v>
      </c>
      <c r="I8" s="85">
        <f t="shared" si="1"/>
        <v>901.1</v>
      </c>
      <c r="J8" s="85">
        <f t="shared" si="2"/>
        <v>8270.0285000000003</v>
      </c>
      <c r="K8" s="85">
        <v>6118.8</v>
      </c>
      <c r="L8" s="85">
        <v>445.39714436805917</v>
      </c>
      <c r="M8" s="85">
        <v>179.52</v>
      </c>
    </row>
    <row r="9" spans="2:13">
      <c r="B9">
        <v>7</v>
      </c>
      <c r="C9" t="s">
        <v>467</v>
      </c>
      <c r="D9" s="85">
        <v>2587.4499999999998</v>
      </c>
      <c r="E9" s="85">
        <v>2.4500000000000002</v>
      </c>
      <c r="F9" s="85">
        <f t="shared" si="0"/>
        <v>6339.2524999999996</v>
      </c>
      <c r="G9" s="85">
        <v>140.91</v>
      </c>
      <c r="H9" s="85">
        <v>224.69</v>
      </c>
      <c r="I9" s="85">
        <f t="shared" si="1"/>
        <v>-83.78</v>
      </c>
      <c r="J9" s="85">
        <f t="shared" si="2"/>
        <v>6255.4724999999999</v>
      </c>
      <c r="K9" s="85">
        <v>952.98</v>
      </c>
      <c r="L9" s="85">
        <v>161.05696040868455</v>
      </c>
      <c r="M9" s="85">
        <v>75.34</v>
      </c>
    </row>
    <row r="10" spans="2:13">
      <c r="B10">
        <v>8</v>
      </c>
      <c r="C10" t="s">
        <v>468</v>
      </c>
      <c r="D10" s="85">
        <v>987.45</v>
      </c>
      <c r="E10" s="85">
        <v>4.3499999999999996</v>
      </c>
      <c r="F10" s="85">
        <f t="shared" si="0"/>
        <v>4295.4075000000003</v>
      </c>
      <c r="G10" s="85">
        <v>437.76</v>
      </c>
      <c r="H10" s="85">
        <v>106.84</v>
      </c>
      <c r="I10" s="85">
        <f t="shared" si="1"/>
        <v>330.91999999999996</v>
      </c>
      <c r="J10" s="85">
        <f t="shared" si="2"/>
        <v>4626.3275000000003</v>
      </c>
      <c r="K10" s="85">
        <v>3300.21</v>
      </c>
      <c r="L10" s="85">
        <v>69.517733694018631</v>
      </c>
      <c r="M10" s="85">
        <v>-11.11</v>
      </c>
    </row>
    <row r="11" spans="2:13">
      <c r="B11">
        <v>9</v>
      </c>
      <c r="C11" t="s">
        <v>469</v>
      </c>
      <c r="D11" s="85">
        <v>2153.9499999999998</v>
      </c>
      <c r="E11" s="85">
        <v>1.98</v>
      </c>
      <c r="F11" s="85">
        <f t="shared" si="0"/>
        <v>4264.8209999999999</v>
      </c>
      <c r="G11" s="85">
        <v>1419.15</v>
      </c>
      <c r="H11" s="85">
        <v>20.149999999999999</v>
      </c>
      <c r="I11" s="85">
        <f t="shared" si="1"/>
        <v>1399</v>
      </c>
      <c r="J11" s="85">
        <f t="shared" si="2"/>
        <v>5663.8209999999999</v>
      </c>
      <c r="K11" s="85">
        <v>2710.91</v>
      </c>
      <c r="L11" s="85">
        <v>219.79270186335401</v>
      </c>
      <c r="M11" s="85">
        <v>-94.8</v>
      </c>
    </row>
    <row r="12" spans="2:13">
      <c r="B12">
        <v>10</v>
      </c>
      <c r="C12" t="s">
        <v>470</v>
      </c>
      <c r="D12" s="85">
        <v>200.4</v>
      </c>
      <c r="E12" s="85">
        <v>15.34</v>
      </c>
      <c r="F12" s="85">
        <f t="shared" si="0"/>
        <v>3074.136</v>
      </c>
      <c r="G12" s="85">
        <v>519.87</v>
      </c>
      <c r="H12" s="85">
        <v>49.7</v>
      </c>
      <c r="I12" s="85">
        <f t="shared" si="1"/>
        <v>470.17</v>
      </c>
      <c r="J12" s="85">
        <f t="shared" si="2"/>
        <v>3544.306</v>
      </c>
      <c r="K12" s="85">
        <v>1337.84</v>
      </c>
      <c r="L12" s="85">
        <v>226.92056074766353</v>
      </c>
      <c r="M12" s="85">
        <v>92.38</v>
      </c>
    </row>
    <row r="23" spans="2:13">
      <c r="B23">
        <v>11</v>
      </c>
      <c r="C23" t="s">
        <v>471</v>
      </c>
      <c r="D23" s="85">
        <v>96.05</v>
      </c>
      <c r="E23" s="85">
        <v>13.03</v>
      </c>
      <c r="F23" s="85">
        <f>D23*E23</f>
        <v>1251.5314999999998</v>
      </c>
      <c r="G23" s="85">
        <v>351.07</v>
      </c>
      <c r="H23" s="85">
        <v>96.52</v>
      </c>
      <c r="I23" s="85"/>
      <c r="J23" s="85">
        <f>F23+G23-H23</f>
        <v>1506.0814999999998</v>
      </c>
      <c r="K23" s="85">
        <v>1707.86</v>
      </c>
      <c r="L23" s="85">
        <v>64.15147625160462</v>
      </c>
      <c r="M23" s="85">
        <v>-8.16</v>
      </c>
    </row>
    <row r="24" spans="2:13">
      <c r="B24">
        <v>12</v>
      </c>
      <c r="C24" t="s">
        <v>472</v>
      </c>
      <c r="D24" s="85">
        <v>166.95</v>
      </c>
      <c r="E24" s="85">
        <v>6.45</v>
      </c>
      <c r="F24" s="85">
        <f>D24*E24</f>
        <v>1076.8274999999999</v>
      </c>
      <c r="G24" s="85">
        <v>252.15</v>
      </c>
      <c r="H24" s="85">
        <v>8.89</v>
      </c>
      <c r="I24" s="85"/>
      <c r="J24" s="85">
        <f>F24+G24-H24</f>
        <v>1320.0874999999999</v>
      </c>
      <c r="K24" s="85">
        <v>498.18</v>
      </c>
      <c r="L24" s="85">
        <v>175.32232496697489</v>
      </c>
      <c r="M24" s="85">
        <v>77.45</v>
      </c>
    </row>
    <row r="25" spans="2:13">
      <c r="B25">
        <v>13</v>
      </c>
      <c r="C25" t="s">
        <v>473</v>
      </c>
      <c r="D25" s="85">
        <v>91.3</v>
      </c>
      <c r="E25" s="85">
        <v>9.01</v>
      </c>
      <c r="F25" s="85">
        <f>D25*E25</f>
        <v>822.61299999999994</v>
      </c>
      <c r="G25" s="85">
        <v>1444.61</v>
      </c>
      <c r="H25" s="85">
        <v>17.62</v>
      </c>
      <c r="I25" s="85"/>
      <c r="J25" s="85">
        <f>F25+G25-H25</f>
        <v>2249.6030000000001</v>
      </c>
      <c r="K25" s="85">
        <v>2341.61</v>
      </c>
      <c r="L25" s="85">
        <v>25.169648848132407</v>
      </c>
      <c r="M25" s="85">
        <v>-246.69</v>
      </c>
    </row>
    <row r="26" spans="2:13">
      <c r="B26">
        <v>14</v>
      </c>
      <c r="C26" t="s">
        <v>474</v>
      </c>
      <c r="D26" s="85">
        <v>690.65</v>
      </c>
      <c r="E26" s="85">
        <v>1.1100000000000001</v>
      </c>
      <c r="F26" s="85">
        <f>D26*E26</f>
        <v>766.62150000000008</v>
      </c>
      <c r="G26" s="85">
        <v>41.1</v>
      </c>
      <c r="H26" s="85">
        <v>5.97</v>
      </c>
      <c r="I26" s="85"/>
      <c r="J26" s="85">
        <f>F26+G26-H26</f>
        <v>801.75150000000008</v>
      </c>
      <c r="K26" s="85">
        <v>234.17</v>
      </c>
      <c r="L26" s="85">
        <v>29.059018812246403</v>
      </c>
      <c r="M26" s="85">
        <v>11.94</v>
      </c>
    </row>
    <row r="27" spans="2:13">
      <c r="B27">
        <v>15</v>
      </c>
      <c r="C27" t="s">
        <v>475</v>
      </c>
      <c r="D27" s="85">
        <v>24000</v>
      </c>
      <c r="E27" s="85">
        <v>0.03</v>
      </c>
      <c r="F27" s="85">
        <f>D27*E27</f>
        <v>720</v>
      </c>
      <c r="G27" s="85">
        <v>0</v>
      </c>
      <c r="H27" s="85">
        <v>26.83</v>
      </c>
      <c r="I27" s="85"/>
      <c r="J27" s="85">
        <f>F27+G27-H27</f>
        <v>693.17</v>
      </c>
      <c r="K27" s="85">
        <v>64.78</v>
      </c>
      <c r="L27" s="85">
        <v>118.37792642140467</v>
      </c>
      <c r="M27" s="85">
        <v>117.51</v>
      </c>
    </row>
    <row r="28" spans="2:13">
      <c r="B28">
        <v>16</v>
      </c>
      <c r="C28" t="s">
        <v>476</v>
      </c>
      <c r="D28" s="85">
        <v>28.1</v>
      </c>
      <c r="E28" s="85">
        <v>11.81</v>
      </c>
      <c r="F28" s="85">
        <f>D28*E28</f>
        <v>331.86100000000005</v>
      </c>
      <c r="G28" s="85">
        <v>119</v>
      </c>
      <c r="H28" s="85">
        <v>11.25</v>
      </c>
      <c r="I28" s="85"/>
      <c r="J28" s="85">
        <f>F28+G28-H28</f>
        <v>439.61100000000005</v>
      </c>
      <c r="K28" s="85">
        <v>1019.67</v>
      </c>
      <c r="L28" s="85">
        <v>63.119533527696788</v>
      </c>
      <c r="M28" s="85">
        <v>14.6</v>
      </c>
    </row>
    <row r="29" spans="2:13">
      <c r="B29">
        <v>17</v>
      </c>
      <c r="C29" t="s">
        <v>477</v>
      </c>
      <c r="D29" s="85">
        <v>189</v>
      </c>
      <c r="E29" s="85">
        <v>1.71</v>
      </c>
      <c r="F29" s="85">
        <f>D29*E29</f>
        <v>323.19</v>
      </c>
      <c r="G29" s="85">
        <v>92.24</v>
      </c>
      <c r="H29" s="85">
        <v>0.47</v>
      </c>
      <c r="I29" s="85"/>
      <c r="J29" s="85">
        <f>F29+G29-H29</f>
        <v>414.96</v>
      </c>
      <c r="K29" s="85">
        <v>901.08</v>
      </c>
      <c r="L29" s="85">
        <v>14.150853242320819</v>
      </c>
      <c r="M29" s="85">
        <v>4.79</v>
      </c>
    </row>
    <row r="30" spans="2:13">
      <c r="B30">
        <v>18</v>
      </c>
      <c r="C30" t="s">
        <v>478</v>
      </c>
      <c r="D30" s="85">
        <v>20.3</v>
      </c>
      <c r="E30" s="85">
        <v>12.52</v>
      </c>
      <c r="F30" s="85">
        <f>D30*E30</f>
        <v>254.15600000000001</v>
      </c>
      <c r="G30" s="85">
        <v>163.36000000000001</v>
      </c>
      <c r="H30" s="85">
        <v>1.82</v>
      </c>
      <c r="I30" s="85"/>
      <c r="J30" s="85">
        <f>F30+G30-H30</f>
        <v>415.69600000000003</v>
      </c>
      <c r="K30" s="85">
        <v>244.75</v>
      </c>
      <c r="L30" s="85">
        <v>-2.9601033295063139</v>
      </c>
      <c r="M30" s="85">
        <v>-64.77</v>
      </c>
    </row>
    <row r="31" spans="2:13">
      <c r="B31">
        <v>19</v>
      </c>
      <c r="C31" t="s">
        <v>479</v>
      </c>
      <c r="D31" s="85">
        <v>275.10000000000002</v>
      </c>
      <c r="E31" s="85">
        <v>0.56000000000000005</v>
      </c>
      <c r="F31" s="85">
        <f>D31*E31</f>
        <v>154.05600000000004</v>
      </c>
      <c r="G31" s="85">
        <v>0.88</v>
      </c>
      <c r="H31" s="85">
        <v>0.54</v>
      </c>
      <c r="I31" s="85"/>
      <c r="J31" s="85">
        <f>F31+G31-H31</f>
        <v>154.39600000000004</v>
      </c>
      <c r="K31" s="85">
        <v>180.15</v>
      </c>
      <c r="L31" s="85">
        <v>4.0303738317757007</v>
      </c>
      <c r="M31" s="85">
        <v>13.06</v>
      </c>
    </row>
    <row r="32" spans="2:13">
      <c r="B32">
        <v>20</v>
      </c>
      <c r="C32" t="s">
        <v>480</v>
      </c>
      <c r="D32" s="85">
        <v>61</v>
      </c>
      <c r="E32" s="85">
        <v>2.2400000000000002</v>
      </c>
      <c r="F32" s="85">
        <f>D32*E32</f>
        <v>136.64000000000001</v>
      </c>
      <c r="G32" s="85">
        <v>0.05</v>
      </c>
      <c r="H32" s="85">
        <v>0.08</v>
      </c>
      <c r="I32" s="85"/>
      <c r="J32" s="85">
        <f>F32+G32-H32</f>
        <v>136.61000000000001</v>
      </c>
      <c r="K32" s="85">
        <v>3.63</v>
      </c>
      <c r="L32" s="85">
        <v>0.43999871034304872</v>
      </c>
      <c r="M32" s="85">
        <v>0.35</v>
      </c>
    </row>
    <row r="33" spans="2:13">
      <c r="B33">
        <v>21</v>
      </c>
      <c r="C33" t="s">
        <v>481</v>
      </c>
      <c r="D33" s="85">
        <v>129.35</v>
      </c>
      <c r="E33" s="85">
        <v>1.03</v>
      </c>
      <c r="F33" s="85">
        <f>D33*E33</f>
        <v>133.23050000000001</v>
      </c>
      <c r="G33" s="85">
        <v>5.07</v>
      </c>
      <c r="H33" s="85">
        <v>0.92</v>
      </c>
      <c r="I33" s="85"/>
      <c r="J33" s="85">
        <f>F33+G33-H33</f>
        <v>137.38050000000001</v>
      </c>
      <c r="K33" s="85">
        <v>195.83</v>
      </c>
      <c r="L33" s="85">
        <v>6.1490909090909094</v>
      </c>
      <c r="M33" s="85">
        <v>1.6</v>
      </c>
    </row>
    <row r="34" spans="2:13">
      <c r="B34">
        <v>22</v>
      </c>
      <c r="C34" t="s">
        <v>482</v>
      </c>
      <c r="D34" s="85">
        <v>2.0499999999999998</v>
      </c>
      <c r="E34" s="85">
        <v>54.23</v>
      </c>
      <c r="F34" s="85">
        <f>D34*E34</f>
        <v>111.17149999999998</v>
      </c>
      <c r="G34" s="85">
        <v>13811.1</v>
      </c>
      <c r="H34" s="85">
        <v>68.680000000000007</v>
      </c>
      <c r="I34" s="85"/>
      <c r="J34" s="85">
        <f>F34+G34-H34</f>
        <v>13853.5915</v>
      </c>
      <c r="K34" s="85">
        <v>8541.0300000000007</v>
      </c>
      <c r="L34" s="85">
        <v>-1371.7599206349207</v>
      </c>
      <c r="M34" s="85">
        <v>-4445.43</v>
      </c>
    </row>
    <row r="35" spans="2:13">
      <c r="B35">
        <v>23</v>
      </c>
      <c r="C35" t="s">
        <v>483</v>
      </c>
      <c r="D35" s="85">
        <v>29.65</v>
      </c>
      <c r="E35" s="85">
        <v>3.38</v>
      </c>
      <c r="F35" s="85">
        <f>D35*E35</f>
        <v>100.217</v>
      </c>
      <c r="G35" s="85">
        <v>57.53</v>
      </c>
      <c r="H35" s="85">
        <v>0.31</v>
      </c>
      <c r="I35" s="85"/>
      <c r="J35" s="85">
        <f>F35+G35-H35</f>
        <v>157.43700000000001</v>
      </c>
      <c r="K35" s="85">
        <v>78.930000000000007</v>
      </c>
      <c r="L35" s="85">
        <v>15.935222672064777</v>
      </c>
      <c r="M35" s="85">
        <v>2.84</v>
      </c>
    </row>
    <row r="36" spans="2:13">
      <c r="B36">
        <v>24</v>
      </c>
      <c r="C36" t="s">
        <v>484</v>
      </c>
      <c r="D36" s="85">
        <v>208.05</v>
      </c>
      <c r="E36" s="85">
        <v>0.32</v>
      </c>
      <c r="F36" s="85">
        <f>D36*E36</f>
        <v>66.576000000000008</v>
      </c>
      <c r="G36" s="85">
        <v>140.71</v>
      </c>
      <c r="H36" s="85">
        <v>1.02</v>
      </c>
      <c r="I36" s="85"/>
      <c r="J36" s="85">
        <f>F36+G36-H36</f>
        <v>206.26599999999999</v>
      </c>
      <c r="K36" s="85">
        <v>6.61</v>
      </c>
      <c r="L36" s="85">
        <v>2.8598143787228145</v>
      </c>
      <c r="M36" s="85">
        <v>-11.1</v>
      </c>
    </row>
    <row r="37" spans="2:13">
      <c r="B37">
        <v>25</v>
      </c>
      <c r="C37" t="s">
        <v>485</v>
      </c>
      <c r="D37" s="85">
        <v>82.5</v>
      </c>
      <c r="E37" s="85">
        <v>0.79</v>
      </c>
      <c r="F37" s="85">
        <f>D37*E37</f>
        <v>65.174999999999997</v>
      </c>
      <c r="G37" s="85">
        <v>1.33</v>
      </c>
      <c r="H37" s="85">
        <v>0.85</v>
      </c>
      <c r="I37" s="85"/>
      <c r="J37" s="85">
        <f>F37+G37-H37</f>
        <v>65.655000000000001</v>
      </c>
      <c r="K37" s="85">
        <v>62.82</v>
      </c>
      <c r="L37" s="85">
        <v>4.6915422885572138</v>
      </c>
      <c r="M37" s="85">
        <v>2.52</v>
      </c>
    </row>
    <row r="38" spans="2:13">
      <c r="B38">
        <v>26</v>
      </c>
      <c r="C38" t="s">
        <v>486</v>
      </c>
      <c r="D38" s="85">
        <v>46.49</v>
      </c>
      <c r="E38" s="85">
        <v>1.38</v>
      </c>
      <c r="F38" s="85">
        <f>D38*E38</f>
        <v>64.156199999999998</v>
      </c>
      <c r="G38" s="85">
        <v>24.62</v>
      </c>
      <c r="H38" s="85">
        <v>0.2</v>
      </c>
      <c r="I38" s="85"/>
      <c r="J38" s="85">
        <f>F38+G38-H38</f>
        <v>88.5762</v>
      </c>
      <c r="K38" s="85">
        <v>40.520000000000003</v>
      </c>
      <c r="L38" s="85">
        <v>6.1320885200553246</v>
      </c>
      <c r="M38" s="85">
        <v>2.93</v>
      </c>
    </row>
    <row r="39" spans="2:13">
      <c r="B39">
        <v>27</v>
      </c>
      <c r="C39" t="s">
        <v>487</v>
      </c>
      <c r="D39" s="85">
        <v>32.15</v>
      </c>
      <c r="E39" s="85">
        <v>1.87</v>
      </c>
      <c r="F39" s="85">
        <f>D39*E39</f>
        <v>60.1205</v>
      </c>
      <c r="G39" s="85">
        <v>36.08</v>
      </c>
      <c r="H39" s="85">
        <v>10.48</v>
      </c>
      <c r="I39" s="85"/>
      <c r="J39" s="85">
        <f>F39+G39-H39</f>
        <v>85.720500000000001</v>
      </c>
      <c r="K39" s="85">
        <v>304.79000000000002</v>
      </c>
      <c r="L39" s="85">
        <v>15.780797101449277</v>
      </c>
      <c r="M39" s="85">
        <v>4.5199999999999996</v>
      </c>
    </row>
    <row r="40" spans="2:13">
      <c r="B40">
        <v>28</v>
      </c>
      <c r="C40" t="s">
        <v>488</v>
      </c>
      <c r="D40" s="85">
        <v>97.85</v>
      </c>
      <c r="E40" s="85">
        <v>0.61</v>
      </c>
      <c r="F40" s="85">
        <f>D40*E40</f>
        <v>59.688499999999998</v>
      </c>
      <c r="G40" s="85">
        <v>0</v>
      </c>
      <c r="H40" s="85">
        <v>0.05</v>
      </c>
      <c r="I40" s="85"/>
      <c r="J40" s="85">
        <f>F40+G40-H40</f>
        <v>59.638500000000001</v>
      </c>
      <c r="K40" s="85">
        <v>0</v>
      </c>
      <c r="L40" s="85">
        <v>-0.13000131469389545</v>
      </c>
      <c r="M40" s="85">
        <v>-0.13</v>
      </c>
    </row>
    <row r="41" spans="2:13">
      <c r="B41">
        <v>29</v>
      </c>
      <c r="C41" t="s">
        <v>489</v>
      </c>
      <c r="D41" s="85">
        <v>61.27</v>
      </c>
      <c r="E41" s="85">
        <v>0.88</v>
      </c>
      <c r="F41" s="85">
        <f>D41*E41</f>
        <v>53.9176</v>
      </c>
      <c r="G41" s="85">
        <v>15.3</v>
      </c>
      <c r="H41" s="85">
        <v>0.34</v>
      </c>
      <c r="I41" s="85"/>
      <c r="J41" s="85">
        <f>F41+G41-H41</f>
        <v>68.877600000000001</v>
      </c>
      <c r="K41" s="85">
        <v>148.88</v>
      </c>
      <c r="L41" s="85">
        <v>-1.5801054320421726</v>
      </c>
      <c r="M41" s="85">
        <v>-3.54</v>
      </c>
    </row>
    <row r="42" spans="2:13">
      <c r="B42">
        <v>30</v>
      </c>
      <c r="C42" t="s">
        <v>490</v>
      </c>
      <c r="D42" s="85">
        <v>0.6</v>
      </c>
      <c r="E42" s="85">
        <v>45.49</v>
      </c>
      <c r="F42" s="85">
        <f>D42*E42</f>
        <v>27.294</v>
      </c>
      <c r="G42" s="85">
        <v>7459.5</v>
      </c>
      <c r="H42" s="85">
        <v>16.600000000000001</v>
      </c>
      <c r="I42" s="85"/>
      <c r="J42" s="85">
        <f>F42+G42-H42</f>
        <v>7470.1939999999995</v>
      </c>
      <c r="K42" s="85">
        <v>2193.37</v>
      </c>
      <c r="L42" s="85">
        <v>-344.87010594196221</v>
      </c>
      <c r="M42" s="85">
        <v>-3172.72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31" sqref="B31"/>
    </sheetView>
  </sheetViews>
  <sheetFormatPr defaultColWidth="8.85546875" defaultRowHeight="1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>
      <c r="A1" s="1" t="s">
        <v>0</v>
      </c>
      <c r="B1" s="1" t="s">
        <v>34</v>
      </c>
      <c r="E1" s="250" t="str">
        <f>IF(B2&lt;&gt;B3, "A NEW VERSION OF THE WORKSHEET IS AVAILABLE", "")</f>
        <v/>
      </c>
      <c r="F1" s="250"/>
      <c r="G1" s="250"/>
      <c r="H1" s="250"/>
      <c r="I1" s="250"/>
      <c r="J1" s="250"/>
      <c r="K1" s="250"/>
    </row>
    <row r="2" spans="1:11">
      <c r="A2" s="1" t="s">
        <v>32</v>
      </c>
      <c r="B2" s="2">
        <v>2.1</v>
      </c>
      <c r="E2" s="251" t="s">
        <v>22</v>
      </c>
      <c r="F2" s="251"/>
      <c r="G2" s="251"/>
      <c r="H2" s="251"/>
      <c r="I2" s="251"/>
      <c r="J2" s="251"/>
      <c r="K2" s="251"/>
    </row>
    <row r="3" spans="1:11">
      <c r="A3" s="1" t="s">
        <v>33</v>
      </c>
      <c r="B3" s="2">
        <v>2.1</v>
      </c>
    </row>
    <row r="4" spans="1:11">
      <c r="A4" s="1"/>
    </row>
    <row r="5" spans="1:11">
      <c r="A5" s="1" t="s">
        <v>35</v>
      </c>
    </row>
    <row r="6" spans="1:11">
      <c r="A6" s="2" t="s">
        <v>28</v>
      </c>
      <c r="B6" s="2">
        <f>IF(B9&gt;0, B9/B8, 0)</f>
        <v>65.073307626392449</v>
      </c>
    </row>
    <row r="7" spans="1:11">
      <c r="A7" s="2" t="s">
        <v>17</v>
      </c>
      <c r="B7">
        <v>10</v>
      </c>
    </row>
    <row r="8" spans="1:11">
      <c r="A8" s="2" t="s">
        <v>29</v>
      </c>
      <c r="B8">
        <v>3967.8</v>
      </c>
    </row>
    <row r="9" spans="1:11">
      <c r="A9" s="2" t="s">
        <v>45</v>
      </c>
      <c r="B9">
        <v>258197.87</v>
      </c>
    </row>
    <row r="15" spans="1:11">
      <c r="A15" s="1" t="s">
        <v>23</v>
      </c>
    </row>
    <row r="16" spans="1:11" s="7" customFormat="1">
      <c r="A16" s="6" t="s">
        <v>24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3" customFormat="1">
      <c r="A17" s="3" t="s">
        <v>1</v>
      </c>
      <c r="B17">
        <v>4686.4799999999996</v>
      </c>
      <c r="C17">
        <v>6439.43</v>
      </c>
      <c r="D17">
        <v>8583.76</v>
      </c>
      <c r="E17">
        <v>11897.7</v>
      </c>
      <c r="F17">
        <v>15033.2</v>
      </c>
      <c r="G17">
        <v>20004.52</v>
      </c>
      <c r="H17">
        <v>24870.2</v>
      </c>
      <c r="I17">
        <v>24143.06</v>
      </c>
      <c r="J17">
        <v>30976.27</v>
      </c>
      <c r="K17">
        <v>42839.56</v>
      </c>
    </row>
    <row r="18" spans="1:11" s="3" customFormat="1">
      <c r="A18" s="2" t="s">
        <v>46</v>
      </c>
      <c r="B18">
        <v>4086.53</v>
      </c>
      <c r="C18">
        <v>5648.47</v>
      </c>
      <c r="D18">
        <v>7435.62</v>
      </c>
      <c r="E18">
        <v>10357.25</v>
      </c>
      <c r="F18">
        <v>12846.95</v>
      </c>
      <c r="G18">
        <v>17445.490000000002</v>
      </c>
      <c r="H18">
        <v>21441.68</v>
      </c>
      <c r="I18">
        <v>20855.560000000001</v>
      </c>
      <c r="J18">
        <v>26891.77</v>
      </c>
      <c r="K18">
        <v>36884.769999999997</v>
      </c>
    </row>
    <row r="19" spans="1:11" s="3" customFormat="1">
      <c r="A19" s="2" t="s">
        <v>47</v>
      </c>
      <c r="B19">
        <v>102.1</v>
      </c>
      <c r="C19">
        <v>161.28</v>
      </c>
      <c r="D19">
        <v>132.08000000000001</v>
      </c>
      <c r="E19">
        <v>276.22000000000003</v>
      </c>
      <c r="F19">
        <v>211.31</v>
      </c>
      <c r="G19">
        <v>444.65</v>
      </c>
      <c r="H19">
        <v>338.75</v>
      </c>
      <c r="I19">
        <v>300.88</v>
      </c>
      <c r="J19">
        <v>494.38</v>
      </c>
      <c r="K19">
        <v>500.82</v>
      </c>
    </row>
    <row r="20" spans="1:11" s="3" customFormat="1">
      <c r="A20" s="2" t="s">
        <v>48</v>
      </c>
      <c r="B20">
        <v>45.31</v>
      </c>
      <c r="C20">
        <v>59.33</v>
      </c>
      <c r="D20">
        <v>79.239999999999995</v>
      </c>
      <c r="E20">
        <v>99.41</v>
      </c>
      <c r="F20">
        <v>121.26</v>
      </c>
      <c r="G20">
        <v>152.80000000000001</v>
      </c>
      <c r="H20">
        <v>188.24</v>
      </c>
      <c r="I20">
        <v>174.2</v>
      </c>
      <c r="J20">
        <v>207.86</v>
      </c>
      <c r="K20">
        <v>314.62</v>
      </c>
    </row>
    <row r="21" spans="1:11" s="3" customFormat="1">
      <c r="A21" s="2" t="s">
        <v>49</v>
      </c>
      <c r="B21">
        <v>123.53</v>
      </c>
      <c r="C21">
        <v>155.35</v>
      </c>
      <c r="D21">
        <v>241.36</v>
      </c>
      <c r="E21">
        <v>332.9</v>
      </c>
      <c r="F21">
        <v>373.72</v>
      </c>
      <c r="G21">
        <v>499.72</v>
      </c>
      <c r="H21">
        <v>645.96</v>
      </c>
      <c r="I21">
        <v>746.43</v>
      </c>
      <c r="J21">
        <v>805.85</v>
      </c>
      <c r="K21">
        <v>1116.56</v>
      </c>
    </row>
    <row r="22" spans="1:11" s="3" customFormat="1">
      <c r="A22" s="2" t="s">
        <v>50</v>
      </c>
      <c r="B22">
        <v>87.34</v>
      </c>
      <c r="C22">
        <v>134.06</v>
      </c>
      <c r="D22">
        <v>149.04</v>
      </c>
      <c r="E22">
        <v>192.67</v>
      </c>
      <c r="F22">
        <v>283.14</v>
      </c>
      <c r="G22">
        <v>356.17</v>
      </c>
      <c r="H22">
        <v>457.14</v>
      </c>
      <c r="I22">
        <v>537.58000000000004</v>
      </c>
      <c r="J22">
        <v>617.36</v>
      </c>
      <c r="K22">
        <v>748.16</v>
      </c>
    </row>
    <row r="23" spans="1:11" s="3" customFormat="1">
      <c r="A23" s="2" t="s">
        <v>51</v>
      </c>
      <c r="B23">
        <v>420.11</v>
      </c>
      <c r="C23">
        <v>582.79999999999995</v>
      </c>
      <c r="D23">
        <v>647.37</v>
      </c>
      <c r="E23">
        <v>71.239999999999995</v>
      </c>
      <c r="F23">
        <v>96</v>
      </c>
      <c r="G23">
        <v>135.84</v>
      </c>
      <c r="H23">
        <v>119.23</v>
      </c>
      <c r="I23">
        <v>108.69</v>
      </c>
      <c r="J23">
        <v>143.41</v>
      </c>
      <c r="K23">
        <v>212.04</v>
      </c>
    </row>
    <row r="24" spans="1:11" s="3" customFormat="1">
      <c r="A24" s="2" t="s">
        <v>52</v>
      </c>
      <c r="B24">
        <v>-315.52</v>
      </c>
      <c r="C24">
        <v>-435.56</v>
      </c>
      <c r="D24">
        <v>-501.25</v>
      </c>
      <c r="E24">
        <v>151.27000000000001</v>
      </c>
      <c r="F24">
        <v>170.58</v>
      </c>
      <c r="G24">
        <v>225.84</v>
      </c>
      <c r="H24">
        <v>228.39</v>
      </c>
      <c r="I24">
        <v>276.64999999999998</v>
      </c>
      <c r="J24">
        <v>302.05</v>
      </c>
      <c r="K24">
        <v>425.46</v>
      </c>
    </row>
    <row r="25" spans="1:11" s="3" customFormat="1">
      <c r="A25" s="3" t="s">
        <v>4</v>
      </c>
      <c r="B25">
        <v>16.27</v>
      </c>
      <c r="C25">
        <v>20.27</v>
      </c>
      <c r="D25">
        <v>17.02</v>
      </c>
      <c r="E25">
        <v>27.7</v>
      </c>
      <c r="F25">
        <v>87.75</v>
      </c>
      <c r="G25">
        <v>48.33</v>
      </c>
      <c r="H25">
        <v>59.99</v>
      </c>
      <c r="I25">
        <v>194.43</v>
      </c>
      <c r="J25">
        <v>113.64</v>
      </c>
      <c r="K25">
        <v>127.6</v>
      </c>
    </row>
    <row r="26" spans="1:11" s="3" customFormat="1">
      <c r="A26" s="3" t="s">
        <v>5</v>
      </c>
      <c r="B26">
        <v>57.01</v>
      </c>
      <c r="C26">
        <v>81.540000000000006</v>
      </c>
      <c r="D26">
        <v>98.43</v>
      </c>
      <c r="E26">
        <v>127.82</v>
      </c>
      <c r="F26">
        <v>159</v>
      </c>
      <c r="G26">
        <v>212.49</v>
      </c>
      <c r="H26">
        <v>374.41</v>
      </c>
      <c r="I26">
        <v>414.16</v>
      </c>
      <c r="J26">
        <v>498.08</v>
      </c>
      <c r="K26">
        <v>638.87</v>
      </c>
    </row>
    <row r="27" spans="1:11" s="3" customFormat="1">
      <c r="A27" s="3" t="s">
        <v>6</v>
      </c>
      <c r="B27">
        <v>55.68</v>
      </c>
      <c r="C27">
        <v>72.36</v>
      </c>
      <c r="D27">
        <v>91.34</v>
      </c>
      <c r="E27">
        <v>121.98</v>
      </c>
      <c r="F27">
        <v>59.54</v>
      </c>
      <c r="G27">
        <v>47.21</v>
      </c>
      <c r="H27">
        <v>69.12</v>
      </c>
      <c r="I27">
        <v>41.65</v>
      </c>
      <c r="J27">
        <v>53.79</v>
      </c>
      <c r="K27">
        <v>67.41</v>
      </c>
    </row>
    <row r="28" spans="1:11" s="3" customFormat="1">
      <c r="A28" s="3" t="s">
        <v>7</v>
      </c>
      <c r="B28">
        <v>244.86</v>
      </c>
      <c r="C28">
        <v>322.63</v>
      </c>
      <c r="D28">
        <v>491.71</v>
      </c>
      <c r="E28">
        <v>747.08</v>
      </c>
      <c r="F28">
        <v>1222.07</v>
      </c>
      <c r="G28">
        <v>1421.94</v>
      </c>
      <c r="H28">
        <v>1744.77</v>
      </c>
      <c r="I28">
        <v>1483.45</v>
      </c>
      <c r="J28">
        <v>2064.12</v>
      </c>
      <c r="K28">
        <v>3060.09</v>
      </c>
    </row>
    <row r="29" spans="1:11" s="3" customFormat="1">
      <c r="A29" s="3" t="s">
        <v>8</v>
      </c>
      <c r="B29">
        <v>83.48</v>
      </c>
      <c r="C29">
        <v>110.92</v>
      </c>
      <c r="D29">
        <v>171.47</v>
      </c>
      <c r="E29">
        <v>268.27999999999997</v>
      </c>
      <c r="F29">
        <v>415.79</v>
      </c>
      <c r="G29">
        <v>519.48</v>
      </c>
      <c r="H29">
        <v>443.79</v>
      </c>
      <c r="I29">
        <v>384.02</v>
      </c>
      <c r="J29">
        <v>571.72</v>
      </c>
      <c r="K29">
        <v>681.75</v>
      </c>
    </row>
    <row r="30" spans="1:11" s="3" customFormat="1">
      <c r="A30" s="3" t="s">
        <v>9</v>
      </c>
      <c r="B30">
        <v>161.37</v>
      </c>
      <c r="C30">
        <v>211.67</v>
      </c>
      <c r="D30">
        <v>320.24</v>
      </c>
      <c r="E30">
        <v>478.75</v>
      </c>
      <c r="F30">
        <v>806.26</v>
      </c>
      <c r="G30">
        <v>902.54</v>
      </c>
      <c r="H30">
        <v>1301.08</v>
      </c>
      <c r="I30">
        <v>1099.49</v>
      </c>
      <c r="J30">
        <v>1492.55</v>
      </c>
      <c r="K30">
        <v>2378.5100000000002</v>
      </c>
    </row>
    <row r="31" spans="1:11" s="3" customFormat="1">
      <c r="A31" s="3" t="s">
        <v>36</v>
      </c>
      <c r="B31"/>
      <c r="D31"/>
      <c r="K31"/>
    </row>
    <row r="32" spans="1:11" s="3" customFormat="1"/>
    <row r="33" spans="1:11">
      <c r="A33" s="2" t="s">
        <v>67</v>
      </c>
      <c r="B33" s="2">
        <f>B30+B29+B26+B27</f>
        <v>357.54</v>
      </c>
      <c r="C33" s="2">
        <f t="shared" ref="C33:K33" si="0">C30+C29+C26+C27</f>
        <v>476.49</v>
      </c>
      <c r="D33" s="2">
        <f t="shared" si="0"/>
        <v>681.48000000000013</v>
      </c>
      <c r="E33" s="2">
        <f t="shared" si="0"/>
        <v>996.82999999999993</v>
      </c>
      <c r="F33" s="2">
        <f t="shared" si="0"/>
        <v>1440.59</v>
      </c>
      <c r="G33" s="2">
        <f t="shared" si="0"/>
        <v>1681.72</v>
      </c>
      <c r="H33" s="2">
        <f t="shared" si="0"/>
        <v>2188.3999999999996</v>
      </c>
      <c r="I33" s="2">
        <f t="shared" si="0"/>
        <v>1939.3200000000002</v>
      </c>
      <c r="J33" s="2">
        <f t="shared" si="0"/>
        <v>2616.14</v>
      </c>
      <c r="K33" s="2">
        <f t="shared" si="0"/>
        <v>3766.54</v>
      </c>
    </row>
    <row r="34" spans="1:11">
      <c r="A34" s="3"/>
    </row>
    <row r="35" spans="1:11">
      <c r="A35" s="3"/>
    </row>
    <row r="36" spans="1:11">
      <c r="A36" s="3"/>
    </row>
    <row r="37" spans="1:11">
      <c r="A37" s="3"/>
    </row>
    <row r="38" spans="1:11">
      <c r="A38" s="3"/>
    </row>
    <row r="39" spans="1:11">
      <c r="A39" s="3"/>
    </row>
    <row r="40" spans="1:11">
      <c r="A40" s="1" t="s">
        <v>25</v>
      </c>
    </row>
    <row r="41" spans="1:11" s="7" customFormat="1">
      <c r="A41" s="6" t="s">
        <v>24</v>
      </c>
      <c r="B41" s="5">
        <v>44469</v>
      </c>
      <c r="C41" s="5">
        <v>44561</v>
      </c>
      <c r="D41" s="5">
        <v>44651</v>
      </c>
      <c r="E41" s="5">
        <v>44742</v>
      </c>
      <c r="F41" s="5">
        <v>44834</v>
      </c>
      <c r="G41" s="5">
        <v>44926</v>
      </c>
      <c r="H41" s="5">
        <v>45016</v>
      </c>
      <c r="I41" s="5">
        <v>45107</v>
      </c>
      <c r="J41" s="5">
        <v>45199</v>
      </c>
      <c r="K41" s="5">
        <v>45291</v>
      </c>
    </row>
    <row r="42" spans="1:11" s="3" customFormat="1">
      <c r="A42" s="3" t="s">
        <v>1</v>
      </c>
      <c r="B42">
        <v>7788.94</v>
      </c>
      <c r="C42">
        <v>9217.76</v>
      </c>
      <c r="D42">
        <v>8786.4500000000007</v>
      </c>
      <c r="E42">
        <v>10038.07</v>
      </c>
      <c r="F42">
        <v>10638.33</v>
      </c>
      <c r="G42">
        <v>11569.05</v>
      </c>
      <c r="H42">
        <v>10594.11</v>
      </c>
      <c r="I42">
        <v>11865.44</v>
      </c>
      <c r="J42">
        <v>12624.37</v>
      </c>
      <c r="K42">
        <v>13572.47</v>
      </c>
    </row>
    <row r="43" spans="1:11" s="3" customFormat="1">
      <c r="A43" s="3" t="s">
        <v>2</v>
      </c>
      <c r="B43">
        <v>7120.36</v>
      </c>
      <c r="C43">
        <v>8351.2999999999993</v>
      </c>
      <c r="D43">
        <v>8047.17</v>
      </c>
      <c r="E43">
        <v>9029.83</v>
      </c>
      <c r="F43">
        <v>9746.31</v>
      </c>
      <c r="G43">
        <v>10603.79</v>
      </c>
      <c r="H43">
        <v>9822.6</v>
      </c>
      <c r="I43">
        <v>10830.17</v>
      </c>
      <c r="J43">
        <v>11619.4</v>
      </c>
      <c r="K43">
        <v>12452.58</v>
      </c>
    </row>
    <row r="44" spans="1:11" s="3" customFormat="1">
      <c r="A44" s="3" t="s">
        <v>4</v>
      </c>
      <c r="B44">
        <v>27.5</v>
      </c>
      <c r="C44">
        <v>25.96</v>
      </c>
      <c r="D44">
        <v>32.57</v>
      </c>
      <c r="E44">
        <v>29.14</v>
      </c>
      <c r="F44">
        <v>35.57</v>
      </c>
      <c r="G44">
        <v>31.56</v>
      </c>
      <c r="H44">
        <v>33.07</v>
      </c>
      <c r="I44">
        <v>38.74</v>
      </c>
      <c r="J44">
        <v>36.92</v>
      </c>
      <c r="K44">
        <v>32.92</v>
      </c>
    </row>
    <row r="45" spans="1:11" s="3" customFormat="1">
      <c r="A45" s="3" t="s">
        <v>5</v>
      </c>
      <c r="B45">
        <v>116.01</v>
      </c>
      <c r="C45">
        <v>128.30000000000001</v>
      </c>
      <c r="D45">
        <v>146.33000000000001</v>
      </c>
      <c r="E45">
        <v>144.74</v>
      </c>
      <c r="F45">
        <v>161.96</v>
      </c>
      <c r="G45">
        <v>168.09</v>
      </c>
      <c r="H45">
        <v>164.08</v>
      </c>
      <c r="I45">
        <v>162.18</v>
      </c>
      <c r="J45">
        <v>174.36</v>
      </c>
      <c r="K45">
        <v>189.33</v>
      </c>
    </row>
    <row r="46" spans="1:11" s="3" customFormat="1">
      <c r="A46" s="3" t="s">
        <v>6</v>
      </c>
      <c r="B46">
        <v>12.37</v>
      </c>
      <c r="C46">
        <v>13.95</v>
      </c>
      <c r="D46">
        <v>16.63</v>
      </c>
      <c r="E46">
        <v>17.22</v>
      </c>
      <c r="F46">
        <v>17.68</v>
      </c>
      <c r="G46">
        <v>16.98</v>
      </c>
      <c r="H46">
        <v>15.53</v>
      </c>
      <c r="I46">
        <v>14.57</v>
      </c>
      <c r="J46">
        <v>15.59</v>
      </c>
      <c r="K46">
        <v>14.55</v>
      </c>
    </row>
    <row r="47" spans="1:11" s="3" customFormat="1">
      <c r="A47" s="3" t="s">
        <v>7</v>
      </c>
      <c r="B47">
        <v>567.70000000000005</v>
      </c>
      <c r="C47">
        <v>750.17</v>
      </c>
      <c r="D47">
        <v>608.89</v>
      </c>
      <c r="E47">
        <v>875.42</v>
      </c>
      <c r="F47">
        <v>747.95</v>
      </c>
      <c r="G47">
        <v>811.75</v>
      </c>
      <c r="H47">
        <v>624.97</v>
      </c>
      <c r="I47">
        <v>897.26</v>
      </c>
      <c r="J47">
        <v>851.94</v>
      </c>
      <c r="K47">
        <v>948.93</v>
      </c>
    </row>
    <row r="48" spans="1:11" s="3" customFormat="1">
      <c r="A48" s="3" t="s">
        <v>8</v>
      </c>
      <c r="B48">
        <v>149.94</v>
      </c>
      <c r="C48">
        <v>197.64</v>
      </c>
      <c r="D48">
        <v>182.14</v>
      </c>
      <c r="E48">
        <v>232.53</v>
      </c>
      <c r="F48">
        <v>62.24</v>
      </c>
      <c r="G48">
        <v>222.11</v>
      </c>
      <c r="H48">
        <v>164.87</v>
      </c>
      <c r="I48">
        <v>238.55</v>
      </c>
      <c r="J48">
        <v>228.59</v>
      </c>
      <c r="K48">
        <v>258.52</v>
      </c>
    </row>
    <row r="49" spans="1:11" s="3" customFormat="1">
      <c r="A49" s="3" t="s">
        <v>9</v>
      </c>
      <c r="B49">
        <v>417.79</v>
      </c>
      <c r="C49">
        <v>552.55999999999995</v>
      </c>
      <c r="D49">
        <v>426.83</v>
      </c>
      <c r="E49">
        <v>642.92999999999995</v>
      </c>
      <c r="F49">
        <v>685.77</v>
      </c>
      <c r="G49">
        <v>589.67999999999995</v>
      </c>
      <c r="H49">
        <v>460.13</v>
      </c>
      <c r="I49">
        <v>658.75</v>
      </c>
      <c r="J49">
        <v>623.55999999999995</v>
      </c>
      <c r="K49">
        <v>690.61</v>
      </c>
    </row>
    <row r="50" spans="1:11">
      <c r="A50" s="3" t="s">
        <v>3</v>
      </c>
      <c r="B50">
        <v>668.58</v>
      </c>
      <c r="C50">
        <v>866.46</v>
      </c>
      <c r="D50">
        <v>739.28</v>
      </c>
      <c r="E50">
        <v>1008.24</v>
      </c>
      <c r="F50">
        <v>892.02</v>
      </c>
      <c r="G50">
        <v>965.26</v>
      </c>
      <c r="H50">
        <v>771.51</v>
      </c>
      <c r="I50">
        <v>1035.27</v>
      </c>
      <c r="J50">
        <v>1004.97</v>
      </c>
      <c r="K50">
        <v>1119.8900000000001</v>
      </c>
    </row>
    <row r="51" spans="1:11">
      <c r="A51" s="3"/>
    </row>
    <row r="52" spans="1:11">
      <c r="A52" s="3"/>
    </row>
    <row r="53" spans="1:11">
      <c r="A53" s="3"/>
    </row>
    <row r="54" spans="1:11">
      <c r="A54" s="3"/>
    </row>
    <row r="55" spans="1:11">
      <c r="A55" s="1" t="s">
        <v>26</v>
      </c>
    </row>
    <row r="56" spans="1:11" s="7" customFormat="1">
      <c r="A56" s="6" t="s">
        <v>24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>
      <c r="A57" s="3" t="s">
        <v>11</v>
      </c>
      <c r="B57">
        <v>546.75</v>
      </c>
      <c r="C57">
        <v>561.54</v>
      </c>
      <c r="D57">
        <v>561.54</v>
      </c>
      <c r="E57">
        <v>624.08000000000004</v>
      </c>
      <c r="F57">
        <v>624.08000000000004</v>
      </c>
      <c r="G57">
        <v>624.08000000000004</v>
      </c>
      <c r="H57">
        <v>647.77</v>
      </c>
      <c r="I57">
        <v>647.77</v>
      </c>
      <c r="J57">
        <v>647.77</v>
      </c>
      <c r="K57">
        <v>648.26</v>
      </c>
    </row>
    <row r="58" spans="1:11">
      <c r="A58" s="3" t="s">
        <v>12</v>
      </c>
      <c r="B58">
        <v>408.82</v>
      </c>
      <c r="C58">
        <v>637.65</v>
      </c>
      <c r="D58">
        <v>958.9</v>
      </c>
      <c r="E58">
        <v>3217.7</v>
      </c>
      <c r="F58">
        <v>4044.97</v>
      </c>
      <c r="G58">
        <v>4963.37</v>
      </c>
      <c r="H58">
        <v>10431.969999999999</v>
      </c>
      <c r="I58">
        <v>11535.94</v>
      </c>
      <c r="J58">
        <v>13029.87</v>
      </c>
      <c r="K58">
        <v>15430.44</v>
      </c>
    </row>
    <row r="59" spans="1:11">
      <c r="A59" s="3" t="s">
        <v>37</v>
      </c>
      <c r="B59">
        <v>640.82000000000005</v>
      </c>
      <c r="C59">
        <v>904.26</v>
      </c>
      <c r="D59">
        <v>1192.3399999999999</v>
      </c>
      <c r="E59">
        <v>1497.32</v>
      </c>
      <c r="F59">
        <v>439.25</v>
      </c>
      <c r="G59">
        <v>700.15</v>
      </c>
      <c r="H59">
        <v>333.19</v>
      </c>
      <c r="I59">
        <v>392.71</v>
      </c>
      <c r="J59">
        <v>646.94000000000005</v>
      </c>
      <c r="K59">
        <v>642.98</v>
      </c>
    </row>
    <row r="60" spans="1:11">
      <c r="A60" s="3" t="s">
        <v>38</v>
      </c>
      <c r="B60">
        <v>211.26</v>
      </c>
      <c r="C60">
        <v>251.36</v>
      </c>
      <c r="D60">
        <v>388.78</v>
      </c>
      <c r="E60">
        <v>480.18</v>
      </c>
      <c r="F60">
        <v>539.91999999999996</v>
      </c>
      <c r="G60">
        <v>717.9</v>
      </c>
      <c r="H60">
        <v>663.23</v>
      </c>
      <c r="I60">
        <v>1078.6300000000001</v>
      </c>
      <c r="J60">
        <v>1146.4000000000001</v>
      </c>
      <c r="K60">
        <v>1382.84</v>
      </c>
    </row>
    <row r="61" spans="1:11" s="1" customFormat="1">
      <c r="A61" s="1" t="s">
        <v>13</v>
      </c>
      <c r="B61">
        <v>1807.65</v>
      </c>
      <c r="C61">
        <v>2354.81</v>
      </c>
      <c r="D61">
        <v>3101.56</v>
      </c>
      <c r="E61">
        <v>5819.28</v>
      </c>
      <c r="F61">
        <v>5648.22</v>
      </c>
      <c r="G61">
        <v>7005.5</v>
      </c>
      <c r="H61">
        <v>12076.16</v>
      </c>
      <c r="I61">
        <v>13655.05</v>
      </c>
      <c r="J61">
        <v>15470.98</v>
      </c>
      <c r="K61">
        <v>18104.52</v>
      </c>
    </row>
    <row r="62" spans="1:11">
      <c r="A62" s="3" t="s">
        <v>14</v>
      </c>
      <c r="B62">
        <v>1171.69</v>
      </c>
      <c r="C62">
        <v>1528.08</v>
      </c>
      <c r="D62">
        <v>2093.52</v>
      </c>
      <c r="E62">
        <v>2577.75</v>
      </c>
      <c r="F62">
        <v>3399.97</v>
      </c>
      <c r="G62">
        <v>4400.37</v>
      </c>
      <c r="H62">
        <v>5948.03</v>
      </c>
      <c r="I62">
        <v>7008.8</v>
      </c>
      <c r="J62">
        <v>9260.02</v>
      </c>
      <c r="K62">
        <v>11340.48</v>
      </c>
    </row>
    <row r="63" spans="1:11">
      <c r="A63" s="3" t="s">
        <v>15</v>
      </c>
      <c r="B63">
        <v>88.78</v>
      </c>
      <c r="C63">
        <v>98.12</v>
      </c>
      <c r="D63">
        <v>81.69</v>
      </c>
      <c r="E63">
        <v>152.88999999999999</v>
      </c>
      <c r="F63">
        <v>147.07</v>
      </c>
      <c r="G63">
        <v>376.84</v>
      </c>
      <c r="H63">
        <v>364.4</v>
      </c>
      <c r="I63">
        <v>1019.59</v>
      </c>
      <c r="J63">
        <v>1129.3399999999999</v>
      </c>
      <c r="K63">
        <v>829.16</v>
      </c>
    </row>
    <row r="64" spans="1:11">
      <c r="A64" s="3" t="s">
        <v>16</v>
      </c>
      <c r="B64">
        <v>15.54</v>
      </c>
      <c r="C64">
        <v>15.23</v>
      </c>
      <c r="D64">
        <v>29.33</v>
      </c>
      <c r="E64">
        <v>25.69</v>
      </c>
      <c r="F64">
        <v>68.180000000000007</v>
      </c>
      <c r="G64">
        <v>16.53</v>
      </c>
      <c r="H64">
        <v>14.68</v>
      </c>
      <c r="I64">
        <v>2.95</v>
      </c>
      <c r="J64">
        <v>5.94</v>
      </c>
      <c r="K64">
        <v>202.2</v>
      </c>
    </row>
    <row r="65" spans="1:11">
      <c r="A65" s="3" t="s">
        <v>39</v>
      </c>
      <c r="B65">
        <v>531.64</v>
      </c>
      <c r="C65">
        <v>713.38</v>
      </c>
      <c r="D65">
        <v>897.02</v>
      </c>
      <c r="E65">
        <v>3062.95</v>
      </c>
      <c r="F65">
        <v>2033</v>
      </c>
      <c r="G65">
        <v>2211.7600000000002</v>
      </c>
      <c r="H65">
        <v>5749.05</v>
      </c>
      <c r="I65">
        <v>5623.71</v>
      </c>
      <c r="J65">
        <v>5075.68</v>
      </c>
      <c r="K65">
        <v>5732.68</v>
      </c>
    </row>
    <row r="66" spans="1:11" s="1" customFormat="1">
      <c r="A66" s="1" t="s">
        <v>13</v>
      </c>
      <c r="B66">
        <v>1807.65</v>
      </c>
      <c r="C66">
        <v>2354.81</v>
      </c>
      <c r="D66">
        <v>3101.56</v>
      </c>
      <c r="E66">
        <v>5819.28</v>
      </c>
      <c r="F66">
        <v>5648.22</v>
      </c>
      <c r="G66">
        <v>7005.5</v>
      </c>
      <c r="H66">
        <v>12076.16</v>
      </c>
      <c r="I66">
        <v>13655.05</v>
      </c>
      <c r="J66">
        <v>15470.98</v>
      </c>
      <c r="K66">
        <v>18104.52</v>
      </c>
    </row>
    <row r="67" spans="1:11" s="3" customFormat="1">
      <c r="A67" s="3" t="s">
        <v>44</v>
      </c>
      <c r="B67">
        <v>9.5399999999999991</v>
      </c>
      <c r="C67">
        <v>7.07</v>
      </c>
      <c r="D67">
        <v>8.42</v>
      </c>
      <c r="E67">
        <v>21</v>
      </c>
      <c r="F67">
        <v>33.520000000000003</v>
      </c>
      <c r="G67">
        <v>64.37</v>
      </c>
      <c r="H67">
        <v>19.55</v>
      </c>
      <c r="I67">
        <v>43.58</v>
      </c>
      <c r="J67">
        <v>66.89</v>
      </c>
      <c r="K67">
        <v>62.16</v>
      </c>
    </row>
    <row r="68" spans="1:11">
      <c r="A68" s="3" t="s">
        <v>30</v>
      </c>
      <c r="B68">
        <v>378.33</v>
      </c>
      <c r="C68">
        <v>539.61</v>
      </c>
      <c r="D68">
        <v>671.69</v>
      </c>
      <c r="E68">
        <v>947.9</v>
      </c>
      <c r="F68">
        <v>1163.45</v>
      </c>
      <c r="G68">
        <v>1608.65</v>
      </c>
      <c r="H68">
        <v>1947.4</v>
      </c>
      <c r="I68">
        <v>2248.2800000000002</v>
      </c>
      <c r="J68">
        <v>2742.66</v>
      </c>
      <c r="K68">
        <v>3243.48</v>
      </c>
    </row>
    <row r="69" spans="1:11">
      <c r="A69" s="2" t="s">
        <v>53</v>
      </c>
      <c r="B69">
        <v>55.41</v>
      </c>
      <c r="C69">
        <v>38.04</v>
      </c>
      <c r="D69">
        <v>35.1</v>
      </c>
      <c r="E69">
        <v>1884.29</v>
      </c>
      <c r="F69">
        <v>560.17999999999995</v>
      </c>
      <c r="G69">
        <v>219.07</v>
      </c>
      <c r="H69">
        <v>107.88</v>
      </c>
      <c r="I69">
        <v>1445.58</v>
      </c>
      <c r="J69">
        <v>298.58</v>
      </c>
      <c r="K69">
        <v>1408.33</v>
      </c>
    </row>
    <row r="70" spans="1:11">
      <c r="A70" s="2" t="s">
        <v>40</v>
      </c>
      <c r="B70">
        <v>546752880</v>
      </c>
      <c r="C70">
        <v>561542680</v>
      </c>
      <c r="D70">
        <v>561542680</v>
      </c>
      <c r="E70">
        <v>624084486</v>
      </c>
      <c r="F70">
        <v>624084486</v>
      </c>
      <c r="G70">
        <v>624084486</v>
      </c>
      <c r="H70">
        <v>647774691</v>
      </c>
      <c r="I70">
        <v>647774691</v>
      </c>
      <c r="J70">
        <v>647774691</v>
      </c>
      <c r="K70">
        <v>648263978</v>
      </c>
    </row>
    <row r="71" spans="1:11">
      <c r="A71" s="2" t="s">
        <v>41</v>
      </c>
    </row>
    <row r="72" spans="1:11">
      <c r="A72" s="2" t="s">
        <v>54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>
      <c r="A74" s="3"/>
    </row>
    <row r="75" spans="1:11">
      <c r="A75" s="2" t="s">
        <v>39</v>
      </c>
      <c r="B75" s="2">
        <f>B65-SUM(B67:B69)</f>
        <v>88.360000000000014</v>
      </c>
      <c r="C75" s="2">
        <f t="shared" ref="C75:K75" si="1">C65-SUM(C67:C69)</f>
        <v>128.65999999999997</v>
      </c>
      <c r="D75" s="2">
        <f t="shared" si="1"/>
        <v>181.80999999999995</v>
      </c>
      <c r="E75" s="2">
        <f t="shared" si="1"/>
        <v>209.75999999999976</v>
      </c>
      <c r="F75" s="2">
        <f t="shared" si="1"/>
        <v>275.84999999999991</v>
      </c>
      <c r="G75" s="2">
        <f t="shared" si="1"/>
        <v>319.6700000000003</v>
      </c>
      <c r="H75" s="2">
        <f t="shared" si="1"/>
        <v>3674.2200000000003</v>
      </c>
      <c r="I75" s="2">
        <f t="shared" si="1"/>
        <v>1886.27</v>
      </c>
      <c r="J75" s="2">
        <f t="shared" si="1"/>
        <v>1967.5500000000006</v>
      </c>
      <c r="K75" s="2">
        <f t="shared" si="1"/>
        <v>1018.7100000000009</v>
      </c>
    </row>
    <row r="76" spans="1:11">
      <c r="A76" s="3"/>
    </row>
    <row r="77" spans="1:11">
      <c r="A77" s="2" t="s">
        <v>86</v>
      </c>
      <c r="B77" s="2">
        <f>B66</f>
        <v>1807.65</v>
      </c>
      <c r="C77" s="2">
        <f t="shared" ref="C77:K77" si="2">C66</f>
        <v>2354.81</v>
      </c>
      <c r="D77" s="2">
        <f t="shared" si="2"/>
        <v>3101.56</v>
      </c>
      <c r="E77" s="2">
        <f t="shared" si="2"/>
        <v>5819.28</v>
      </c>
      <c r="F77" s="2">
        <f t="shared" si="2"/>
        <v>5648.22</v>
      </c>
      <c r="G77" s="2">
        <f t="shared" si="2"/>
        <v>7005.5</v>
      </c>
      <c r="H77" s="2">
        <f t="shared" si="2"/>
        <v>12076.16</v>
      </c>
      <c r="I77" s="2">
        <f t="shared" si="2"/>
        <v>13655.05</v>
      </c>
      <c r="J77" s="2">
        <f t="shared" si="2"/>
        <v>15470.98</v>
      </c>
      <c r="K77" s="2">
        <f t="shared" si="2"/>
        <v>18104.52</v>
      </c>
    </row>
    <row r="78" spans="1:11">
      <c r="A78" s="3"/>
    </row>
    <row r="79" spans="1:11">
      <c r="A79" s="3"/>
    </row>
    <row r="80" spans="1:11">
      <c r="A80" s="1" t="s">
        <v>27</v>
      </c>
    </row>
    <row r="81" spans="1:11" s="7" customFormat="1">
      <c r="A81" s="6" t="s">
        <v>24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>
      <c r="A82" s="3" t="s">
        <v>18</v>
      </c>
      <c r="B82">
        <v>198.14</v>
      </c>
      <c r="C82">
        <v>222.02</v>
      </c>
      <c r="D82">
        <v>433.47</v>
      </c>
      <c r="E82">
        <v>455.28</v>
      </c>
      <c r="F82">
        <v>729.99</v>
      </c>
      <c r="G82">
        <v>806.84</v>
      </c>
      <c r="H82">
        <v>1280.1400000000001</v>
      </c>
      <c r="I82">
        <v>1375.14</v>
      </c>
      <c r="J82">
        <v>1372.35</v>
      </c>
      <c r="K82">
        <v>2630.27</v>
      </c>
    </row>
    <row r="83" spans="1:11" s="3" customFormat="1">
      <c r="A83" s="3" t="s">
        <v>19</v>
      </c>
      <c r="B83">
        <v>-270.17</v>
      </c>
      <c r="C83">
        <v>-473.88</v>
      </c>
      <c r="D83">
        <v>-632.89</v>
      </c>
      <c r="E83">
        <v>-2481.61</v>
      </c>
      <c r="F83">
        <v>463.55</v>
      </c>
      <c r="G83">
        <v>-958.37</v>
      </c>
      <c r="H83">
        <v>-4656.5600000000004</v>
      </c>
      <c r="I83">
        <v>-1110</v>
      </c>
      <c r="J83">
        <v>-1289.49</v>
      </c>
      <c r="K83">
        <v>-2313.1</v>
      </c>
    </row>
    <row r="84" spans="1:11" s="3" customFormat="1">
      <c r="A84" s="3" t="s">
        <v>20</v>
      </c>
      <c r="B84">
        <v>65.23</v>
      </c>
      <c r="C84">
        <v>234.45</v>
      </c>
      <c r="D84">
        <v>196.44</v>
      </c>
      <c r="E84">
        <v>2025.26</v>
      </c>
      <c r="F84">
        <v>-1159.06</v>
      </c>
      <c r="G84">
        <v>208.98</v>
      </c>
      <c r="H84">
        <v>3357.42</v>
      </c>
      <c r="I84">
        <v>-179.5</v>
      </c>
      <c r="J84">
        <v>-179.24</v>
      </c>
      <c r="K84">
        <v>-205.14</v>
      </c>
    </row>
    <row r="85" spans="1:11" s="1" customFormat="1">
      <c r="A85" s="3" t="s">
        <v>21</v>
      </c>
      <c r="B85">
        <v>-6.8</v>
      </c>
      <c r="C85">
        <v>-17.41</v>
      </c>
      <c r="D85">
        <v>-2.98</v>
      </c>
      <c r="E85">
        <v>-1.07</v>
      </c>
      <c r="F85">
        <v>34.479999999999997</v>
      </c>
      <c r="G85">
        <v>57.45</v>
      </c>
      <c r="H85">
        <v>-19</v>
      </c>
      <c r="I85">
        <v>85.64</v>
      </c>
      <c r="J85">
        <v>-96.38</v>
      </c>
      <c r="K85">
        <v>112.03</v>
      </c>
    </row>
    <row r="86" spans="1:11">
      <c r="A86" s="3"/>
    </row>
    <row r="87" spans="1:11">
      <c r="A87" s="3"/>
    </row>
    <row r="88" spans="1:11">
      <c r="A88" s="3"/>
    </row>
    <row r="89" spans="1:11">
      <c r="A89" s="3"/>
    </row>
    <row r="90" spans="1:11" s="1" customFormat="1">
      <c r="A90" s="1" t="s">
        <v>43</v>
      </c>
      <c r="B90"/>
      <c r="C90"/>
      <c r="D90"/>
      <c r="E90">
        <v>637.85</v>
      </c>
      <c r="F90">
        <v>1324.8</v>
      </c>
      <c r="G90">
        <v>1471.1</v>
      </c>
      <c r="H90">
        <v>2187.5</v>
      </c>
      <c r="I90">
        <v>2859.05</v>
      </c>
      <c r="J90">
        <v>4003.35</v>
      </c>
      <c r="K90">
        <v>3401.05</v>
      </c>
    </row>
    <row r="92" spans="1:11" s="1" customFormat="1">
      <c r="A92" s="1" t="s">
        <v>42</v>
      </c>
    </row>
    <row r="93" spans="1:11">
      <c r="A93" s="2" t="s">
        <v>55</v>
      </c>
      <c r="B93" s="8">
        <v>54.68</v>
      </c>
      <c r="C93" s="8">
        <v>56.15</v>
      </c>
      <c r="D93" s="8">
        <v>56.15</v>
      </c>
      <c r="E93" s="8">
        <v>62.41</v>
      </c>
      <c r="F93" s="8">
        <v>62.41</v>
      </c>
      <c r="G93" s="8">
        <v>62.41</v>
      </c>
      <c r="H93" s="8">
        <v>64.78</v>
      </c>
      <c r="I93" s="8">
        <v>64.78</v>
      </c>
      <c r="J93" s="8">
        <v>64.78</v>
      </c>
      <c r="K93" s="8">
        <v>64.83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1"/>
  <sheetViews>
    <sheetView showGridLines="0" workbookViewId="0">
      <pane xSplit="1" ySplit="5" topLeftCell="E66" activePane="bottomRight" state="frozen"/>
      <selection pane="topRight" activeCell="B1" sqref="B1"/>
      <selection pane="bottomLeft" activeCell="A6" sqref="A6"/>
      <selection pane="bottomRight" activeCell="M78" sqref="M78"/>
    </sheetView>
  </sheetViews>
  <sheetFormatPr defaultRowHeight="15"/>
  <cols>
    <col min="1" max="1" width="1.85546875" customWidth="1"/>
    <col min="2" max="2" width="38.7109375" bestFit="1" customWidth="1"/>
    <col min="3" max="3" width="18" bestFit="1" customWidth="1"/>
    <col min="4" max="4" width="22.5703125" customWidth="1"/>
    <col min="5" max="5" width="23.5703125" customWidth="1"/>
    <col min="6" max="6" width="17" customWidth="1"/>
    <col min="7" max="7" width="13.42578125" customWidth="1"/>
    <col min="8" max="8" width="10.42578125" customWidth="1"/>
    <col min="9" max="9" width="18.7109375" bestFit="1" customWidth="1"/>
    <col min="10" max="10" width="23.42578125" bestFit="1" customWidth="1"/>
    <col min="11" max="11" width="24.5703125" customWidth="1"/>
    <col min="12" max="12" width="20.7109375" customWidth="1"/>
    <col min="13" max="13" width="24.5703125" bestFit="1" customWidth="1"/>
  </cols>
  <sheetData>
    <row r="3" spans="2:13" ht="21">
      <c r="B3" s="178" t="s">
        <v>318</v>
      </c>
    </row>
    <row r="4" spans="2:13">
      <c r="B4" t="s">
        <v>319</v>
      </c>
    </row>
    <row r="5" spans="2:13" ht="36.75" customHeight="1">
      <c r="B5" s="207" t="s">
        <v>320</v>
      </c>
      <c r="C5" s="207" t="s">
        <v>321</v>
      </c>
      <c r="D5" s="207" t="s">
        <v>322</v>
      </c>
      <c r="E5" s="207" t="s">
        <v>323</v>
      </c>
      <c r="F5" s="207" t="s">
        <v>324</v>
      </c>
      <c r="G5" s="207" t="s">
        <v>325</v>
      </c>
      <c r="H5" s="207" t="s">
        <v>326</v>
      </c>
      <c r="I5" s="207" t="s">
        <v>327</v>
      </c>
      <c r="J5" s="207" t="s">
        <v>328</v>
      </c>
      <c r="K5" s="207" t="s">
        <v>329</v>
      </c>
      <c r="L5" s="208" t="s">
        <v>307</v>
      </c>
      <c r="M5" s="207" t="s">
        <v>330</v>
      </c>
    </row>
    <row r="6" spans="2:13">
      <c r="B6" s="179" t="s">
        <v>331</v>
      </c>
      <c r="C6" s="180">
        <v>13</v>
      </c>
      <c r="D6" s="181">
        <v>12.254999999999999</v>
      </c>
      <c r="E6" s="181">
        <v>6.1719999999999988</v>
      </c>
      <c r="F6" s="182">
        <v>1.9855800388852887</v>
      </c>
      <c r="G6" s="181">
        <v>15.7</v>
      </c>
      <c r="H6" s="181">
        <v>1.9499999999999993</v>
      </c>
      <c r="I6" s="182">
        <v>0.11509866777887166</v>
      </c>
      <c r="J6" s="182">
        <v>0.92871967524177057</v>
      </c>
      <c r="K6" s="183">
        <v>4.3520758141792797</v>
      </c>
      <c r="L6" s="184">
        <f>1/K6</f>
        <v>0.22977540895357343</v>
      </c>
      <c r="M6" s="185">
        <f>VLOOKUP(B6,'[2]Industry Averages'!$A$9:$E$104,5,0)</f>
        <v>0.5859619601682664</v>
      </c>
    </row>
    <row r="7" spans="2:13">
      <c r="B7" s="179" t="s">
        <v>332</v>
      </c>
      <c r="C7" s="180">
        <v>13</v>
      </c>
      <c r="D7" s="181">
        <v>179.85599999999999</v>
      </c>
      <c r="E7" s="181">
        <v>230.04299999999998</v>
      </c>
      <c r="F7" s="182">
        <v>0.78183643927439661</v>
      </c>
      <c r="G7" s="181">
        <v>0</v>
      </c>
      <c r="H7" s="181">
        <v>130.91380000000004</v>
      </c>
      <c r="I7" s="182">
        <v>1.1286262733025205E-2</v>
      </c>
      <c r="J7" s="182">
        <v>8.590057130269689E-2</v>
      </c>
      <c r="K7" s="183">
        <v>2.3987361826292801</v>
      </c>
      <c r="L7" s="184">
        <f t="shared" ref="L7:L70" si="0">1/K7</f>
        <v>0.41688619500619256</v>
      </c>
      <c r="M7" s="185">
        <f>VLOOKUP(B7,'[2]Industry Averages'!$A$9:$E$104,5,0)</f>
        <v>3.398413975620472E-2</v>
      </c>
    </row>
    <row r="8" spans="2:13">
      <c r="B8" s="179" t="s">
        <v>333</v>
      </c>
      <c r="C8" s="180">
        <v>6</v>
      </c>
      <c r="D8" s="181">
        <v>522.1389999999999</v>
      </c>
      <c r="E8" s="181">
        <v>907.27300000000002</v>
      </c>
      <c r="F8" s="182">
        <v>0.57550373481851647</v>
      </c>
      <c r="G8" s="181">
        <v>0</v>
      </c>
      <c r="H8" s="181">
        <v>0</v>
      </c>
      <c r="I8" s="182">
        <v>-5.2425788869725737E-2</v>
      </c>
      <c r="J8" s="182">
        <v>-30.163963317758547</v>
      </c>
      <c r="K8" s="183">
        <v>0.99250581619997469</v>
      </c>
      <c r="L8" s="184">
        <f t="shared" si="0"/>
        <v>1.0075507706632072</v>
      </c>
      <c r="M8" s="185">
        <f>VLOOKUP(B8,'[2]Industry Averages'!$A$9:$E$104,5,0)</f>
        <v>-0.59810780376869188</v>
      </c>
    </row>
    <row r="9" spans="2:13">
      <c r="B9" s="179" t="s">
        <v>334</v>
      </c>
      <c r="C9" s="180">
        <v>323</v>
      </c>
      <c r="D9" s="181">
        <v>1319.1549999999995</v>
      </c>
      <c r="E9" s="181">
        <v>1037.4009999999992</v>
      </c>
      <c r="F9" s="182">
        <v>1.2715960366338577</v>
      </c>
      <c r="G9" s="181">
        <v>18.023</v>
      </c>
      <c r="H9" s="181">
        <v>19.954000000001088</v>
      </c>
      <c r="I9" s="182">
        <v>4.4862222418410296E-3</v>
      </c>
      <c r="J9" s="182">
        <v>0.1324811729154258</v>
      </c>
      <c r="K9" s="183">
        <v>2.8247623583292145</v>
      </c>
      <c r="L9" s="184">
        <f t="shared" si="0"/>
        <v>0.35401208071587242</v>
      </c>
      <c r="M9" s="185">
        <f>VLOOKUP(B9,'[2]Industry Averages'!$A$9:$E$104,5,0)</f>
        <v>9.5153899651068408E-2</v>
      </c>
    </row>
    <row r="10" spans="2:13">
      <c r="B10" s="179" t="s">
        <v>335</v>
      </c>
      <c r="C10" s="180">
        <v>12</v>
      </c>
      <c r="D10" s="181">
        <v>2055.7350000000001</v>
      </c>
      <c r="E10" s="181">
        <v>4078.6380000000004</v>
      </c>
      <c r="F10" s="182">
        <v>0.50402487300907806</v>
      </c>
      <c r="G10" s="181">
        <v>103.39999999999999</v>
      </c>
      <c r="H10" s="181">
        <v>106.72619999999915</v>
      </c>
      <c r="I10" s="182">
        <v>-2.3678847600735676E-2</v>
      </c>
      <c r="J10" s="182">
        <v>-0.48880651837000005</v>
      </c>
      <c r="K10" s="183">
        <v>1.1695525313659343</v>
      </c>
      <c r="L10" s="184">
        <f t="shared" si="0"/>
        <v>0.85502786166610933</v>
      </c>
      <c r="M10" s="185">
        <f>VLOOKUP(B10,'[2]Industry Averages'!$A$9:$E$104,5,0)</f>
        <v>-3.5019143033347938E-2</v>
      </c>
    </row>
    <row r="11" spans="2:13">
      <c r="B11" s="179" t="s">
        <v>336</v>
      </c>
      <c r="C11" s="180">
        <v>107</v>
      </c>
      <c r="D11" s="181">
        <v>1610.9509999999998</v>
      </c>
      <c r="E11" s="181">
        <v>1354.4360000000001</v>
      </c>
      <c r="F11" s="182">
        <v>1.1893887935642582</v>
      </c>
      <c r="G11" s="181">
        <v>188.833</v>
      </c>
      <c r="H11" s="181">
        <v>14.640199999999822</v>
      </c>
      <c r="I11" s="182">
        <v>1.2636963472964002E-2</v>
      </c>
      <c r="J11" s="182">
        <v>0.25411285871330636</v>
      </c>
      <c r="K11" s="183">
        <v>1.9351196747785298</v>
      </c>
      <c r="L11" s="184">
        <f t="shared" si="0"/>
        <v>0.51676390511323178</v>
      </c>
      <c r="M11" s="185">
        <f>VLOOKUP(B11,'[2]Industry Averages'!$A$9:$E$104,5,0)</f>
        <v>5.9256669670706655E-2</v>
      </c>
    </row>
    <row r="12" spans="2:13">
      <c r="B12" s="179" t="s">
        <v>337</v>
      </c>
      <c r="C12" s="180">
        <v>32</v>
      </c>
      <c r="D12" s="181">
        <v>2515.3199999999997</v>
      </c>
      <c r="E12" s="181">
        <v>9.25</v>
      </c>
      <c r="F12" s="182" t="s">
        <v>338</v>
      </c>
      <c r="G12" s="181">
        <v>283.76100000000002</v>
      </c>
      <c r="H12" s="181">
        <v>0</v>
      </c>
      <c r="I12" s="182">
        <v>2.8561625183255935E-2</v>
      </c>
      <c r="J12" s="182">
        <v>95.33594666973957</v>
      </c>
      <c r="K12" s="183">
        <v>0.4374686930360836</v>
      </c>
      <c r="L12" s="184">
        <f t="shared" si="0"/>
        <v>2.2858778603330072</v>
      </c>
      <c r="M12" s="185">
        <f>VLOOKUP(B12,'[2]Industry Averages'!$A$9:$E$104,5,0)</f>
        <v>1.176175134580692E-2</v>
      </c>
    </row>
    <row r="13" spans="2:13">
      <c r="B13" s="179" t="s">
        <v>339</v>
      </c>
      <c r="C13" s="180">
        <v>5</v>
      </c>
      <c r="D13" s="181">
        <v>90.31</v>
      </c>
      <c r="E13" s="181">
        <v>0</v>
      </c>
      <c r="F13" s="182" t="s">
        <v>338</v>
      </c>
      <c r="G13" s="181">
        <v>0</v>
      </c>
      <c r="H13" s="181">
        <v>0</v>
      </c>
      <c r="I13" s="182">
        <v>4.0481420054686447E-2</v>
      </c>
      <c r="J13" s="182">
        <v>14.611621092579158</v>
      </c>
      <c r="K13" s="183">
        <v>0.52508707334008453</v>
      </c>
      <c r="L13" s="184">
        <f t="shared" si="0"/>
        <v>1.9044460448035585</v>
      </c>
      <c r="M13" s="185">
        <f>VLOOKUP(B13,'[2]Industry Averages'!$A$9:$E$104,5,0)</f>
        <v>2.1963454228465167E-2</v>
      </c>
    </row>
    <row r="14" spans="2:13">
      <c r="B14" s="179" t="s">
        <v>340</v>
      </c>
      <c r="C14" s="180">
        <v>19</v>
      </c>
      <c r="D14" s="181">
        <v>132.85499999999999</v>
      </c>
      <c r="E14" s="181">
        <v>94.073999999999998</v>
      </c>
      <c r="F14" s="182">
        <v>1.4122393009758274</v>
      </c>
      <c r="G14" s="181">
        <v>31.029999999999998</v>
      </c>
      <c r="H14" s="181">
        <v>1.3230000000000359</v>
      </c>
      <c r="I14" s="182">
        <v>1.9774489535232507E-2</v>
      </c>
      <c r="J14" s="182">
        <v>0.23780071124215976</v>
      </c>
      <c r="K14" s="183">
        <v>1.8773559185600828</v>
      </c>
      <c r="L14" s="184">
        <f t="shared" si="0"/>
        <v>0.5326640463397011</v>
      </c>
      <c r="M14" s="185">
        <f>VLOOKUP(B14,'[2]Industry Averages'!$A$9:$E$104,5,0)</f>
        <v>4.3070540726236804E-2</v>
      </c>
    </row>
    <row r="15" spans="2:13">
      <c r="B15" s="179" t="s">
        <v>341</v>
      </c>
      <c r="C15" s="180">
        <v>5</v>
      </c>
      <c r="D15" s="181">
        <v>1.59</v>
      </c>
      <c r="E15" s="181">
        <v>70.091000000000008</v>
      </c>
      <c r="F15" s="182">
        <v>2.2684795480161501E-2</v>
      </c>
      <c r="G15" s="181">
        <v>0</v>
      </c>
      <c r="H15" s="181">
        <v>0</v>
      </c>
      <c r="I15" s="182">
        <v>-4.3484802124820511E-2</v>
      </c>
      <c r="J15" s="182">
        <v>-0.34007573967155907</v>
      </c>
      <c r="K15" s="183">
        <v>2.0035510469356326</v>
      </c>
      <c r="L15" s="184">
        <f t="shared" si="0"/>
        <v>0.49911381171419023</v>
      </c>
      <c r="M15" s="185">
        <f>VLOOKUP(B15,'[2]Industry Averages'!$A$9:$E$104,5,0)</f>
        <v>-0.10415246868424263</v>
      </c>
    </row>
    <row r="16" spans="2:13">
      <c r="B16" s="179" t="s">
        <v>342</v>
      </c>
      <c r="C16" s="180">
        <v>17</v>
      </c>
      <c r="D16" s="181">
        <v>182.505</v>
      </c>
      <c r="E16" s="181">
        <v>165.614</v>
      </c>
      <c r="F16" s="182">
        <v>1.1019901699131716</v>
      </c>
      <c r="G16" s="181">
        <v>4.95</v>
      </c>
      <c r="H16" s="181">
        <v>4.0799999999990177E-2</v>
      </c>
      <c r="I16" s="182">
        <v>6.484380093286779E-3</v>
      </c>
      <c r="J16" s="182">
        <v>4.8500550382375579E-2</v>
      </c>
      <c r="K16" s="183">
        <v>1.0879530894503171</v>
      </c>
      <c r="L16" s="184">
        <f t="shared" si="0"/>
        <v>0.91915727773266864</v>
      </c>
      <c r="M16" s="185">
        <f>VLOOKUP(B16,'[2]Industry Averages'!$A$9:$E$104,5,0)</f>
        <v>0.17417747786795842</v>
      </c>
    </row>
    <row r="17" spans="2:13">
      <c r="B17" s="179" t="s">
        <v>343</v>
      </c>
      <c r="C17" s="180">
        <v>174</v>
      </c>
      <c r="D17" s="181">
        <v>98.346000000000089</v>
      </c>
      <c r="E17" s="181">
        <v>60.774000000000022</v>
      </c>
      <c r="F17" s="182">
        <v>1.6182248988054111</v>
      </c>
      <c r="G17" s="181">
        <v>1.6089999999999998</v>
      </c>
      <c r="H17" s="181">
        <v>0.97879999999999967</v>
      </c>
      <c r="I17" s="182">
        <v>5.718692742478557E-3</v>
      </c>
      <c r="J17" s="182">
        <v>2.6058980419272868</v>
      </c>
      <c r="K17" s="183">
        <v>0.7957445803487172</v>
      </c>
      <c r="L17" s="184">
        <f t="shared" si="0"/>
        <v>1.2566846506975549</v>
      </c>
      <c r="M17" s="185">
        <f>VLOOKUP(B17,'[2]Industry Averages'!$A$9:$E$104,5,0)</f>
        <v>1.1229890259896977E-2</v>
      </c>
    </row>
    <row r="18" spans="2:13">
      <c r="B18" s="179" t="s">
        <v>344</v>
      </c>
      <c r="C18" s="180">
        <v>48</v>
      </c>
      <c r="D18" s="181">
        <v>294.06299999999999</v>
      </c>
      <c r="E18" s="181">
        <v>132.08999999999997</v>
      </c>
      <c r="F18" s="182">
        <v>2.2262321144674089</v>
      </c>
      <c r="G18" s="181">
        <v>-2.7E-2</v>
      </c>
      <c r="H18" s="181">
        <v>0.48220000000009122</v>
      </c>
      <c r="I18" s="182">
        <v>3.0565548896952174E-2</v>
      </c>
      <c r="J18" s="182">
        <v>0.5501661862388435</v>
      </c>
      <c r="K18" s="183">
        <v>2.0105271975176731</v>
      </c>
      <c r="L18" s="184">
        <f t="shared" si="0"/>
        <v>0.497381980823072</v>
      </c>
      <c r="M18" s="185">
        <f>VLOOKUP(B18,'[2]Industry Averages'!$A$9:$E$104,5,0)</f>
        <v>0.1715718544183254</v>
      </c>
    </row>
    <row r="19" spans="2:13">
      <c r="B19" s="179" t="s">
        <v>345</v>
      </c>
      <c r="C19" s="180">
        <v>58</v>
      </c>
      <c r="D19" s="181">
        <v>141.79699999999997</v>
      </c>
      <c r="E19" s="181">
        <v>125.52300000000002</v>
      </c>
      <c r="F19" s="182">
        <v>1.1296495462982874</v>
      </c>
      <c r="G19" s="181">
        <v>-26.311</v>
      </c>
      <c r="H19" s="181">
        <v>7.9599999999913962E-2</v>
      </c>
      <c r="I19" s="182">
        <v>-1.5559103624124143E-3</v>
      </c>
      <c r="J19" s="182">
        <v>-2.2128621978277325E-2</v>
      </c>
      <c r="K19" s="183">
        <v>4.0759056231095938</v>
      </c>
      <c r="L19" s="184">
        <f t="shared" si="0"/>
        <v>0.24534424799489812</v>
      </c>
      <c r="M19" s="185">
        <f>VLOOKUP(B19,'[2]Industry Averages'!$A$9:$E$104,5,0)</f>
        <v>0.13481714734660222</v>
      </c>
    </row>
    <row r="20" spans="2:13">
      <c r="B20" s="179" t="s">
        <v>346</v>
      </c>
      <c r="C20" s="180">
        <v>8</v>
      </c>
      <c r="D20" s="181">
        <v>207.31</v>
      </c>
      <c r="E20" s="181">
        <v>272.43100000000004</v>
      </c>
      <c r="F20" s="182">
        <v>0.76096332649368081</v>
      </c>
      <c r="G20" s="181">
        <v>-0.42799999999999999</v>
      </c>
      <c r="H20" s="181">
        <v>0</v>
      </c>
      <c r="I20" s="182">
        <v>-5.0339982459454806E-2</v>
      </c>
      <c r="J20" s="182">
        <v>-0.91369890717302304</v>
      </c>
      <c r="K20" s="183">
        <v>0.98018147410448508</v>
      </c>
      <c r="L20" s="184">
        <f t="shared" si="0"/>
        <v>1.0202192414558964</v>
      </c>
      <c r="M20" s="185">
        <f>VLOOKUP(B20,'[2]Industry Averages'!$A$9:$E$104,5,0)</f>
        <v>-3.5265425948056281E-3</v>
      </c>
    </row>
    <row r="21" spans="2:13">
      <c r="B21" s="179" t="s">
        <v>347</v>
      </c>
      <c r="C21" s="180">
        <v>128</v>
      </c>
      <c r="D21" s="181">
        <v>1638.4330000000004</v>
      </c>
      <c r="E21" s="181">
        <v>741.08699999999999</v>
      </c>
      <c r="F21" s="182">
        <v>2.2108510876590746</v>
      </c>
      <c r="G21" s="181">
        <v>29.027999999999999</v>
      </c>
      <c r="H21" s="181">
        <v>4.4913999999994303</v>
      </c>
      <c r="I21" s="182">
        <v>3.651505614599599E-2</v>
      </c>
      <c r="J21" s="182">
        <v>0.36157794125719617</v>
      </c>
      <c r="K21" s="183">
        <v>1.4829760826656215</v>
      </c>
      <c r="L21" s="184">
        <f t="shared" si="0"/>
        <v>0.67431970865134849</v>
      </c>
      <c r="M21" s="185">
        <f>VLOOKUP(B21,'[2]Industry Averages'!$A$9:$E$104,5,0)</f>
        <v>0.11908758671978847</v>
      </c>
    </row>
    <row r="22" spans="2:13">
      <c r="B22" s="179" t="s">
        <v>348</v>
      </c>
      <c r="C22" s="180">
        <v>10</v>
      </c>
      <c r="D22" s="181">
        <v>678.43</v>
      </c>
      <c r="E22" s="181">
        <v>188.09999999999994</v>
      </c>
      <c r="F22" s="182">
        <v>3.6067517278043604</v>
      </c>
      <c r="G22" s="181">
        <v>33.42</v>
      </c>
      <c r="H22" s="181">
        <v>1.6743999999996504</v>
      </c>
      <c r="I22" s="182">
        <v>6.8788133485199535E-2</v>
      </c>
      <c r="J22" s="182">
        <v>0.69803448886853148</v>
      </c>
      <c r="K22" s="183">
        <v>1.9394418222297922</v>
      </c>
      <c r="L22" s="184">
        <f t="shared" si="0"/>
        <v>0.51561226974588581</v>
      </c>
      <c r="M22" s="185">
        <f>VLOOKUP(B22,'[2]Industry Averages'!$A$9:$E$104,5,0)</f>
        <v>0.221375215652759</v>
      </c>
    </row>
    <row r="23" spans="2:13">
      <c r="B23" s="179" t="s">
        <v>349</v>
      </c>
      <c r="C23" s="180">
        <v>167</v>
      </c>
      <c r="D23" s="181">
        <v>2136.2280000000005</v>
      </c>
      <c r="E23" s="181">
        <v>1159.7210000000005</v>
      </c>
      <c r="F23" s="182">
        <v>1.8420188993732109</v>
      </c>
      <c r="G23" s="181">
        <v>149.75400000000002</v>
      </c>
      <c r="H23" s="181">
        <v>-8.0283999999992375</v>
      </c>
      <c r="I23" s="182">
        <v>2.2489217526960082E-2</v>
      </c>
      <c r="J23" s="182">
        <v>0.23451832048916638</v>
      </c>
      <c r="K23" s="183">
        <v>2.0349819285044326</v>
      </c>
      <c r="L23" s="184">
        <f t="shared" si="0"/>
        <v>0.49140485524356919</v>
      </c>
      <c r="M23" s="185">
        <f>VLOOKUP(B23,'[2]Industry Averages'!$A$9:$E$104,5,0)</f>
        <v>0.20753919314975397</v>
      </c>
    </row>
    <row r="24" spans="2:13">
      <c r="B24" s="179" t="s">
        <v>350</v>
      </c>
      <c r="C24" s="180">
        <v>2</v>
      </c>
      <c r="D24" s="181">
        <v>1808.8</v>
      </c>
      <c r="E24" s="181">
        <v>550.29999999999995</v>
      </c>
      <c r="F24" s="182">
        <v>3.2869343994184992</v>
      </c>
      <c r="G24" s="181">
        <v>0</v>
      </c>
      <c r="H24" s="181">
        <v>0.78600000000005821</v>
      </c>
      <c r="I24" s="182">
        <v>8.2890844583698109E-2</v>
      </c>
      <c r="J24" s="182">
        <v>0.43299617791782347</v>
      </c>
      <c r="K24" s="183">
        <v>4.0386197113756372</v>
      </c>
      <c r="L24" s="184">
        <f t="shared" si="0"/>
        <v>0.24760934959617165</v>
      </c>
      <c r="M24" s="185">
        <f>VLOOKUP(B24,'[2]Industry Averages'!$A$9:$E$104,5,0)</f>
        <v>0.29707528166542035</v>
      </c>
    </row>
    <row r="25" spans="2:13">
      <c r="B25" s="179" t="s">
        <v>351</v>
      </c>
      <c r="C25" s="180">
        <v>132</v>
      </c>
      <c r="D25" s="181">
        <v>1553.5179999999993</v>
      </c>
      <c r="E25" s="181">
        <v>2311.905999999999</v>
      </c>
      <c r="F25" s="182">
        <v>0.67196417155368771</v>
      </c>
      <c r="G25" s="181">
        <v>1856.9579999999999</v>
      </c>
      <c r="H25" s="181">
        <v>-15.583800000000338</v>
      </c>
      <c r="I25" s="182">
        <v>1.1830690502188625E-2</v>
      </c>
      <c r="J25" s="182">
        <v>8.9775143517130118E-2</v>
      </c>
      <c r="K25" s="183">
        <v>2.3636028584024564</v>
      </c>
      <c r="L25" s="184">
        <f t="shared" si="0"/>
        <v>0.42308292040055046</v>
      </c>
      <c r="M25" s="185">
        <f>VLOOKUP(B25,'[2]Industry Averages'!$A$9:$E$104,5,0)</f>
        <v>0.13864803973032297</v>
      </c>
    </row>
    <row r="26" spans="2:13">
      <c r="B26" s="179" t="s">
        <v>352</v>
      </c>
      <c r="C26" s="180">
        <v>6</v>
      </c>
      <c r="D26" s="181">
        <v>1.4159999999999999</v>
      </c>
      <c r="E26" s="181">
        <v>1.145</v>
      </c>
      <c r="F26" s="182">
        <v>1.2366812227074235</v>
      </c>
      <c r="G26" s="181">
        <v>0</v>
      </c>
      <c r="H26" s="181">
        <v>0</v>
      </c>
      <c r="I26" s="182">
        <v>4.5590659802833E-3</v>
      </c>
      <c r="J26" s="182">
        <v>0.1367178137238407</v>
      </c>
      <c r="K26" s="183">
        <v>1.8150229007633587</v>
      </c>
      <c r="L26" s="184">
        <f t="shared" si="0"/>
        <v>0.55095723562464249</v>
      </c>
      <c r="M26" s="185">
        <f>VLOOKUP(B26,'[2]Industry Averages'!$A$9:$E$104,5,0)</f>
        <v>8.0008171038542325E-2</v>
      </c>
    </row>
    <row r="27" spans="2:13">
      <c r="B27" s="179" t="s">
        <v>353</v>
      </c>
      <c r="C27" s="180">
        <v>92</v>
      </c>
      <c r="D27" s="181">
        <v>4110.0010000000002</v>
      </c>
      <c r="E27" s="181">
        <v>2184.752</v>
      </c>
      <c r="F27" s="182">
        <v>1.8812208433726119</v>
      </c>
      <c r="G27" s="181">
        <v>89.38900000000001</v>
      </c>
      <c r="H27" s="181">
        <v>18.402200000002267</v>
      </c>
      <c r="I27" s="182">
        <v>4.1099200956765662E-2</v>
      </c>
      <c r="J27" s="182">
        <v>0.48172167480265604</v>
      </c>
      <c r="K27" s="183">
        <v>0.95495638161746377</v>
      </c>
      <c r="L27" s="184">
        <f t="shared" si="0"/>
        <v>1.0471682468954691</v>
      </c>
      <c r="M27" s="185">
        <f>VLOOKUP(B27,'[2]Industry Averages'!$A$9:$E$104,5,0)</f>
        <v>5.3265356814775004E-2</v>
      </c>
    </row>
    <row r="28" spans="2:13">
      <c r="B28" s="179" t="s">
        <v>354</v>
      </c>
      <c r="C28" s="180">
        <v>13</v>
      </c>
      <c r="D28" s="181">
        <v>164.44300000000001</v>
      </c>
      <c r="E28" s="181">
        <v>222.017</v>
      </c>
      <c r="F28" s="182">
        <v>0.74067751568573581</v>
      </c>
      <c r="G28" s="181">
        <v>9.2309999999999999</v>
      </c>
      <c r="H28" s="181">
        <v>-2.2498000000001639</v>
      </c>
      <c r="I28" s="182">
        <v>-6.2112043729173278E-3</v>
      </c>
      <c r="J28" s="182">
        <v>-8.6913482771074024E-2</v>
      </c>
      <c r="K28" s="183">
        <v>0.60656203573712342</v>
      </c>
      <c r="L28" s="184">
        <f t="shared" si="0"/>
        <v>1.6486359862347002</v>
      </c>
      <c r="M28" s="185">
        <f>VLOOKUP(B28,'[2]Industry Averages'!$A$9:$E$104,5,0)</f>
        <v>2.1566234409499157E-2</v>
      </c>
    </row>
    <row r="29" spans="2:13">
      <c r="B29" s="179" t="s">
        <v>355</v>
      </c>
      <c r="C29" s="180">
        <v>8</v>
      </c>
      <c r="D29" s="181">
        <v>228.45800000000003</v>
      </c>
      <c r="E29" s="181">
        <v>115.92200000000001</v>
      </c>
      <c r="F29" s="182">
        <v>1.9707907040941324</v>
      </c>
      <c r="G29" s="181">
        <v>1.2E-2</v>
      </c>
      <c r="H29" s="181">
        <v>-106.18860000000001</v>
      </c>
      <c r="I29" s="182">
        <v>5.2157139025832567E-3</v>
      </c>
      <c r="J29" s="182">
        <v>6.7797118914613846E-2</v>
      </c>
      <c r="K29" s="183">
        <v>0.8111705878752562</v>
      </c>
      <c r="L29" s="184">
        <f t="shared" si="0"/>
        <v>1.2327863151687428</v>
      </c>
      <c r="M29" s="185">
        <f>VLOOKUP(B29,'[2]Industry Averages'!$A$9:$E$104,5,0)</f>
        <v>5.5785785478105164E-3</v>
      </c>
    </row>
    <row r="30" spans="2:13">
      <c r="B30" s="179" t="s">
        <v>356</v>
      </c>
      <c r="C30" s="180">
        <v>156</v>
      </c>
      <c r="D30" s="181">
        <v>2186.7790000000009</v>
      </c>
      <c r="E30" s="181">
        <v>1565.3380000000004</v>
      </c>
      <c r="F30" s="182">
        <v>1.3970011588551485</v>
      </c>
      <c r="G30" s="181">
        <v>407.00899999999996</v>
      </c>
      <c r="H30" s="181">
        <v>93.16939999999704</v>
      </c>
      <c r="I30" s="182">
        <v>3.1780616216509919E-2</v>
      </c>
      <c r="J30" s="182">
        <v>0.29197518924808835</v>
      </c>
      <c r="K30" s="183">
        <v>0.92891089839558916</v>
      </c>
      <c r="L30" s="184">
        <f t="shared" si="0"/>
        <v>1.0765295161540205</v>
      </c>
      <c r="M30" s="185">
        <f>VLOOKUP(B30,'[2]Industry Averages'!$A$9:$E$104,5,0)</f>
        <v>5.4942200303473188E-2</v>
      </c>
    </row>
    <row r="31" spans="2:13">
      <c r="B31" s="179" t="s">
        <v>357</v>
      </c>
      <c r="C31" s="180">
        <v>26</v>
      </c>
      <c r="D31" s="181">
        <v>9.1889999999999983</v>
      </c>
      <c r="E31" s="181">
        <v>17.787000000000006</v>
      </c>
      <c r="F31" s="182">
        <v>0.51661325687299686</v>
      </c>
      <c r="G31" s="181">
        <v>4.2090000000000005</v>
      </c>
      <c r="H31" s="181">
        <v>0.30079999999999896</v>
      </c>
      <c r="I31" s="182">
        <v>-2.5667072665402673E-2</v>
      </c>
      <c r="J31" s="182" t="s">
        <v>338</v>
      </c>
      <c r="K31" s="183">
        <v>0.46552026137843255</v>
      </c>
      <c r="L31" s="184">
        <f t="shared" si="0"/>
        <v>2.1481342123303975</v>
      </c>
      <c r="M31" s="185" t="str">
        <f>VLOOKUP(B31,'[2]Industry Averages'!$A$9:$E$104,5,0)</f>
        <v>NA</v>
      </c>
    </row>
    <row r="32" spans="2:13">
      <c r="B32" s="179" t="s">
        <v>358</v>
      </c>
      <c r="C32" s="180">
        <v>102</v>
      </c>
      <c r="D32" s="181">
        <v>563.66300000000012</v>
      </c>
      <c r="E32" s="181">
        <v>356.55100000000033</v>
      </c>
      <c r="F32" s="182">
        <v>1.5808762280851816</v>
      </c>
      <c r="G32" s="181">
        <v>1.613</v>
      </c>
      <c r="H32" s="181">
        <v>32.251199999999926</v>
      </c>
      <c r="I32" s="182">
        <v>1.3219963238289219E-2</v>
      </c>
      <c r="J32" s="182">
        <v>0.28987966912953128</v>
      </c>
      <c r="K32" s="183">
        <v>1.5318773983427414</v>
      </c>
      <c r="L32" s="184">
        <f t="shared" si="0"/>
        <v>0.65279375561115272</v>
      </c>
      <c r="M32" s="185">
        <f>VLOOKUP(B32,'[2]Industry Averages'!$A$9:$E$104,5,0)</f>
        <v>5.4779301194835844E-2</v>
      </c>
    </row>
    <row r="33" spans="2:13">
      <c r="B33" s="179" t="s">
        <v>359</v>
      </c>
      <c r="C33" s="180">
        <v>8</v>
      </c>
      <c r="D33" s="181">
        <v>57.395999999999994</v>
      </c>
      <c r="E33" s="181">
        <v>14.183000000000003</v>
      </c>
      <c r="F33" s="182">
        <v>4.046816611436225</v>
      </c>
      <c r="G33" s="181">
        <v>0</v>
      </c>
      <c r="H33" s="181">
        <v>0.41819999999999879</v>
      </c>
      <c r="I33" s="182">
        <v>2.4886209893978418E-2</v>
      </c>
      <c r="J33" s="182">
        <v>1.2335301560243535</v>
      </c>
      <c r="K33" s="183">
        <v>8.0284903363834275</v>
      </c>
      <c r="L33" s="184">
        <f t="shared" si="0"/>
        <v>0.12455641821828078</v>
      </c>
      <c r="M33" s="185">
        <f>VLOOKUP(B33,'[2]Industry Averages'!$A$9:$E$104,5,0)</f>
        <v>0.32618520356113251</v>
      </c>
    </row>
    <row r="34" spans="2:13">
      <c r="B34" s="179" t="s">
        <v>360</v>
      </c>
      <c r="C34" s="180">
        <v>27</v>
      </c>
      <c r="D34" s="181">
        <v>56.801000000000009</v>
      </c>
      <c r="E34" s="181">
        <v>29.396999999999991</v>
      </c>
      <c r="F34" s="182">
        <v>1.9322039663911292</v>
      </c>
      <c r="G34" s="181">
        <v>38.200000000000003</v>
      </c>
      <c r="H34" s="181">
        <v>1.4602000000000146</v>
      </c>
      <c r="I34" s="182">
        <v>4.8774070052516501E-2</v>
      </c>
      <c r="J34" s="182">
        <v>0.76100466033512837</v>
      </c>
      <c r="K34" s="183">
        <v>2.4268056179172435</v>
      </c>
      <c r="L34" s="184">
        <f t="shared" si="0"/>
        <v>0.41206431723123738</v>
      </c>
      <c r="M34" s="185">
        <f>VLOOKUP(B34,'[2]Industry Averages'!$A$9:$E$104,5,0)</f>
        <v>0.27119359131932486</v>
      </c>
    </row>
    <row r="35" spans="2:13">
      <c r="B35" s="179" t="s">
        <v>361</v>
      </c>
      <c r="C35" s="180">
        <v>144</v>
      </c>
      <c r="D35" s="181">
        <v>1658.8349999999991</v>
      </c>
      <c r="E35" s="181">
        <v>1125.7489999999993</v>
      </c>
      <c r="F35" s="182">
        <v>1.4735389505120591</v>
      </c>
      <c r="G35" s="181">
        <v>31.045000000000005</v>
      </c>
      <c r="H35" s="181">
        <v>41.382199999999102</v>
      </c>
      <c r="I35" s="182">
        <v>1.2229110161280348E-2</v>
      </c>
      <c r="J35" s="182">
        <v>0.18999347335267988</v>
      </c>
      <c r="K35" s="183">
        <v>0.97947460971731182</v>
      </c>
      <c r="L35" s="184">
        <f t="shared" si="0"/>
        <v>1.0209555103103816</v>
      </c>
      <c r="M35" s="185">
        <f>VLOOKUP(B35,'[2]Industry Averages'!$A$9:$E$104,5,0)</f>
        <v>4.8665675034765175E-2</v>
      </c>
    </row>
    <row r="36" spans="2:13">
      <c r="B36" s="179" t="s">
        <v>362</v>
      </c>
      <c r="C36" s="180">
        <v>60</v>
      </c>
      <c r="D36" s="181">
        <v>108.20100000000001</v>
      </c>
      <c r="E36" s="181">
        <v>238.99400000000006</v>
      </c>
      <c r="F36" s="182">
        <v>0.4527352151100027</v>
      </c>
      <c r="G36" s="181">
        <v>14.456000000000001</v>
      </c>
      <c r="H36" s="181">
        <v>0.22699999999997544</v>
      </c>
      <c r="I36" s="182">
        <v>-6.3295762547399617E-2</v>
      </c>
      <c r="J36" s="182">
        <v>-0.90136253583662951</v>
      </c>
      <c r="K36" s="183">
        <v>0.67995090932629787</v>
      </c>
      <c r="L36" s="184">
        <f t="shared" si="0"/>
        <v>1.4706944079107269</v>
      </c>
      <c r="M36" s="185">
        <f>VLOOKUP(B36,'[2]Industry Averages'!$A$9:$E$104,5,0)</f>
        <v>6.6039226657281618E-3</v>
      </c>
    </row>
    <row r="37" spans="2:13">
      <c r="B37" s="179" t="s">
        <v>363</v>
      </c>
      <c r="C37" s="180">
        <v>10</v>
      </c>
      <c r="D37" s="181">
        <v>37.591000000000001</v>
      </c>
      <c r="E37" s="181">
        <v>8.3019999999999996</v>
      </c>
      <c r="F37" s="182">
        <v>4.5279450734762712</v>
      </c>
      <c r="G37" s="181">
        <v>0</v>
      </c>
      <c r="H37" s="181">
        <v>0.12040000000000362</v>
      </c>
      <c r="I37" s="182">
        <v>4.7153118486451824E-2</v>
      </c>
      <c r="J37" s="182">
        <v>0.31870481467573086</v>
      </c>
      <c r="K37" s="183">
        <v>5.2712447135424583</v>
      </c>
      <c r="L37" s="184">
        <f t="shared" si="0"/>
        <v>0.18970851370851374</v>
      </c>
      <c r="M37" s="185">
        <f>VLOOKUP(B37,'[2]Industry Averages'!$A$9:$E$104,5,0)</f>
        <v>0.84345976944175927</v>
      </c>
    </row>
    <row r="38" spans="2:13">
      <c r="B38" s="179" t="s">
        <v>364</v>
      </c>
      <c r="C38" s="180">
        <v>57</v>
      </c>
      <c r="D38" s="181">
        <v>161.96200000000005</v>
      </c>
      <c r="E38" s="181">
        <v>119.33699999999997</v>
      </c>
      <c r="F38" s="182">
        <v>1.3571817625715417</v>
      </c>
      <c r="G38" s="181">
        <v>-3.7859999999999996</v>
      </c>
      <c r="H38" s="181">
        <v>2.4352000000000658</v>
      </c>
      <c r="I38" s="182">
        <v>7.7462767885144116E-3</v>
      </c>
      <c r="J38" s="182">
        <v>0.13946671212312556</v>
      </c>
      <c r="K38" s="183">
        <v>1.499299489143417</v>
      </c>
      <c r="L38" s="184">
        <f t="shared" si="0"/>
        <v>0.66697815029025465</v>
      </c>
      <c r="M38" s="185">
        <f>VLOOKUP(B38,'[2]Industry Averages'!$A$9:$E$104,5,0)</f>
        <v>4.1177374405029624E-2</v>
      </c>
    </row>
    <row r="39" spans="2:13">
      <c r="B39" s="179" t="s">
        <v>365</v>
      </c>
      <c r="C39" s="180">
        <v>254</v>
      </c>
      <c r="D39" s="181">
        <v>906.47899999999925</v>
      </c>
      <c r="E39" s="181">
        <v>620.97899999999879</v>
      </c>
      <c r="F39" s="182">
        <v>1.4597578984152459</v>
      </c>
      <c r="G39" s="181">
        <v>287.91599999999994</v>
      </c>
      <c r="H39" s="181">
        <v>0.36240000000043437</v>
      </c>
      <c r="I39" s="182">
        <v>1.1353578117487301E-2</v>
      </c>
      <c r="J39" s="182">
        <v>0.19426990353303017</v>
      </c>
      <c r="K39" s="183">
        <v>0.10361553672669978</v>
      </c>
      <c r="L39" s="184">
        <f t="shared" si="0"/>
        <v>9.6510622980956757</v>
      </c>
      <c r="M39" s="185">
        <f>VLOOKUP(B39,'[2]Industry Averages'!$A$9:$E$104,5,0)</f>
        <v>1.6319973349452094E-3</v>
      </c>
    </row>
    <row r="40" spans="2:13">
      <c r="B40" s="179" t="s">
        <v>366</v>
      </c>
      <c r="C40" s="180">
        <v>185</v>
      </c>
      <c r="D40" s="181">
        <v>1139.2389999999998</v>
      </c>
      <c r="E40" s="181">
        <v>609.47200000000021</v>
      </c>
      <c r="F40" s="182">
        <v>1.8692228683188061</v>
      </c>
      <c r="G40" s="181">
        <v>99.592999999999989</v>
      </c>
      <c r="H40" s="181">
        <v>3.0955999999996493</v>
      </c>
      <c r="I40" s="182">
        <v>1.654482844947593E-2</v>
      </c>
      <c r="J40" s="182">
        <v>0.34667722096273373</v>
      </c>
      <c r="K40" s="183">
        <v>2.3987393584917776</v>
      </c>
      <c r="L40" s="184">
        <f t="shared" si="0"/>
        <v>0.41688564306076015</v>
      </c>
      <c r="M40" s="185">
        <f>VLOOKUP(B40,'[2]Industry Averages'!$A$9:$E$104,5,0)</f>
        <v>5.4777162946450651E-2</v>
      </c>
    </row>
    <row r="41" spans="2:13">
      <c r="B41" s="179" t="s">
        <v>367</v>
      </c>
      <c r="C41" s="180">
        <v>32</v>
      </c>
      <c r="D41" s="181">
        <v>6.987000000000001</v>
      </c>
      <c r="E41" s="181">
        <v>5.0289999999999973</v>
      </c>
      <c r="F41" s="182">
        <v>1.3893418174587402</v>
      </c>
      <c r="G41" s="181">
        <v>0</v>
      </c>
      <c r="H41" s="181">
        <v>1.440000000000019E-2</v>
      </c>
      <c r="I41" s="182">
        <v>1.9393915557216219E-3</v>
      </c>
      <c r="J41" s="182">
        <v>0.2785279810024085</v>
      </c>
      <c r="K41" s="183">
        <v>6.2547509341966405</v>
      </c>
      <c r="L41" s="184">
        <f t="shared" si="0"/>
        <v>0.15987846846669682</v>
      </c>
      <c r="M41" s="185">
        <f>VLOOKUP(B41,'[2]Industry Averages'!$A$9:$E$104,5,0)</f>
        <v>-0.12880591650667342</v>
      </c>
    </row>
    <row r="42" spans="2:13">
      <c r="B42" s="179" t="s">
        <v>368</v>
      </c>
      <c r="C42" s="180">
        <v>38</v>
      </c>
      <c r="D42" s="181">
        <v>205.1639999999999</v>
      </c>
      <c r="E42" s="181">
        <v>125.40899999999999</v>
      </c>
      <c r="F42" s="182">
        <v>1.635959141688395</v>
      </c>
      <c r="G42" s="181">
        <v>258.56399999999996</v>
      </c>
      <c r="H42" s="181">
        <v>0.71700000000015507</v>
      </c>
      <c r="I42" s="182">
        <v>5.678549822224991E-2</v>
      </c>
      <c r="J42" s="182">
        <v>1.2293976587488495</v>
      </c>
      <c r="K42" s="183">
        <v>2.8429462461480384</v>
      </c>
      <c r="L42" s="184">
        <f t="shared" si="0"/>
        <v>0.35174776918660311</v>
      </c>
      <c r="M42" s="185">
        <f>VLOOKUP(B42,'[2]Industry Averages'!$A$9:$E$104,5,0)</f>
        <v>0.16055101798163096</v>
      </c>
    </row>
    <row r="43" spans="2:13">
      <c r="B43" s="179" t="s">
        <v>369</v>
      </c>
      <c r="C43" s="180">
        <v>18</v>
      </c>
      <c r="D43" s="181">
        <v>2209.9460000000008</v>
      </c>
      <c r="E43" s="181">
        <v>407.41700000000003</v>
      </c>
      <c r="F43" s="182">
        <v>5.4242851918304851</v>
      </c>
      <c r="G43" s="181">
        <v>155.48400000000001</v>
      </c>
      <c r="H43" s="181">
        <v>1.8600000000105865E-2</v>
      </c>
      <c r="I43" s="182">
        <v>0.62222232108695863</v>
      </c>
      <c r="J43" s="182">
        <v>1.7375867271130236</v>
      </c>
      <c r="K43" s="183">
        <v>0.17791576151384964</v>
      </c>
      <c r="L43" s="184">
        <f t="shared" si="0"/>
        <v>5.620637494346763</v>
      </c>
      <c r="M43" s="185">
        <f>VLOOKUP(B43,'[2]Industry Averages'!$A$9:$E$104,5,0)</f>
        <v>0.12033880405733269</v>
      </c>
    </row>
    <row r="44" spans="2:13">
      <c r="B44" s="179" t="s">
        <v>370</v>
      </c>
      <c r="C44" s="180">
        <v>13</v>
      </c>
      <c r="D44" s="181">
        <v>28.855000000000004</v>
      </c>
      <c r="E44" s="181">
        <v>8.5590000000000011</v>
      </c>
      <c r="F44" s="182">
        <v>3.37130505900222</v>
      </c>
      <c r="G44" s="181">
        <v>0</v>
      </c>
      <c r="H44" s="181">
        <v>-6.1599999999998545E-2</v>
      </c>
      <c r="I44" s="182">
        <v>9.3935229889326344E-2</v>
      </c>
      <c r="J44" s="182">
        <v>1.078518650966914</v>
      </c>
      <c r="K44" s="183">
        <v>1.0103972299070223</v>
      </c>
      <c r="L44" s="184">
        <f t="shared" si="0"/>
        <v>0.98970976008319123</v>
      </c>
      <c r="M44" s="185">
        <f>VLOOKUP(B44,'[2]Industry Averages'!$A$9:$E$104,5,0)</f>
        <v>0.13112550858463776</v>
      </c>
    </row>
    <row r="45" spans="2:13">
      <c r="B45" s="179" t="s">
        <v>371</v>
      </c>
      <c r="C45" s="180">
        <v>30</v>
      </c>
      <c r="D45" s="181">
        <v>58.57</v>
      </c>
      <c r="E45" s="181">
        <v>48.622000000000007</v>
      </c>
      <c r="F45" s="182">
        <v>1.2045987413105177</v>
      </c>
      <c r="G45" s="181">
        <v>139.298</v>
      </c>
      <c r="H45" s="181">
        <v>0.11639999999999873</v>
      </c>
      <c r="I45" s="182">
        <v>0.21153810202272269</v>
      </c>
      <c r="J45" s="182">
        <v>1.598799920268565</v>
      </c>
      <c r="K45" s="183">
        <v>2.2587325328416026</v>
      </c>
      <c r="L45" s="184">
        <f t="shared" si="0"/>
        <v>0.44272616853043162</v>
      </c>
      <c r="M45" s="185">
        <f>VLOOKUP(B45,'[2]Industry Averages'!$A$9:$E$104,5,0)</f>
        <v>0.5607973554348672</v>
      </c>
    </row>
    <row r="46" spans="2:13">
      <c r="B46" s="179" t="s">
        <v>372</v>
      </c>
      <c r="C46" s="180">
        <v>14</v>
      </c>
      <c r="D46" s="181">
        <v>245.56200000000001</v>
      </c>
      <c r="E46" s="181">
        <v>130.38100000000003</v>
      </c>
      <c r="F46" s="182">
        <v>1.8834185962678609</v>
      </c>
      <c r="G46" s="181">
        <v>0</v>
      </c>
      <c r="H46" s="181">
        <v>-5.9585999999999331</v>
      </c>
      <c r="I46" s="182">
        <v>5.2776095978677454E-2</v>
      </c>
      <c r="J46" s="182">
        <v>0.27452649041740573</v>
      </c>
      <c r="K46" s="183">
        <v>0.8419131155581171</v>
      </c>
      <c r="L46" s="184">
        <f t="shared" si="0"/>
        <v>1.187771019978807</v>
      </c>
      <c r="M46" s="185">
        <f>VLOOKUP(B46,'[2]Industry Averages'!$A$9:$E$104,5,0)</f>
        <v>6.8925325537212895E-2</v>
      </c>
    </row>
    <row r="47" spans="2:13">
      <c r="B47" s="179" t="s">
        <v>373</v>
      </c>
      <c r="C47" s="180">
        <v>1</v>
      </c>
      <c r="D47" s="181">
        <v>0</v>
      </c>
      <c r="E47" s="181">
        <v>0</v>
      </c>
      <c r="F47" s="182" t="s">
        <v>338</v>
      </c>
      <c r="G47" s="181">
        <v>0</v>
      </c>
      <c r="H47" s="181">
        <v>0</v>
      </c>
      <c r="I47" s="182">
        <v>0</v>
      </c>
      <c r="J47" s="182">
        <v>0</v>
      </c>
      <c r="K47" s="183">
        <v>0.39187227866473157</v>
      </c>
      <c r="L47" s="184">
        <f t="shared" si="0"/>
        <v>2.5518518518518514</v>
      </c>
      <c r="M47" s="185">
        <f>VLOOKUP(B47,'[2]Industry Averages'!$A$9:$E$104,5,0)</f>
        <v>-8.7953555878084178E-2</v>
      </c>
    </row>
    <row r="48" spans="2:13">
      <c r="B48" s="179" t="s">
        <v>374</v>
      </c>
      <c r="C48" s="180">
        <v>24</v>
      </c>
      <c r="D48" s="181">
        <v>359.25599999999991</v>
      </c>
      <c r="E48" s="181">
        <v>253.76999999999998</v>
      </c>
      <c r="F48" s="182">
        <v>1.4156756117744411</v>
      </c>
      <c r="G48" s="181">
        <v>37.39</v>
      </c>
      <c r="H48" s="181">
        <v>-0.227800000000002</v>
      </c>
      <c r="I48" s="182">
        <v>2.8952690929321033E-2</v>
      </c>
      <c r="J48" s="182">
        <v>0.27604457399917059</v>
      </c>
      <c r="K48" s="183">
        <v>1.5637777259650962</v>
      </c>
      <c r="L48" s="184">
        <f t="shared" si="0"/>
        <v>0.6394770710670169</v>
      </c>
      <c r="M48" s="185">
        <f>VLOOKUP(B48,'[2]Industry Averages'!$A$9:$E$104,5,0)</f>
        <v>6.18346216636518E-2</v>
      </c>
    </row>
    <row r="49" spans="2:13">
      <c r="B49" s="179" t="s">
        <v>375</v>
      </c>
      <c r="C49" s="180">
        <v>57</v>
      </c>
      <c r="D49" s="181">
        <v>148.63600000000005</v>
      </c>
      <c r="E49" s="181">
        <v>218.17899999999997</v>
      </c>
      <c r="F49" s="182">
        <v>0.68125713290463363</v>
      </c>
      <c r="G49" s="181">
        <v>2.8319999999999999</v>
      </c>
      <c r="H49" s="181">
        <v>-0.28880000000003747</v>
      </c>
      <c r="I49" s="182">
        <v>-2.4199394941083311E-2</v>
      </c>
      <c r="J49" s="182">
        <v>-0.28817138514468504</v>
      </c>
      <c r="K49" s="183">
        <v>0.54590969046030613</v>
      </c>
      <c r="L49" s="184">
        <f t="shared" si="0"/>
        <v>1.8318048158419922</v>
      </c>
      <c r="M49" s="185">
        <f>VLOOKUP(B49,'[2]Industry Averages'!$A$9:$E$104,5,0)</f>
        <v>-1.6908550269373573E-2</v>
      </c>
    </row>
    <row r="50" spans="2:13">
      <c r="B50" s="179" t="s">
        <v>376</v>
      </c>
      <c r="C50" s="180">
        <v>36</v>
      </c>
      <c r="D50" s="181">
        <v>349.27199999999999</v>
      </c>
      <c r="E50" s="181">
        <v>289.44400000000013</v>
      </c>
      <c r="F50" s="182">
        <v>1.206699741573499</v>
      </c>
      <c r="G50" s="181">
        <v>7.234</v>
      </c>
      <c r="H50" s="181">
        <v>0.22779999999966094</v>
      </c>
      <c r="I50" s="182">
        <v>5.3128495228211186E-3</v>
      </c>
      <c r="J50" s="182">
        <v>3.4634031632731738E-2</v>
      </c>
      <c r="K50" s="183">
        <v>1.8467133773836284</v>
      </c>
      <c r="L50" s="184">
        <f t="shared" si="0"/>
        <v>0.54150254839046652</v>
      </c>
      <c r="M50" s="185">
        <f>VLOOKUP(B50,'[2]Industry Averages'!$A$9:$E$104,5,0)</f>
        <v>4.9129456316730782E-2</v>
      </c>
    </row>
    <row r="51" spans="2:13">
      <c r="B51" s="179" t="s">
        <v>377</v>
      </c>
      <c r="C51" s="180">
        <v>24</v>
      </c>
      <c r="D51" s="181">
        <v>242.60499999999999</v>
      </c>
      <c r="E51" s="181">
        <v>190.98800000000006</v>
      </c>
      <c r="F51" s="182">
        <v>1.2702630531761154</v>
      </c>
      <c r="G51" s="181">
        <v>152.81300000000002</v>
      </c>
      <c r="H51" s="181">
        <v>0.80420000000000158</v>
      </c>
      <c r="I51" s="182">
        <v>5.4409208363942217E-2</v>
      </c>
      <c r="J51" s="182" t="s">
        <v>338</v>
      </c>
      <c r="K51" s="183">
        <v>2.016158684729112</v>
      </c>
      <c r="L51" s="184">
        <f t="shared" si="0"/>
        <v>0.49599270512497307</v>
      </c>
      <c r="M51" s="185" t="str">
        <f>VLOOKUP(B51,'[2]Industry Averages'!$A$9:$E$104,5,0)</f>
        <v>NA</v>
      </c>
    </row>
    <row r="52" spans="2:13">
      <c r="B52" s="179" t="s">
        <v>378</v>
      </c>
      <c r="C52" s="180">
        <v>2</v>
      </c>
      <c r="D52" s="181">
        <v>22.009999999999998</v>
      </c>
      <c r="E52" s="181">
        <v>20.84</v>
      </c>
      <c r="F52" s="182">
        <v>1.0561420345489443</v>
      </c>
      <c r="G52" s="181">
        <v>0</v>
      </c>
      <c r="H52" s="181">
        <v>0</v>
      </c>
      <c r="I52" s="182">
        <v>5.9022347777833736E-4</v>
      </c>
      <c r="J52" s="182" t="s">
        <v>338</v>
      </c>
      <c r="K52" s="183">
        <v>2.0227551020408163</v>
      </c>
      <c r="L52" s="184">
        <f t="shared" si="0"/>
        <v>0.49437522070322354</v>
      </c>
      <c r="M52" s="185" t="str">
        <f>VLOOKUP(B52,'[2]Industry Averages'!$A$9:$E$104,5,0)</f>
        <v>NA</v>
      </c>
    </row>
    <row r="53" spans="2:13">
      <c r="B53" s="179" t="s">
        <v>379</v>
      </c>
      <c r="C53" s="180">
        <v>7</v>
      </c>
      <c r="D53" s="181">
        <v>159.36000000000001</v>
      </c>
      <c r="E53" s="181">
        <v>-1789.213</v>
      </c>
      <c r="F53" s="182" t="s">
        <v>338</v>
      </c>
      <c r="G53" s="181">
        <v>0</v>
      </c>
      <c r="H53" s="181">
        <v>0</v>
      </c>
      <c r="I53" s="182">
        <v>1.5894366174205841E-2</v>
      </c>
      <c r="J53" s="182">
        <v>1.0830438797279165</v>
      </c>
      <c r="K53" s="183">
        <v>27.659866021622332</v>
      </c>
      <c r="L53" s="184">
        <f t="shared" si="0"/>
        <v>3.6153465068062073E-2</v>
      </c>
      <c r="M53" s="185">
        <f>VLOOKUP(B53,'[2]Industry Averages'!$A$9:$E$104,5,0)</f>
        <v>0.52271365920868906</v>
      </c>
    </row>
    <row r="54" spans="2:13">
      <c r="B54" s="179" t="s">
        <v>380</v>
      </c>
      <c r="C54" s="180">
        <v>2</v>
      </c>
      <c r="D54" s="181">
        <v>20.020000000000003</v>
      </c>
      <c r="E54" s="181">
        <v>7.7999999999999545</v>
      </c>
      <c r="F54" s="182">
        <v>2.566666666666682</v>
      </c>
      <c r="G54" s="181">
        <v>0</v>
      </c>
      <c r="H54" s="181">
        <v>0</v>
      </c>
      <c r="I54" s="182">
        <v>1.7839155632764555E-3</v>
      </c>
      <c r="J54" s="182">
        <v>2.3687101478835789E-2</v>
      </c>
      <c r="K54" s="183">
        <v>1.1971135683141541</v>
      </c>
      <c r="L54" s="184">
        <f t="shared" si="0"/>
        <v>0.83534263287004507</v>
      </c>
      <c r="M54" s="185">
        <f>VLOOKUP(B54,'[2]Industry Averages'!$A$9:$E$104,5,0)</f>
        <v>2.1071216029695549E-3</v>
      </c>
    </row>
    <row r="55" spans="2:13">
      <c r="B55" s="179" t="s">
        <v>381</v>
      </c>
      <c r="C55" s="180">
        <v>96</v>
      </c>
      <c r="D55" s="181">
        <v>123.97400000000006</v>
      </c>
      <c r="E55" s="181">
        <v>152.52400000000011</v>
      </c>
      <c r="F55" s="182">
        <v>0.81281634365739142</v>
      </c>
      <c r="G55" s="181">
        <v>1.4E-2</v>
      </c>
      <c r="H55" s="181">
        <v>0.79800000000000182</v>
      </c>
      <c r="I55" s="182">
        <v>-6.2420506007113043E-3</v>
      </c>
      <c r="J55" s="182">
        <v>-3.2318517770407194E-2</v>
      </c>
      <c r="K55" s="183">
        <v>0.23998447600853637</v>
      </c>
      <c r="L55" s="184">
        <f t="shared" si="0"/>
        <v>4.1669361978415198</v>
      </c>
      <c r="M55" s="185">
        <f>VLOOKUP(B55,'[2]Industry Averages'!$A$9:$E$104,5,0)</f>
        <v>-9.1890334416287415E-3</v>
      </c>
    </row>
    <row r="56" spans="2:13">
      <c r="B56" s="179" t="s">
        <v>382</v>
      </c>
      <c r="C56" s="180">
        <v>149</v>
      </c>
      <c r="D56" s="181">
        <v>364.84599999999972</v>
      </c>
      <c r="E56" s="181">
        <v>282.70999999999981</v>
      </c>
      <c r="F56" s="182">
        <v>1.2905309327579497</v>
      </c>
      <c r="G56" s="181">
        <v>47.929000000000009</v>
      </c>
      <c r="H56" s="181">
        <v>-203.96879999999976</v>
      </c>
      <c r="I56" s="182">
        <v>-6.5319394531836742E-3</v>
      </c>
      <c r="J56" s="182">
        <v>-8.107268208736218E-2</v>
      </c>
      <c r="K56" s="183">
        <v>1.749101753442039</v>
      </c>
      <c r="L56" s="184">
        <f t="shared" si="0"/>
        <v>0.57172202705309194</v>
      </c>
      <c r="M56" s="185">
        <f>VLOOKUP(B56,'[2]Industry Averages'!$A$9:$E$104,5,0)</f>
        <v>5.711745461804045E-2</v>
      </c>
    </row>
    <row r="57" spans="2:13">
      <c r="B57" s="179" t="s">
        <v>383</v>
      </c>
      <c r="C57" s="180">
        <v>39</v>
      </c>
      <c r="D57" s="181">
        <v>3290.7089999999994</v>
      </c>
      <c r="E57" s="181">
        <v>2544.5460000000012</v>
      </c>
      <c r="F57" s="182">
        <v>1.2932401300664236</v>
      </c>
      <c r="G57" s="181">
        <v>50.6</v>
      </c>
      <c r="H57" s="181">
        <v>2.4316000000017084</v>
      </c>
      <c r="I57" s="182">
        <v>1.5023865210204128E-2</v>
      </c>
      <c r="J57" s="182">
        <v>0.12188782901690641</v>
      </c>
      <c r="K57" s="183">
        <v>1.5089391479616288</v>
      </c>
      <c r="L57" s="184">
        <f t="shared" si="0"/>
        <v>0.66271724830710621</v>
      </c>
      <c r="M57" s="185">
        <f>VLOOKUP(B57,'[2]Industry Averages'!$A$9:$E$104,5,0)</f>
        <v>4.7486807148475557E-2</v>
      </c>
    </row>
    <row r="58" spans="2:13">
      <c r="B58" s="179" t="s">
        <v>384</v>
      </c>
      <c r="C58" s="180">
        <v>13</v>
      </c>
      <c r="D58" s="181">
        <v>11.138000000000002</v>
      </c>
      <c r="E58" s="181">
        <v>8.6159999999999997</v>
      </c>
      <c r="F58" s="182">
        <v>1.2927112349117922</v>
      </c>
      <c r="G58" s="181">
        <v>0</v>
      </c>
      <c r="H58" s="181">
        <v>4.3399999999998329E-2</v>
      </c>
      <c r="I58" s="182">
        <v>1.0388842543472452E-2</v>
      </c>
      <c r="J58" s="182">
        <v>0.16317856165464587</v>
      </c>
      <c r="K58" s="183">
        <v>1.9836940038374806</v>
      </c>
      <c r="L58" s="184">
        <f t="shared" si="0"/>
        <v>0.5041100079273757</v>
      </c>
      <c r="M58" s="185">
        <f>VLOOKUP(B58,'[2]Industry Averages'!$A$9:$E$104,5,0)</f>
        <v>9.4608582412233591E-2</v>
      </c>
    </row>
    <row r="59" spans="2:13">
      <c r="B59" s="179" t="s">
        <v>385</v>
      </c>
      <c r="C59" s="180">
        <v>1</v>
      </c>
      <c r="D59" s="181">
        <v>5441.3</v>
      </c>
      <c r="E59" s="181">
        <v>3108.8</v>
      </c>
      <c r="F59" s="182">
        <v>1.7502895007720021</v>
      </c>
      <c r="G59" s="181">
        <v>0</v>
      </c>
      <c r="H59" s="181">
        <v>6.7600000000002183</v>
      </c>
      <c r="I59" s="182">
        <v>3.1070945187593728E-2</v>
      </c>
      <c r="J59" s="182">
        <v>0.44887612996332521</v>
      </c>
      <c r="K59" s="183">
        <v>1.5854294393906911</v>
      </c>
      <c r="L59" s="184">
        <f t="shared" si="0"/>
        <v>0.63074393293990927</v>
      </c>
      <c r="M59" s="185">
        <f>VLOOKUP(B59,'[2]Industry Averages'!$A$9:$E$104,5,0)</f>
        <v>3.9412351988456329E-2</v>
      </c>
    </row>
    <row r="60" spans="2:13">
      <c r="B60" s="179" t="s">
        <v>386</v>
      </c>
      <c r="C60" s="180">
        <v>6</v>
      </c>
      <c r="D60" s="181">
        <v>984.04099999999994</v>
      </c>
      <c r="E60" s="181">
        <v>356.79100000000005</v>
      </c>
      <c r="F60" s="182">
        <v>2.7580320131393443</v>
      </c>
      <c r="G60" s="181">
        <v>0</v>
      </c>
      <c r="H60" s="181">
        <v>3.3999999999998636</v>
      </c>
      <c r="I60" s="182">
        <v>0.12979088160659558</v>
      </c>
      <c r="J60" s="182">
        <v>0.55508674543788539</v>
      </c>
      <c r="K60" s="183">
        <v>0.76607135875001109</v>
      </c>
      <c r="L60" s="184">
        <f t="shared" si="0"/>
        <v>1.3053614243347869</v>
      </c>
      <c r="M60" s="185">
        <f>VLOOKUP(B60,'[2]Industry Averages'!$A$9:$E$104,5,0)</f>
        <v>0.1360487245614464</v>
      </c>
    </row>
    <row r="61" spans="2:13">
      <c r="B61" s="179" t="s">
        <v>387</v>
      </c>
      <c r="C61" s="180">
        <v>11</v>
      </c>
      <c r="D61" s="181">
        <v>175.249</v>
      </c>
      <c r="E61" s="181">
        <v>307.99700000000001</v>
      </c>
      <c r="F61" s="182">
        <v>0.56899580190716137</v>
      </c>
      <c r="G61" s="181">
        <v>24.6</v>
      </c>
      <c r="H61" s="181">
        <v>0</v>
      </c>
      <c r="I61" s="182">
        <v>-1.2710918169556327E-2</v>
      </c>
      <c r="J61" s="182">
        <v>-0.13728573957960782</v>
      </c>
      <c r="K61" s="183">
        <v>2.4712319074834248</v>
      </c>
      <c r="L61" s="184">
        <f t="shared" si="0"/>
        <v>0.40465647799859805</v>
      </c>
      <c r="M61" s="185">
        <f>VLOOKUP(B61,'[2]Industry Averages'!$A$9:$E$104,5,0)</f>
        <v>5.1078271283413475E-2</v>
      </c>
    </row>
    <row r="62" spans="2:13">
      <c r="B62" s="179" t="s">
        <v>388</v>
      </c>
      <c r="C62" s="180">
        <v>22</v>
      </c>
      <c r="D62" s="181">
        <v>20972.774000000001</v>
      </c>
      <c r="E62" s="181">
        <v>7314.3220000000019</v>
      </c>
      <c r="F62" s="182">
        <v>2.8673572205325382</v>
      </c>
      <c r="G62" s="181">
        <v>303.3</v>
      </c>
      <c r="H62" s="181">
        <v>20.54859999999826</v>
      </c>
      <c r="I62" s="182">
        <v>4.307572207484802E-2</v>
      </c>
      <c r="J62" s="182">
        <v>1.2697498286588713</v>
      </c>
      <c r="K62" s="183">
        <v>1.7169471150374962</v>
      </c>
      <c r="L62" s="184">
        <f t="shared" si="0"/>
        <v>0.58242912157382387</v>
      </c>
      <c r="M62" s="185">
        <f>VLOOKUP(B62,'[2]Industry Averages'!$A$9:$E$104,5,0)</f>
        <v>0.14364011191390805</v>
      </c>
    </row>
    <row r="63" spans="2:13">
      <c r="B63" s="179" t="s">
        <v>389</v>
      </c>
      <c r="C63" s="180">
        <v>79</v>
      </c>
      <c r="D63" s="181">
        <v>496.73400000000004</v>
      </c>
      <c r="E63" s="181">
        <v>241.19500000000011</v>
      </c>
      <c r="F63" s="182">
        <v>2.0594705528721566</v>
      </c>
      <c r="G63" s="181">
        <v>-2.1000000000000001E-2</v>
      </c>
      <c r="H63" s="181">
        <v>0.70659999999998035</v>
      </c>
      <c r="I63" s="182">
        <v>3.951158378589182E-2</v>
      </c>
      <c r="J63" s="182">
        <v>0.69052921631519515</v>
      </c>
      <c r="K63" s="183">
        <v>1.478543060181414</v>
      </c>
      <c r="L63" s="184">
        <f t="shared" si="0"/>
        <v>0.67634147894029018</v>
      </c>
      <c r="M63" s="185">
        <f>VLOOKUP(B63,'[2]Industry Averages'!$A$9:$E$104,5,0)</f>
        <v>0.12924755000991897</v>
      </c>
    </row>
    <row r="64" spans="2:13">
      <c r="B64" s="179" t="s">
        <v>390</v>
      </c>
      <c r="C64" s="180">
        <v>50</v>
      </c>
      <c r="D64" s="181">
        <v>383.40699999999975</v>
      </c>
      <c r="E64" s="181">
        <v>200.15199999999996</v>
      </c>
      <c r="F64" s="182">
        <v>1.9155791598385219</v>
      </c>
      <c r="G64" s="181">
        <v>6.6289999999999996</v>
      </c>
      <c r="H64" s="181">
        <v>0.80820000000016989</v>
      </c>
      <c r="I64" s="182">
        <v>3.5064032631662356E-2</v>
      </c>
      <c r="J64" s="182">
        <v>0.36737281198455657</v>
      </c>
      <c r="K64" s="183">
        <v>1.2129510738707308</v>
      </c>
      <c r="L64" s="184">
        <f t="shared" si="0"/>
        <v>0.82443556178142607</v>
      </c>
      <c r="M64" s="185">
        <f>VLOOKUP(B64,'[2]Industry Averages'!$A$9:$E$104,5,0)</f>
        <v>5.7808054027391566E-2</v>
      </c>
    </row>
    <row r="65" spans="2:13">
      <c r="B65" s="179" t="s">
        <v>391</v>
      </c>
      <c r="C65" s="180">
        <v>30</v>
      </c>
      <c r="D65" s="181">
        <v>9577.5750000000044</v>
      </c>
      <c r="E65" s="181">
        <v>6046.0380000000014</v>
      </c>
      <c r="F65" s="182">
        <v>1.5841076420624551</v>
      </c>
      <c r="G65" s="181">
        <v>136.30000000000001</v>
      </c>
      <c r="H65" s="181">
        <v>11.251600000001417</v>
      </c>
      <c r="I65" s="182">
        <v>4.9610993909065593E-2</v>
      </c>
      <c r="J65" s="182">
        <v>0.33518376876360284</v>
      </c>
      <c r="K65" s="183">
        <v>0.54234523967187198</v>
      </c>
      <c r="L65" s="184">
        <f t="shared" si="0"/>
        <v>1.8438439703186422</v>
      </c>
      <c r="M65" s="185">
        <f>VLOOKUP(B65,'[2]Industry Averages'!$A$9:$E$104,5,0)</f>
        <v>5.2286628677512687E-2</v>
      </c>
    </row>
    <row r="66" spans="2:13">
      <c r="B66" s="179" t="s">
        <v>392</v>
      </c>
      <c r="C66" s="180">
        <v>1</v>
      </c>
      <c r="D66" s="181">
        <v>3.7999999999999999E-2</v>
      </c>
      <c r="E66" s="181">
        <v>3.0000000000000001E-3</v>
      </c>
      <c r="F66" s="182">
        <v>12.666666666666666</v>
      </c>
      <c r="G66" s="181">
        <v>0</v>
      </c>
      <c r="H66" s="181">
        <v>0</v>
      </c>
      <c r="I66" s="182">
        <v>8.7499999999999982</v>
      </c>
      <c r="J66" s="182" t="s">
        <v>338</v>
      </c>
      <c r="K66" s="183">
        <v>6.8622405215302803E-4</v>
      </c>
      <c r="L66" s="184">
        <f t="shared" si="0"/>
        <v>1457.2499999999998</v>
      </c>
      <c r="M66" s="185" t="str">
        <f>VLOOKUP(B66,'[2]Industry Averages'!$A$9:$E$104,5,0)</f>
        <v>NA</v>
      </c>
    </row>
    <row r="67" spans="2:13">
      <c r="B67" s="179" t="s">
        <v>393</v>
      </c>
      <c r="C67" s="180">
        <v>25</v>
      </c>
      <c r="D67" s="181">
        <v>22.612000000000002</v>
      </c>
      <c r="E67" s="181">
        <v>66.911999999999992</v>
      </c>
      <c r="F67" s="182">
        <v>0.33793639406982312</v>
      </c>
      <c r="G67" s="181">
        <v>4.9950000000000001</v>
      </c>
      <c r="H67" s="181">
        <v>0.10119999999997731</v>
      </c>
      <c r="I67" s="182">
        <v>-3.1455569703840829E-2</v>
      </c>
      <c r="J67" s="182">
        <v>-0.47283571497967053</v>
      </c>
      <c r="K67" s="183">
        <v>0.79541061078468267</v>
      </c>
      <c r="L67" s="184">
        <f t="shared" si="0"/>
        <v>1.2572122956889993</v>
      </c>
      <c r="M67" s="185">
        <f>VLOOKUP(B67,'[2]Industry Averages'!$A$9:$E$104,5,0)</f>
        <v>-2.0872202952572742E-3</v>
      </c>
    </row>
    <row r="68" spans="2:13">
      <c r="B68" s="179" t="s">
        <v>394</v>
      </c>
      <c r="C68" s="180">
        <v>4</v>
      </c>
      <c r="D68" s="181">
        <v>0.47899999999999998</v>
      </c>
      <c r="E68" s="181">
        <v>221.09999999999997</v>
      </c>
      <c r="F68" s="182">
        <v>2.1664405246494801E-3</v>
      </c>
      <c r="G68" s="181">
        <v>167.4</v>
      </c>
      <c r="H68" s="181">
        <v>0</v>
      </c>
      <c r="I68" s="182">
        <v>-5.5450093769535268E-2</v>
      </c>
      <c r="J68" s="182">
        <v>-0.1196015143947952</v>
      </c>
      <c r="K68" s="183">
        <v>0.10401742654947817</v>
      </c>
      <c r="L68" s="184">
        <f t="shared" si="0"/>
        <v>9.613773702854763</v>
      </c>
      <c r="M68" s="185">
        <f>VLOOKUP(B68,'[2]Industry Averages'!$A$9:$E$104,5,0)</f>
        <v>-5.255710794257038E-3</v>
      </c>
    </row>
    <row r="69" spans="2:13">
      <c r="B69" s="179" t="s">
        <v>395</v>
      </c>
      <c r="C69" s="180">
        <v>137</v>
      </c>
      <c r="D69" s="181">
        <v>458.39599999999967</v>
      </c>
      <c r="E69" s="181">
        <v>132.47399999999999</v>
      </c>
      <c r="F69" s="182">
        <v>3.4602714494919735</v>
      </c>
      <c r="G69" s="181">
        <v>-1.0689999999999991</v>
      </c>
      <c r="H69" s="181">
        <v>0.21940000000006421</v>
      </c>
      <c r="I69" s="182">
        <v>6.5727372224622632E-2</v>
      </c>
      <c r="J69" s="182">
        <v>0.46036074137383692</v>
      </c>
      <c r="K69" s="183">
        <v>0.3554555570308639</v>
      </c>
      <c r="L69" s="184">
        <f t="shared" si="0"/>
        <v>2.813291226484246</v>
      </c>
      <c r="M69" s="185">
        <f>VLOOKUP(B69,'[2]Industry Averages'!$A$9:$E$104,5,0)</f>
        <v>4.6094470092084644E-2</v>
      </c>
    </row>
    <row r="70" spans="2:13">
      <c r="B70" s="179" t="s">
        <v>396</v>
      </c>
      <c r="C70" s="180">
        <v>15</v>
      </c>
      <c r="D70" s="181">
        <v>43.756</v>
      </c>
      <c r="E70" s="181">
        <v>91.657000000000025</v>
      </c>
      <c r="F70" s="182">
        <v>0.47738852460804942</v>
      </c>
      <c r="G70" s="181">
        <v>114.001</v>
      </c>
      <c r="H70" s="181">
        <v>6.779999999997699E-2</v>
      </c>
      <c r="I70" s="182">
        <v>3.7157452992883269E-2</v>
      </c>
      <c r="J70" s="182">
        <v>0.1909782731680417</v>
      </c>
      <c r="K70" s="183">
        <v>0.18337935269557221</v>
      </c>
      <c r="L70" s="184">
        <f t="shared" si="0"/>
        <v>5.4531766270333524</v>
      </c>
      <c r="M70" s="185">
        <f>VLOOKUP(B70,'[2]Industry Averages'!$A$9:$E$104,5,0)</f>
        <v>-5.5160550821569329E-3</v>
      </c>
    </row>
    <row r="71" spans="2:13">
      <c r="B71" s="179" t="s">
        <v>397</v>
      </c>
      <c r="C71" s="180">
        <v>30</v>
      </c>
      <c r="D71" s="181">
        <v>2.4489999999999994</v>
      </c>
      <c r="E71" s="181">
        <v>24.219999999999995</v>
      </c>
      <c r="F71" s="182">
        <v>0.10111478117258464</v>
      </c>
      <c r="G71" s="181">
        <v>0</v>
      </c>
      <c r="H71" s="181">
        <v>2.0600000000001728E-2</v>
      </c>
      <c r="I71" s="182">
        <v>-0.12135806946575531</v>
      </c>
      <c r="J71" s="182">
        <v>-0.35085282609750534</v>
      </c>
      <c r="K71" s="183">
        <v>0.2223747310359025</v>
      </c>
      <c r="L71" s="184">
        <f t="shared" ref="L71:L101" si="1">1/K71</f>
        <v>4.4969138145401493</v>
      </c>
      <c r="M71" s="185">
        <f>VLOOKUP(B71,'[2]Industry Averages'!$A$9:$E$104,5,0)</f>
        <v>-3.2764428544759978E-2</v>
      </c>
    </row>
    <row r="72" spans="2:13">
      <c r="B72" s="179" t="s">
        <v>398</v>
      </c>
      <c r="C72" s="180">
        <v>11</v>
      </c>
      <c r="D72" s="181">
        <v>3.5510000000000002</v>
      </c>
      <c r="E72" s="181">
        <v>18.690000000000005</v>
      </c>
      <c r="F72" s="182">
        <v>0.18999464954521131</v>
      </c>
      <c r="G72" s="181">
        <v>0</v>
      </c>
      <c r="H72" s="181">
        <v>-3.5999999999987153E-3</v>
      </c>
      <c r="I72" s="182">
        <v>-0.13896245721260175</v>
      </c>
      <c r="J72" s="182">
        <v>-0.87944317733493726</v>
      </c>
      <c r="K72" s="183">
        <v>0.39546291225931024</v>
      </c>
      <c r="L72" s="184">
        <f t="shared" si="1"/>
        <v>2.5286821317501622</v>
      </c>
      <c r="M72" s="185">
        <f>VLOOKUP(B72,'[2]Industry Averages'!$A$9:$E$104,5,0)</f>
        <v>-4.8298479733488581E-2</v>
      </c>
    </row>
    <row r="73" spans="2:13">
      <c r="B73" s="179" t="s">
        <v>399</v>
      </c>
      <c r="C73" s="180">
        <v>1</v>
      </c>
      <c r="D73" s="181">
        <v>2.48</v>
      </c>
      <c r="E73" s="181">
        <v>0.79999999999995453</v>
      </c>
      <c r="F73" s="182">
        <v>3.1000000000001764</v>
      </c>
      <c r="G73" s="181">
        <v>0</v>
      </c>
      <c r="H73" s="181">
        <v>0</v>
      </c>
      <c r="I73" s="182">
        <v>2.8865483410938736E-4</v>
      </c>
      <c r="J73" s="182">
        <v>3.4129116353550874E-3</v>
      </c>
      <c r="K73" s="183">
        <v>1.0845425526562449</v>
      </c>
      <c r="L73" s="184">
        <f t="shared" si="1"/>
        <v>0.92204773113864036</v>
      </c>
      <c r="M73" s="185">
        <f>VLOOKUP(B73,'[2]Industry Averages'!$A$9:$E$104,5,0)</f>
        <v>3.1305845062155988E-4</v>
      </c>
    </row>
    <row r="74" spans="2:13">
      <c r="B74" s="179" t="s">
        <v>400</v>
      </c>
      <c r="C74" s="180">
        <v>13</v>
      </c>
      <c r="D74" s="181">
        <v>238.21899999999997</v>
      </c>
      <c r="E74" s="181">
        <v>197.71199999999996</v>
      </c>
      <c r="F74" s="182">
        <v>1.2048788136279034</v>
      </c>
      <c r="G74" s="181">
        <v>96.355000000000004</v>
      </c>
      <c r="H74" s="181">
        <v>0</v>
      </c>
      <c r="I74" s="182">
        <v>6.9807000694183399E-2</v>
      </c>
      <c r="J74" s="182">
        <v>0.88382400419783902</v>
      </c>
      <c r="K74" s="183">
        <v>1.1162340170939109</v>
      </c>
      <c r="L74" s="184">
        <f t="shared" si="1"/>
        <v>0.89586949034529206</v>
      </c>
      <c r="M74" s="185">
        <f>VLOOKUP(B74,'[2]Industry Averages'!$A$9:$E$104,5,0)</f>
        <v>8.9699132232692561E-2</v>
      </c>
    </row>
    <row r="75" spans="2:13">
      <c r="B75" s="179" t="s">
        <v>401</v>
      </c>
      <c r="C75" s="180">
        <v>4</v>
      </c>
      <c r="D75" s="181">
        <v>2.09</v>
      </c>
      <c r="E75" s="181">
        <v>2.9610000000000003</v>
      </c>
      <c r="F75" s="182">
        <v>0.7058426207362376</v>
      </c>
      <c r="G75" s="181">
        <v>0</v>
      </c>
      <c r="H75" s="181">
        <v>0</v>
      </c>
      <c r="I75" s="182">
        <v>-4.0863816990152355E-3</v>
      </c>
      <c r="J75" s="182">
        <v>-0.29761597466706147</v>
      </c>
      <c r="K75" s="183">
        <v>3.913251817580965</v>
      </c>
      <c r="L75" s="184">
        <f t="shared" si="1"/>
        <v>0.25554194992188489</v>
      </c>
      <c r="M75" s="185">
        <f>VLOOKUP(B75,'[2]Industry Averages'!$A$9:$E$104,5,0)</f>
        <v>0.11542089413722149</v>
      </c>
    </row>
    <row r="76" spans="2:13">
      <c r="B76" s="179" t="s">
        <v>402</v>
      </c>
      <c r="C76" s="180">
        <v>2</v>
      </c>
      <c r="D76" s="181">
        <v>5.16</v>
      </c>
      <c r="E76" s="181">
        <v>6.35</v>
      </c>
      <c r="F76" s="182">
        <v>0.81259842519685044</v>
      </c>
      <c r="G76" s="181">
        <v>0</v>
      </c>
      <c r="H76" s="181">
        <v>0</v>
      </c>
      <c r="I76" s="182">
        <v>-2.7262313860251992E-3</v>
      </c>
      <c r="J76" s="182">
        <v>-0.47387853055196599</v>
      </c>
      <c r="K76" s="183">
        <v>3.9317240136912268</v>
      </c>
      <c r="L76" s="184">
        <f t="shared" si="1"/>
        <v>0.2543413516609393</v>
      </c>
      <c r="M76" s="185">
        <f>VLOOKUP(B76,'[2]Industry Averages'!$A$9:$E$104,5,0)</f>
        <v>-7.0849812703902906E-2</v>
      </c>
    </row>
    <row r="77" spans="2:13">
      <c r="B77" s="179" t="s">
        <v>403</v>
      </c>
      <c r="C77" s="180">
        <v>239</v>
      </c>
      <c r="D77" s="181">
        <v>1877.3529999999996</v>
      </c>
      <c r="E77" s="181">
        <v>270.19499999999977</v>
      </c>
      <c r="F77" s="182">
        <v>6.9481411573123157</v>
      </c>
      <c r="G77" s="181">
        <v>66.355000000000004</v>
      </c>
      <c r="H77" s="181">
        <v>3.0000000000086402E-2</v>
      </c>
      <c r="I77" s="182">
        <v>8.6444957619814869E-2</v>
      </c>
      <c r="J77" s="182">
        <v>3.0138247652546903</v>
      </c>
      <c r="K77" s="183">
        <v>1.8495472161548048</v>
      </c>
      <c r="L77" s="184">
        <f t="shared" si="1"/>
        <v>0.54067286915712953</v>
      </c>
      <c r="M77" s="185">
        <f>VLOOKUP(B77,'[2]Industry Averages'!$A$9:$E$104,5,0)</f>
        <v>0.13155020801505649</v>
      </c>
    </row>
    <row r="78" spans="2:13">
      <c r="B78" s="179" t="s">
        <v>404</v>
      </c>
      <c r="C78" s="180">
        <v>5</v>
      </c>
      <c r="D78" s="181">
        <v>37.169999999999995</v>
      </c>
      <c r="E78" s="181">
        <v>304.18</v>
      </c>
      <c r="F78" s="182">
        <v>0.12219738312841079</v>
      </c>
      <c r="G78" s="181">
        <v>0</v>
      </c>
      <c r="H78" s="181">
        <v>0</v>
      </c>
      <c r="I78" s="182">
        <v>-0.11824019130280755</v>
      </c>
      <c r="J78" s="182" t="s">
        <v>338</v>
      </c>
      <c r="K78" s="183">
        <v>0.78189759225955302</v>
      </c>
      <c r="L78" s="184">
        <f t="shared" si="1"/>
        <v>1.2789398636081837</v>
      </c>
      <c r="M78" s="185" t="str">
        <f>VLOOKUP(B78,'[2]Industry Averages'!$A$9:$E$104,5,0)</f>
        <v>NA</v>
      </c>
    </row>
    <row r="79" spans="2:13">
      <c r="B79" s="179" t="s">
        <v>405</v>
      </c>
      <c r="C79" s="180">
        <v>5</v>
      </c>
      <c r="D79" s="181">
        <v>290.51799999999997</v>
      </c>
      <c r="E79" s="181">
        <v>72.546000000000006</v>
      </c>
      <c r="F79" s="182">
        <v>4.0046039754087053</v>
      </c>
      <c r="G79" s="181">
        <v>0</v>
      </c>
      <c r="H79" s="181">
        <v>0</v>
      </c>
      <c r="I79" s="182">
        <v>4.4944867420352821E-2</v>
      </c>
      <c r="J79" s="182">
        <v>0.77377882336589843</v>
      </c>
      <c r="K79" s="183">
        <v>2.8303328399949574</v>
      </c>
      <c r="L79" s="184">
        <f t="shared" si="1"/>
        <v>0.35331533658132647</v>
      </c>
      <c r="M79" s="185">
        <f>VLOOKUP(B79,'[2]Industry Averages'!$A$9:$E$104,5,0)</f>
        <v>0.21158284062596186</v>
      </c>
    </row>
    <row r="80" spans="2:13">
      <c r="B80" s="179" t="s">
        <v>406</v>
      </c>
      <c r="C80" s="180">
        <v>13</v>
      </c>
      <c r="D80" s="181">
        <v>35.311</v>
      </c>
      <c r="E80" s="181">
        <v>47.831000000000003</v>
      </c>
      <c r="F80" s="182">
        <v>0.73824507118814153</v>
      </c>
      <c r="G80" s="181">
        <v>26.27</v>
      </c>
      <c r="H80" s="181">
        <v>0.42920000000003711</v>
      </c>
      <c r="I80" s="182">
        <v>8.3257489192944192E-3</v>
      </c>
      <c r="J80" s="182" t="s">
        <v>338</v>
      </c>
      <c r="K80" s="183">
        <v>0.90286408066942947</v>
      </c>
      <c r="L80" s="184">
        <f t="shared" si="1"/>
        <v>1.1075864256982613</v>
      </c>
      <c r="M80" s="185" t="str">
        <f>VLOOKUP(B80,'[2]Industry Averages'!$A$9:$E$104,5,0)</f>
        <v>NA</v>
      </c>
    </row>
    <row r="81" spans="2:13">
      <c r="B81" s="179" t="s">
        <v>407</v>
      </c>
      <c r="C81" s="180">
        <v>28</v>
      </c>
      <c r="D81" s="181">
        <v>130.67999999999998</v>
      </c>
      <c r="E81" s="181">
        <v>208.64199999999997</v>
      </c>
      <c r="F81" s="182">
        <v>0.62633602055195026</v>
      </c>
      <c r="G81" s="181">
        <v>-0.12</v>
      </c>
      <c r="H81" s="181">
        <v>0.13580000000001746</v>
      </c>
      <c r="I81" s="182">
        <v>-1.6713976996844022E-2</v>
      </c>
      <c r="J81" s="182">
        <v>-0.7382619924875593</v>
      </c>
      <c r="K81" s="183">
        <v>1.5681994972937092</v>
      </c>
      <c r="L81" s="184">
        <f t="shared" si="1"/>
        <v>0.6376739705156973</v>
      </c>
      <c r="M81" s="185">
        <f>VLOOKUP(B81,'[2]Industry Averages'!$A$9:$E$104,5,0)</f>
        <v>6.9002525312139878E-2</v>
      </c>
    </row>
    <row r="82" spans="2:13">
      <c r="B82" s="179" t="s">
        <v>408</v>
      </c>
      <c r="C82" s="180">
        <v>16</v>
      </c>
      <c r="D82" s="181">
        <v>867.07800000000009</v>
      </c>
      <c r="E82" s="181">
        <v>510.80799999999994</v>
      </c>
      <c r="F82" s="182">
        <v>1.697463626254875</v>
      </c>
      <c r="G82" s="181">
        <v>0</v>
      </c>
      <c r="H82" s="181">
        <v>2.4633999999999787</v>
      </c>
      <c r="I82" s="182">
        <v>3.4196272715001814E-2</v>
      </c>
      <c r="J82" s="182">
        <v>0.8589267525665949</v>
      </c>
      <c r="K82" s="183">
        <v>1.3204628527400293</v>
      </c>
      <c r="L82" s="184">
        <f t="shared" si="1"/>
        <v>0.75731020976845187</v>
      </c>
      <c r="M82" s="185">
        <f>VLOOKUP(B82,'[2]Industry Averages'!$A$9:$E$104,5,0)</f>
        <v>0.10110433623143425</v>
      </c>
    </row>
    <row r="83" spans="2:13">
      <c r="B83" s="179" t="s">
        <v>409</v>
      </c>
      <c r="C83" s="180">
        <v>8</v>
      </c>
      <c r="D83" s="181">
        <v>11.166</v>
      </c>
      <c r="E83" s="181">
        <v>3.5999999999999996</v>
      </c>
      <c r="F83" s="182">
        <v>3.101666666666667</v>
      </c>
      <c r="G83" s="181">
        <v>0</v>
      </c>
      <c r="H83" s="181">
        <v>5.119999999999969E-2</v>
      </c>
      <c r="I83" s="182">
        <v>9.8898987276032205E-2</v>
      </c>
      <c r="J83" s="182">
        <v>6.4894376296640539</v>
      </c>
      <c r="K83" s="183">
        <v>0.90744999717231878</v>
      </c>
      <c r="L83" s="184">
        <f t="shared" si="1"/>
        <v>1.1019890937418853</v>
      </c>
      <c r="M83" s="185">
        <f>VLOOKUP(B83,'[2]Industry Averages'!$A$9:$E$104,5,0)</f>
        <v>0.15848687566684819</v>
      </c>
    </row>
    <row r="84" spans="2:13">
      <c r="B84" s="179" t="s">
        <v>410</v>
      </c>
      <c r="C84" s="180">
        <v>1</v>
      </c>
      <c r="D84" s="181">
        <v>59.9</v>
      </c>
      <c r="E84" s="181">
        <v>5.22</v>
      </c>
      <c r="F84" s="182">
        <v>11.475095785440613</v>
      </c>
      <c r="G84" s="181">
        <v>0</v>
      </c>
      <c r="H84" s="181">
        <v>0</v>
      </c>
      <c r="I84" s="182">
        <v>0.64481132075471703</v>
      </c>
      <c r="J84" s="182">
        <v>3.1907520266412459</v>
      </c>
      <c r="K84" s="183">
        <v>0.84453739667363803</v>
      </c>
      <c r="L84" s="184">
        <f t="shared" si="1"/>
        <v>1.1840801886792454</v>
      </c>
      <c r="M84" s="185">
        <f>VLOOKUP(B84,'[2]Industry Averages'!$A$9:$E$104,5,0)</f>
        <v>0.63668957275171789</v>
      </c>
    </row>
    <row r="85" spans="2:13">
      <c r="B85" s="179" t="s">
        <v>411</v>
      </c>
      <c r="C85" s="180">
        <v>20</v>
      </c>
      <c r="D85" s="181">
        <v>931.37200000000007</v>
      </c>
      <c r="E85" s="181">
        <v>501.19700000000017</v>
      </c>
      <c r="F85" s="182">
        <v>1.8582952411925844</v>
      </c>
      <c r="G85" s="181">
        <v>186.8</v>
      </c>
      <c r="H85" s="181">
        <v>0</v>
      </c>
      <c r="I85" s="182">
        <v>0.16691158846212736</v>
      </c>
      <c r="J85" s="182">
        <v>0.53795637574683053</v>
      </c>
      <c r="K85" s="183">
        <v>0.33701841721371267</v>
      </c>
      <c r="L85" s="184">
        <f t="shared" si="1"/>
        <v>2.9671968916935256</v>
      </c>
      <c r="M85" s="185">
        <f>VLOOKUP(B85,'[2]Industry Averages'!$A$9:$E$104,5,0)</f>
        <v>5.3748694638332047E-2</v>
      </c>
    </row>
    <row r="86" spans="2:13">
      <c r="B86" s="179" t="s">
        <v>412</v>
      </c>
      <c r="C86" s="180">
        <v>12</v>
      </c>
      <c r="D86" s="181">
        <v>59.263999999999989</v>
      </c>
      <c r="E86" s="181">
        <v>69.007000000000005</v>
      </c>
      <c r="F86" s="182">
        <v>0.85881142492790563</v>
      </c>
      <c r="G86" s="181">
        <v>-1E-3</v>
      </c>
      <c r="H86" s="181">
        <v>0.39379999999999882</v>
      </c>
      <c r="I86" s="182">
        <v>-7.1880933894018367E-3</v>
      </c>
      <c r="J86" s="182">
        <v>-8.5463059597548505E-2</v>
      </c>
      <c r="K86" s="183">
        <v>1.6084227196896292</v>
      </c>
      <c r="L86" s="184">
        <f t="shared" si="1"/>
        <v>0.62172710429815736</v>
      </c>
      <c r="M86" s="185">
        <f>VLOOKUP(B86,'[2]Industry Averages'!$A$9:$E$104,5,0)</f>
        <v>0.11401249404090913</v>
      </c>
    </row>
    <row r="87" spans="2:13">
      <c r="B87" s="179" t="s">
        <v>413</v>
      </c>
      <c r="C87" s="180">
        <v>7</v>
      </c>
      <c r="D87" s="181">
        <v>10.950000000000001</v>
      </c>
      <c r="E87" s="181">
        <v>48.873999999999988</v>
      </c>
      <c r="F87" s="182">
        <v>0.22404550476736104</v>
      </c>
      <c r="G87" s="181">
        <v>12.31</v>
      </c>
      <c r="H87" s="181">
        <v>1.2372000000000298</v>
      </c>
      <c r="I87" s="182">
        <v>-1.9746166083978358E-2</v>
      </c>
      <c r="J87" s="182">
        <v>-0.12663169957560894</v>
      </c>
      <c r="K87" s="183">
        <v>0.34598690857922021</v>
      </c>
      <c r="L87" s="184">
        <f t="shared" si="1"/>
        <v>2.8902827685199286</v>
      </c>
      <c r="M87" s="185">
        <f>VLOOKUP(B87,'[2]Industry Averages'!$A$9:$E$104,5,0)</f>
        <v>2.4117780387075665E-2</v>
      </c>
    </row>
    <row r="88" spans="2:13">
      <c r="B88" s="179" t="s">
        <v>414</v>
      </c>
      <c r="C88" s="180">
        <v>7</v>
      </c>
      <c r="D88" s="181">
        <v>2.84</v>
      </c>
      <c r="E88" s="181">
        <v>2.6119999999999997</v>
      </c>
      <c r="F88" s="182">
        <v>1.0872894333843799</v>
      </c>
      <c r="G88" s="181">
        <v>0</v>
      </c>
      <c r="H88" s="181">
        <v>0</v>
      </c>
      <c r="I88" s="182">
        <v>7.0634158431178238E-3</v>
      </c>
      <c r="J88" s="182">
        <v>4.4442976080348924E-2</v>
      </c>
      <c r="K88" s="183">
        <v>2.8522576654590441</v>
      </c>
      <c r="L88" s="184">
        <f t="shared" si="1"/>
        <v>0.35059946094984351</v>
      </c>
      <c r="M88" s="185">
        <f>VLOOKUP(B88,'[2]Industry Averages'!$A$9:$E$104,5,0)</f>
        <v>-3.6861833522354379E-2</v>
      </c>
    </row>
    <row r="89" spans="2:13">
      <c r="B89" s="179" t="s">
        <v>415</v>
      </c>
      <c r="C89" s="180">
        <v>74</v>
      </c>
      <c r="D89" s="181">
        <v>144.428</v>
      </c>
      <c r="E89" s="181">
        <v>159.71399999999994</v>
      </c>
      <c r="F89" s="182">
        <v>0.90429142091488568</v>
      </c>
      <c r="G89" s="181">
        <v>196.19200000000001</v>
      </c>
      <c r="H89" s="181">
        <v>32.915199999999686</v>
      </c>
      <c r="I89" s="182">
        <v>4.4408638596875938E-2</v>
      </c>
      <c r="J89" s="182">
        <v>0.35783811019503092</v>
      </c>
      <c r="K89" s="183">
        <v>1.7224831308002928</v>
      </c>
      <c r="L89" s="184">
        <f t="shared" si="1"/>
        <v>0.58055720959971568</v>
      </c>
      <c r="M89" s="185">
        <f>VLOOKUP(B89,'[2]Industry Averages'!$A$9:$E$104,5,0)</f>
        <v>0.16585903789882139</v>
      </c>
    </row>
    <row r="90" spans="2:13">
      <c r="B90" s="179" t="s">
        <v>416</v>
      </c>
      <c r="C90" s="180">
        <v>157</v>
      </c>
      <c r="D90" s="181">
        <v>6002.2589999999982</v>
      </c>
      <c r="E90" s="181">
        <v>3615.0210000000015</v>
      </c>
      <c r="F90" s="182">
        <v>1.6603662883286143</v>
      </c>
      <c r="G90" s="181">
        <v>1294.383</v>
      </c>
      <c r="H90" s="181">
        <v>53.603199999999561</v>
      </c>
      <c r="I90" s="182">
        <v>3.5892631528412898E-2</v>
      </c>
      <c r="J90" s="182">
        <v>0.38824087955432512</v>
      </c>
      <c r="K90" s="183">
        <v>1.4225481431856728</v>
      </c>
      <c r="L90" s="184">
        <f t="shared" si="1"/>
        <v>0.70296390655755736</v>
      </c>
      <c r="M90" s="185">
        <f>VLOOKUP(B90,'[2]Industry Averages'!$A$9:$E$104,5,0)</f>
        <v>0.10464826489767565</v>
      </c>
    </row>
    <row r="91" spans="2:13">
      <c r="B91" s="179" t="s">
        <v>417</v>
      </c>
      <c r="C91" s="180">
        <v>3</v>
      </c>
      <c r="D91" s="181">
        <v>3793.3300000000004</v>
      </c>
      <c r="E91" s="181">
        <v>7141.7999999999993</v>
      </c>
      <c r="F91" s="182">
        <v>0.53114480943179598</v>
      </c>
      <c r="G91" s="181">
        <v>0</v>
      </c>
      <c r="H91" s="181">
        <v>0</v>
      </c>
      <c r="I91" s="182">
        <v>-0.15952387758213274</v>
      </c>
      <c r="J91" s="182">
        <v>-1.8400342115345576</v>
      </c>
      <c r="K91" s="183">
        <v>0.40842598465950875</v>
      </c>
      <c r="L91" s="184">
        <f t="shared" si="1"/>
        <v>2.4484240414665757</v>
      </c>
      <c r="M91" s="185">
        <f>VLOOKUP(B91,'[2]Industry Averages'!$A$9:$E$104,5,0)</f>
        <v>-0.12187764883110659</v>
      </c>
    </row>
    <row r="92" spans="2:13">
      <c r="B92" s="179" t="s">
        <v>418</v>
      </c>
      <c r="C92" s="180">
        <v>20</v>
      </c>
      <c r="D92" s="181">
        <v>99.47499999999998</v>
      </c>
      <c r="E92" s="181">
        <v>74.324999999999989</v>
      </c>
      <c r="F92" s="182">
        <v>1.3383787420114361</v>
      </c>
      <c r="G92" s="181">
        <v>29.494</v>
      </c>
      <c r="H92" s="181">
        <v>12.539400000000001</v>
      </c>
      <c r="I92" s="182">
        <v>4.2849452832908363E-2</v>
      </c>
      <c r="J92" s="182">
        <v>8.5530831082903198</v>
      </c>
      <c r="K92" s="183">
        <v>0.72113930050829955</v>
      </c>
      <c r="L92" s="184">
        <f t="shared" si="1"/>
        <v>1.386694636244542</v>
      </c>
      <c r="M92" s="185">
        <f>VLOOKUP(B92,'[2]Industry Averages'!$A$9:$E$104,5,0)</f>
        <v>0.41266932855821736</v>
      </c>
    </row>
    <row r="93" spans="2:13">
      <c r="B93" s="179" t="s">
        <v>419</v>
      </c>
      <c r="C93" s="180">
        <v>13</v>
      </c>
      <c r="D93" s="181">
        <v>631.6880000000001</v>
      </c>
      <c r="E93" s="181">
        <v>1110.921</v>
      </c>
      <c r="F93" s="182">
        <v>0.5686164902814872</v>
      </c>
      <c r="G93" s="181">
        <v>2.1800000000000002</v>
      </c>
      <c r="H93" s="181">
        <v>1.5380000000000109</v>
      </c>
      <c r="I93" s="182">
        <v>-6.8482063377970318E-2</v>
      </c>
      <c r="J93" s="182">
        <v>-0.51772315476876751</v>
      </c>
      <c r="K93" s="183">
        <v>1.9842149074666495</v>
      </c>
      <c r="L93" s="184">
        <f t="shared" si="1"/>
        <v>0.50397766705459945</v>
      </c>
      <c r="M93" s="185">
        <f>VLOOKUP(B93,'[2]Industry Averages'!$A$9:$E$104,5,0)</f>
        <v>2.2028553515396176E-2</v>
      </c>
    </row>
    <row r="94" spans="2:13">
      <c r="B94" s="179" t="s">
        <v>420</v>
      </c>
      <c r="C94" s="180">
        <v>5</v>
      </c>
      <c r="D94" s="181">
        <v>394.26600000000002</v>
      </c>
      <c r="E94" s="181">
        <v>243.61600000000001</v>
      </c>
      <c r="F94" s="182">
        <v>1.6183912386706949</v>
      </c>
      <c r="G94" s="181">
        <v>8.76</v>
      </c>
      <c r="H94" s="181">
        <v>-2.0200000000386353E-2</v>
      </c>
      <c r="I94" s="182">
        <v>1.7551893721658003E-2</v>
      </c>
      <c r="J94" s="182">
        <v>7.6115496138828051E-2</v>
      </c>
      <c r="K94" s="183">
        <v>1.0789829296784386</v>
      </c>
      <c r="L94" s="184">
        <f t="shared" si="1"/>
        <v>0.92679872173512767</v>
      </c>
      <c r="M94" s="185">
        <f>VLOOKUP(B94,'[2]Industry Averages'!$A$9:$E$104,5,0)</f>
        <v>3.4434114836931928E-2</v>
      </c>
    </row>
    <row r="95" spans="2:13">
      <c r="B95" s="179" t="s">
        <v>421</v>
      </c>
      <c r="C95" s="180">
        <v>38</v>
      </c>
      <c r="D95" s="181">
        <v>412.60900000000004</v>
      </c>
      <c r="E95" s="181">
        <v>335.01199999999989</v>
      </c>
      <c r="F95" s="182">
        <v>1.2316245388224905</v>
      </c>
      <c r="G95" s="181">
        <v>4.7799999999999994</v>
      </c>
      <c r="H95" s="181">
        <v>-5.0200000000074851E-2</v>
      </c>
      <c r="I95" s="182">
        <v>1.1583083397924708E-2</v>
      </c>
      <c r="J95" s="182">
        <v>0.30380125344752773</v>
      </c>
      <c r="K95" s="183">
        <v>1.5809663907316838</v>
      </c>
      <c r="L95" s="184">
        <f t="shared" si="1"/>
        <v>0.63252451529800835</v>
      </c>
      <c r="M95" s="185">
        <f>VLOOKUP(B95,'[2]Industry Averages'!$A$9:$E$104,5,0)</f>
        <v>2.4630860304572632E-2</v>
      </c>
    </row>
    <row r="96" spans="2:13">
      <c r="B96" s="179" t="s">
        <v>422</v>
      </c>
      <c r="C96" s="180">
        <v>1</v>
      </c>
      <c r="D96" s="181">
        <v>69.8</v>
      </c>
      <c r="E96" s="181">
        <v>68.2</v>
      </c>
      <c r="F96" s="182">
        <v>1.0234604105571847</v>
      </c>
      <c r="G96" s="181">
        <v>0</v>
      </c>
      <c r="H96" s="181">
        <v>0</v>
      </c>
      <c r="I96" s="182">
        <v>1.6323199347071968E-3</v>
      </c>
      <c r="J96" s="182">
        <v>1.3160349118764644E-2</v>
      </c>
      <c r="K96" s="183">
        <v>0.85427924002091704</v>
      </c>
      <c r="L96" s="184">
        <f t="shared" si="1"/>
        <v>1.1705774331769023</v>
      </c>
      <c r="M96" s="185">
        <f>VLOOKUP(B96,'[2]Industry Averages'!$A$9:$E$104,5,0)</f>
        <v>5.1507756667247204E-4</v>
      </c>
    </row>
    <row r="97" spans="2:13">
      <c r="B97" s="179" t="s">
        <v>423</v>
      </c>
      <c r="C97" s="180">
        <v>12</v>
      </c>
      <c r="D97" s="181">
        <v>39.138999999999996</v>
      </c>
      <c r="E97" s="181">
        <v>24.734999999999996</v>
      </c>
      <c r="F97" s="182">
        <v>1.5823327269051952</v>
      </c>
      <c r="G97" s="181">
        <v>0</v>
      </c>
      <c r="H97" s="181">
        <v>0</v>
      </c>
      <c r="I97" s="182">
        <v>2.3913404389547425E-2</v>
      </c>
      <c r="J97" s="182">
        <v>0.39030082429653307</v>
      </c>
      <c r="K97" s="183">
        <v>2.4414306327923612</v>
      </c>
      <c r="L97" s="184">
        <f t="shared" si="1"/>
        <v>0.40959590928711348</v>
      </c>
      <c r="M97" s="185">
        <f>VLOOKUP(B97,'[2]Industry Averages'!$A$9:$E$104,5,0)</f>
        <v>9.9366887233555121E-2</v>
      </c>
    </row>
    <row r="98" spans="2:13">
      <c r="B98" s="179" t="s">
        <v>424</v>
      </c>
      <c r="C98" s="180">
        <v>0</v>
      </c>
      <c r="D98" s="181">
        <v>0</v>
      </c>
      <c r="E98" s="181">
        <v>0</v>
      </c>
      <c r="F98" s="182" t="s">
        <v>338</v>
      </c>
      <c r="G98" s="181">
        <v>0</v>
      </c>
      <c r="H98" s="181">
        <v>0</v>
      </c>
      <c r="I98" s="182" t="s">
        <v>338</v>
      </c>
      <c r="J98" s="182" t="s">
        <v>338</v>
      </c>
      <c r="K98" s="183" t="s">
        <v>338</v>
      </c>
      <c r="L98" s="184" t="e">
        <f t="shared" si="1"/>
        <v>#VALUE!</v>
      </c>
      <c r="M98" s="185" t="str">
        <f>VLOOKUP(B98,'[2]Industry Averages'!$A$9:$E$104,5,0)</f>
        <v>NA</v>
      </c>
    </row>
    <row r="99" spans="2:13" ht="15.75" thickBot="1">
      <c r="B99" s="186" t="s">
        <v>425</v>
      </c>
      <c r="C99" s="187">
        <v>1</v>
      </c>
      <c r="D99" s="188">
        <v>0.33100000000000002</v>
      </c>
      <c r="E99" s="188">
        <v>1.1499999999999999</v>
      </c>
      <c r="F99" s="189">
        <v>0.28782608695652179</v>
      </c>
      <c r="G99" s="188">
        <v>0</v>
      </c>
      <c r="H99" s="188">
        <v>1.2620000000000005</v>
      </c>
      <c r="I99" s="189">
        <v>1.1937483158178401E-3</v>
      </c>
      <c r="J99" s="189">
        <v>2.1168747151279928E-2</v>
      </c>
      <c r="K99" s="190">
        <v>1.5152257527131978</v>
      </c>
      <c r="L99" s="191">
        <f t="shared" si="1"/>
        <v>0.65996766370250581</v>
      </c>
      <c r="M99" s="192">
        <f>VLOOKUP(B99,'[2]Industry Averages'!$A$9:$E$104,5,0)</f>
        <v>0.15376352282718506</v>
      </c>
    </row>
    <row r="100" spans="2:13">
      <c r="B100" s="193" t="s">
        <v>426</v>
      </c>
      <c r="C100" s="194">
        <v>4149</v>
      </c>
      <c r="D100" s="195">
        <v>91128.195999999996</v>
      </c>
      <c r="E100" s="195">
        <v>56787.84999999978</v>
      </c>
      <c r="F100" s="196">
        <v>1.6047129095396349</v>
      </c>
      <c r="G100" s="195">
        <v>7200.6379999999963</v>
      </c>
      <c r="H100" s="195">
        <v>290.68879999994533</v>
      </c>
      <c r="I100" s="196">
        <v>2.4042222648084761E-2</v>
      </c>
      <c r="J100" s="196">
        <v>0.35915811387293384</v>
      </c>
      <c r="K100" s="197">
        <v>0.92986384073918371</v>
      </c>
      <c r="L100" s="198">
        <f t="shared" si="1"/>
        <v>1.0754262680061442</v>
      </c>
      <c r="M100" s="199">
        <f>VLOOKUP(B100,'[2]Industry Averages'!$A$9:$E$104,5,0)</f>
        <v>4.5696556435610526E-2</v>
      </c>
    </row>
    <row r="101" spans="2:13" ht="15.75" thickBot="1">
      <c r="B101" s="200" t="s">
        <v>427</v>
      </c>
      <c r="C101" s="201">
        <v>3577</v>
      </c>
      <c r="D101" s="202">
        <v>87192.377000000008</v>
      </c>
      <c r="E101" s="202">
        <v>57704.895999999782</v>
      </c>
      <c r="F101" s="203">
        <v>1.5110048374404892</v>
      </c>
      <c r="G101" s="202">
        <v>6627.3379999999952</v>
      </c>
      <c r="H101" s="202">
        <v>288.54959999994026</v>
      </c>
      <c r="I101" s="203">
        <v>2.5165026512248102E-2</v>
      </c>
      <c r="J101" s="203">
        <v>0.32789454018099928</v>
      </c>
      <c r="K101" s="204">
        <v>1.2945771705117866</v>
      </c>
      <c r="L101" s="205">
        <f t="shared" si="1"/>
        <v>0.77245298525129169</v>
      </c>
      <c r="M101" s="206">
        <f>VLOOKUP(B101,'[2]Industry Averages'!$A$9:$E$104,5,0)</f>
        <v>7.0760858358327683E-2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28</vt:i4>
      </vt:variant>
    </vt:vector>
  </HeadingPairs>
  <TitlesOfParts>
    <vt:vector size="48" baseType="lpstr">
      <vt:lpstr>Financials&gt;</vt:lpstr>
      <vt:lpstr>HistoricalFS</vt:lpstr>
      <vt:lpstr>Common Size Statement</vt:lpstr>
      <vt:lpstr>Forecasting</vt:lpstr>
      <vt:lpstr>DCF&gt;</vt:lpstr>
      <vt:lpstr>DCF Model</vt:lpstr>
      <vt:lpstr>WACC</vt:lpstr>
      <vt:lpstr>Beta Regression</vt:lpstr>
      <vt:lpstr>Beta of Comparables</vt:lpstr>
      <vt:lpstr>Rm (Nifty 50)</vt:lpstr>
      <vt:lpstr>Cash Flow Data</vt:lpstr>
      <vt:lpstr>Intrinsic Growth</vt:lpstr>
      <vt:lpstr>Raw FS</vt:lpstr>
      <vt:lpstr>Ratio Analysis</vt:lpstr>
      <vt:lpstr>Comps_Val</vt:lpstr>
      <vt:lpstr>Data</vt:lpstr>
      <vt:lpstr>Data Room&gt;</vt:lpstr>
      <vt:lpstr>Data Sheet</vt:lpstr>
      <vt:lpstr>Indian Sector Data</vt:lpstr>
      <vt:lpstr>Sheet3</vt:lpstr>
      <vt:lpstr>Cost_of_Debt</vt:lpstr>
      <vt:lpstr>Cost_of_Equity</vt:lpstr>
      <vt:lpstr>Debt_Weight</vt:lpstr>
      <vt:lpstr>Equity_Weight</vt:lpstr>
      <vt:lpstr>'Beta of Comparables'!Levered_Raw_Beta</vt:lpstr>
      <vt:lpstr>Levered_Raw_Beta</vt:lpstr>
      <vt:lpstr>Levered_Raw_Beta_ABFRL</vt:lpstr>
      <vt:lpstr>Levered_Raw_Beta_Metro</vt:lpstr>
      <vt:lpstr>Levered_Raw_Beta_Trent</vt:lpstr>
      <vt:lpstr>Levered_Raw_Beta_Vedant_Fashions</vt:lpstr>
      <vt:lpstr>'Beta of Comparables'!Market_Beta</vt:lpstr>
      <vt:lpstr>Market_Beta</vt:lpstr>
      <vt:lpstr>Market_Beta_ABFRL</vt:lpstr>
      <vt:lpstr>Market_Beta_Metro</vt:lpstr>
      <vt:lpstr>Market_Beta_Trent</vt:lpstr>
      <vt:lpstr>Market_Beta_Vedant_Fashions</vt:lpstr>
      <vt:lpstr>'Beta of Comparables'!Market_Beta_Weight</vt:lpstr>
      <vt:lpstr>Market_Beta_Weight</vt:lpstr>
      <vt:lpstr>Market_Beta_Weight_ABFRL</vt:lpstr>
      <vt:lpstr>Market_Beta_Weight_Metro</vt:lpstr>
      <vt:lpstr>Market_Beta_Weight_Trent</vt:lpstr>
      <vt:lpstr>Market_Beta_Weight_Vedant_Fashions</vt:lpstr>
      <vt:lpstr>'Beta of Comparables'!Raw_Beta_Weight</vt:lpstr>
      <vt:lpstr>Raw_Beta_Weight</vt:lpstr>
      <vt:lpstr>Raw_Beta_Weight_Metro</vt:lpstr>
      <vt:lpstr>Raw_Beta_Weight_Trent</vt:lpstr>
      <vt:lpstr>Raw_Beta_Weight_Vedant_Fashions</vt:lpstr>
      <vt:lpstr>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Rohankumar Panchal</dc:creator>
  <cp:lastModifiedBy>Rohankumar Panchal</cp:lastModifiedBy>
  <cp:lastPrinted>2024-03-30T03:19:18Z</cp:lastPrinted>
  <dcterms:created xsi:type="dcterms:W3CDTF">2012-08-17T09:55:37Z</dcterms:created>
  <dcterms:modified xsi:type="dcterms:W3CDTF">2024-03-30T03:19:34Z</dcterms:modified>
</cp:coreProperties>
</file>