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58e959addc15b/Documents/School Docs/Uni Year 4/Semester 2/APCO 1P01/Assignment 2/"/>
    </mc:Choice>
  </mc:AlternateContent>
  <xr:revisionPtr revIDLastSave="299" documentId="8_{BDE69A22-3CE8-47FA-96E0-E7D8D771FB25}" xr6:coauthVersionLast="47" xr6:coauthVersionMax="47" xr10:uidLastSave="{CF280358-FE03-4943-BF7F-50B4DA8AC7D7}"/>
  <bookViews>
    <workbookView xWindow="-120" yWindow="-120" windowWidth="29040" windowHeight="15720" xr2:uid="{9C35BC2F-ABED-A743-9BC8-7176AE41D334}"/>
  </bookViews>
  <sheets>
    <sheet name="PT A - Loan Function" sheetId="1" r:id="rId1"/>
    <sheet name="PT B - MS" sheetId="11" r:id="rId2"/>
    <sheet name="PT B - Full Marks" sheetId="13" r:id="rId3"/>
    <sheet name="PT B - Class List" sheetId="12" r:id="rId4"/>
    <sheet name="PT C - Top 50 NHL" sheetId="15" r:id="rId5"/>
    <sheet name="PT C - Analysi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1" l="1"/>
  <c r="I7" i="9"/>
  <c r="I6" i="9"/>
  <c r="B20" i="9"/>
  <c r="B19" i="9"/>
  <c r="B18" i="9"/>
  <c r="B17" i="9"/>
  <c r="B6" i="9"/>
  <c r="B5" i="9"/>
  <c r="O22" i="15" a="1"/>
  <c r="O22" i="15" s="1"/>
  <c r="O20" i="15"/>
  <c r="O18" i="15"/>
  <c r="O16" i="15"/>
  <c r="O14" i="15"/>
  <c r="O12" i="15"/>
  <c r="O10" i="15"/>
  <c r="O8" i="15"/>
  <c r="O6" i="15"/>
  <c r="O4" i="15"/>
  <c r="E25" i="13"/>
  <c r="G25" i="13"/>
  <c r="H25" i="13"/>
  <c r="D25" i="13"/>
  <c r="E24" i="11"/>
  <c r="E19" i="11"/>
  <c r="D18" i="11"/>
  <c r="D19" i="11"/>
  <c r="E21" i="11" s="1"/>
  <c r="F4" i="11"/>
  <c r="F8" i="11"/>
  <c r="F6" i="11"/>
  <c r="F5" i="11"/>
  <c r="J3" i="12"/>
  <c r="F3" i="12" s="1"/>
  <c r="J4" i="12"/>
  <c r="F4" i="12" s="1"/>
  <c r="J5" i="12"/>
  <c r="F5" i="12" s="1"/>
  <c r="J6" i="12"/>
  <c r="F6" i="12" s="1"/>
  <c r="J7" i="12"/>
  <c r="F7" i="12" s="1"/>
  <c r="J8" i="12"/>
  <c r="F8" i="12" s="1"/>
  <c r="J9" i="12"/>
  <c r="F9" i="12" s="1"/>
  <c r="J10" i="12"/>
  <c r="F10" i="12" s="1"/>
  <c r="J11" i="12"/>
  <c r="F11" i="12" s="1"/>
  <c r="J12" i="12"/>
  <c r="F12" i="12" s="1"/>
  <c r="J13" i="12"/>
  <c r="F13" i="12" s="1"/>
  <c r="J14" i="12"/>
  <c r="F14" i="12" s="1"/>
  <c r="J15" i="12"/>
  <c r="F15" i="12" s="1"/>
  <c r="J16" i="12"/>
  <c r="F16" i="12" s="1"/>
  <c r="J17" i="12"/>
  <c r="F17" i="12" s="1"/>
  <c r="J18" i="12"/>
  <c r="F18" i="12" s="1"/>
  <c r="J19" i="12"/>
  <c r="F19" i="12" s="1"/>
  <c r="J20" i="12"/>
  <c r="F20" i="12" s="1"/>
  <c r="J21" i="12"/>
  <c r="F21" i="12" s="1"/>
  <c r="J2" i="12"/>
  <c r="F2" i="12" s="1"/>
  <c r="H31" i="1"/>
  <c r="G31" i="1"/>
  <c r="F31" i="1"/>
  <c r="E31" i="1"/>
  <c r="D31" i="1"/>
  <c r="H30" i="1"/>
  <c r="G30" i="1"/>
  <c r="F30" i="1"/>
  <c r="E30" i="1"/>
  <c r="D30" i="1"/>
  <c r="H29" i="1"/>
  <c r="G29" i="1"/>
  <c r="F29" i="1"/>
  <c r="E29" i="1"/>
  <c r="D29" i="1"/>
  <c r="H28" i="1"/>
  <c r="G28" i="1"/>
  <c r="F28" i="1"/>
  <c r="E28" i="1"/>
  <c r="D28" i="1"/>
  <c r="F22" i="1"/>
  <c r="H22" i="1"/>
  <c r="F21" i="1"/>
  <c r="G21" i="1"/>
  <c r="H21" i="1"/>
  <c r="D22" i="1"/>
  <c r="H20" i="1"/>
  <c r="E19" i="1"/>
  <c r="F19" i="1"/>
  <c r="G19" i="1"/>
  <c r="H19" i="1"/>
  <c r="E11" i="1"/>
  <c r="E22" i="1" s="1"/>
  <c r="F11" i="1"/>
  <c r="G11" i="1"/>
  <c r="G22" i="1" s="1"/>
  <c r="H11" i="1"/>
  <c r="D11" i="1"/>
  <c r="E10" i="1"/>
  <c r="E21" i="1" s="1"/>
  <c r="F10" i="1"/>
  <c r="G10" i="1"/>
  <c r="H10" i="1"/>
  <c r="D10" i="1"/>
  <c r="D21" i="1" s="1"/>
  <c r="E9" i="1"/>
  <c r="E20" i="1" s="1"/>
  <c r="F9" i="1"/>
  <c r="F20" i="1" s="1"/>
  <c r="G9" i="1"/>
  <c r="G20" i="1" s="1"/>
  <c r="H9" i="1"/>
  <c r="D9" i="1"/>
  <c r="D20" i="1" s="1"/>
  <c r="H8" i="1"/>
  <c r="G8" i="1"/>
  <c r="F8" i="1"/>
  <c r="E8" i="1"/>
  <c r="D8" i="1"/>
  <c r="D19" i="1" s="1"/>
  <c r="F20" i="13" l="1"/>
  <c r="I20" i="13" s="1"/>
  <c r="J20" i="13" s="1"/>
  <c r="K20" i="13" s="1" a="1"/>
  <c r="K20" i="13" s="1"/>
  <c r="F21" i="13"/>
  <c r="I21" i="13" s="1"/>
  <c r="J21" i="13" s="1"/>
  <c r="K21" i="13" s="1" a="1"/>
  <c r="K21" i="13" s="1"/>
  <c r="F24" i="13"/>
  <c r="I24" i="13" s="1"/>
  <c r="J24" i="13" s="1"/>
  <c r="K24" i="13" s="1" a="1"/>
  <c r="K24" i="13" s="1"/>
  <c r="F15" i="13"/>
  <c r="I15" i="13" s="1"/>
  <c r="J15" i="13" s="1"/>
  <c r="K15" i="13" s="1" a="1"/>
  <c r="K15" i="13" s="1"/>
  <c r="F19" i="13"/>
  <c r="I19" i="13" s="1"/>
  <c r="J19" i="13" s="1"/>
  <c r="K19" i="13" s="1" a="1"/>
  <c r="K19" i="13" s="1"/>
  <c r="F12" i="13"/>
  <c r="I12" i="13" s="1"/>
  <c r="J12" i="13" s="1"/>
  <c r="K12" i="13" s="1" a="1"/>
  <c r="K12" i="13" s="1"/>
  <c r="F23" i="13"/>
  <c r="I23" i="13" s="1"/>
  <c r="J23" i="13" s="1"/>
  <c r="F16" i="13"/>
  <c r="I16" i="13" s="1"/>
  <c r="J16" i="13" s="1"/>
  <c r="K16" i="13" s="1" a="1"/>
  <c r="K16" i="13" s="1"/>
  <c r="F14" i="13"/>
  <c r="I14" i="13" s="1"/>
  <c r="J14" i="13" s="1"/>
  <c r="K14" i="13" s="1" a="1"/>
  <c r="K14" i="13" s="1"/>
  <c r="F22" i="13"/>
  <c r="I22" i="13" s="1"/>
  <c r="J22" i="13" s="1"/>
  <c r="K22" i="13" s="1" a="1"/>
  <c r="K22" i="13" s="1"/>
  <c r="F17" i="13"/>
  <c r="I17" i="13" s="1"/>
  <c r="J17" i="13" s="1"/>
  <c r="K17" i="13" s="1" a="1"/>
  <c r="K17" i="13" s="1"/>
  <c r="F11" i="13"/>
  <c r="I11" i="13" s="1"/>
  <c r="J11" i="13" s="1"/>
  <c r="K11" i="13" s="1" a="1"/>
  <c r="K11" i="13" s="1"/>
  <c r="F7" i="13"/>
  <c r="I7" i="13" s="1"/>
  <c r="J7" i="13" s="1"/>
  <c r="K7" i="13" s="1" a="1"/>
  <c r="K7" i="13" s="1"/>
  <c r="F5" i="13"/>
  <c r="F6" i="13"/>
  <c r="I6" i="13" s="1"/>
  <c r="J6" i="13" s="1"/>
  <c r="K6" i="13" s="1" a="1"/>
  <c r="K6" i="13" s="1"/>
  <c r="F13" i="13"/>
  <c r="I13" i="13" s="1"/>
  <c r="J13" i="13" s="1"/>
  <c r="K13" i="13" s="1" a="1"/>
  <c r="K13" i="13" s="1"/>
  <c r="F9" i="13"/>
  <c r="I9" i="13" s="1"/>
  <c r="J9" i="13" s="1"/>
  <c r="K9" i="13" s="1" a="1"/>
  <c r="K9" i="13" s="1"/>
  <c r="F8" i="13"/>
  <c r="I8" i="13" s="1"/>
  <c r="J8" i="13" s="1"/>
  <c r="K8" i="13" s="1" a="1"/>
  <c r="K8" i="13" s="1"/>
  <c r="F10" i="13"/>
  <c r="I10" i="13" s="1"/>
  <c r="J10" i="13" s="1"/>
  <c r="K10" i="13" s="1" a="1"/>
  <c r="K10" i="13" s="1"/>
  <c r="F18" i="13"/>
  <c r="I18" i="13" s="1"/>
  <c r="J18" i="13" s="1"/>
  <c r="K18" i="13" s="1" a="1"/>
  <c r="K18" i="13" s="1"/>
  <c r="F7" i="11"/>
  <c r="C9" i="11"/>
  <c r="K23" i="13" l="1" a="1"/>
  <c r="K23" i="13" s="1"/>
  <c r="I5" i="13"/>
  <c r="F25" i="13"/>
  <c r="J5" i="13" l="1"/>
  <c r="I25" i="13"/>
  <c r="B30" i="13" l="1"/>
  <c r="B31" i="13"/>
  <c r="B28" i="13"/>
  <c r="B29" i="13"/>
  <c r="K5" i="13" a="1"/>
  <c r="K5" i="13" s="1"/>
  <c r="E32" i="13" s="1"/>
  <c r="J25" i="13"/>
  <c r="K25" i="13" s="1" a="1"/>
  <c r="K25" i="13" s="1"/>
  <c r="E30" i="13" l="1"/>
  <c r="E31" i="13"/>
  <c r="E29" i="13"/>
  <c r="E2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<sst xmlns="http://schemas.openxmlformats.org/spreadsheetml/2006/main" count="425" uniqueCount="185">
  <si>
    <t>St Num</t>
  </si>
  <si>
    <t>Grade</t>
  </si>
  <si>
    <t>Total</t>
  </si>
  <si>
    <t>Project</t>
  </si>
  <si>
    <t>Weight</t>
  </si>
  <si>
    <t>Base</t>
  </si>
  <si>
    <t>Student</t>
  </si>
  <si>
    <t>APCO 1P01 Marking Scheme</t>
  </si>
  <si>
    <t>Student Num</t>
  </si>
  <si>
    <t>Last Name</t>
  </si>
  <si>
    <t>First Name</t>
  </si>
  <si>
    <t>Random</t>
  </si>
  <si>
    <t>APCO 1P01 - FINAL MARKS</t>
  </si>
  <si>
    <t>Stud Num</t>
  </si>
  <si>
    <t>Raw Final</t>
  </si>
  <si>
    <t>Final</t>
  </si>
  <si>
    <t>Class Average</t>
  </si>
  <si>
    <t>Class Stats</t>
  </si>
  <si>
    <t>Number</t>
  </si>
  <si>
    <t>min</t>
  </si>
  <si>
    <t>A</t>
  </si>
  <si>
    <t>max</t>
  </si>
  <si>
    <t>median</t>
  </si>
  <si>
    <t>avg</t>
  </si>
  <si>
    <t>Labs</t>
  </si>
  <si>
    <t>Holt</t>
  </si>
  <si>
    <t>Loan Amount</t>
  </si>
  <si>
    <t>Monthly Payment For Loan</t>
  </si>
  <si>
    <t>Total Amount Paid Back</t>
  </si>
  <si>
    <t>Cost of Loan (amount of interest)</t>
  </si>
  <si>
    <t>Assignments</t>
  </si>
  <si>
    <t>Test</t>
  </si>
  <si>
    <t>Exam</t>
  </si>
  <si>
    <t xml:space="preserve">Test </t>
  </si>
  <si>
    <t>Martin</t>
  </si>
  <si>
    <t>Hill</t>
  </si>
  <si>
    <t>Hall</t>
  </si>
  <si>
    <t>Brown</t>
  </si>
  <si>
    <t>Smith</t>
  </si>
  <si>
    <t>Lee</t>
  </si>
  <si>
    <t>Jackson</t>
  </si>
  <si>
    <t>Johnson</t>
  </si>
  <si>
    <t>Murphy</t>
  </si>
  <si>
    <t>Wilson</t>
  </si>
  <si>
    <t>Nelson</t>
  </si>
  <si>
    <t>Jones</t>
  </si>
  <si>
    <t>Evans</t>
  </si>
  <si>
    <t>Jarvis</t>
  </si>
  <si>
    <t>Atkinson</t>
  </si>
  <si>
    <t>Clifford</t>
  </si>
  <si>
    <t>Starr</t>
  </si>
  <si>
    <t>Moran</t>
  </si>
  <si>
    <t>Isabel</t>
  </si>
  <si>
    <t>Katy</t>
  </si>
  <si>
    <t>Eliza</t>
  </si>
  <si>
    <t>Selma</t>
  </si>
  <si>
    <t>Jodie</t>
  </si>
  <si>
    <t>Pippa</t>
  </si>
  <si>
    <t>Zoe</t>
  </si>
  <si>
    <t>Sasha</t>
  </si>
  <si>
    <t>Connie</t>
  </si>
  <si>
    <t>Hannah</t>
  </si>
  <si>
    <t>Zack</t>
  </si>
  <si>
    <t>Bernie</t>
  </si>
  <si>
    <t>Dexter</t>
  </si>
  <si>
    <t>Hugh</t>
  </si>
  <si>
    <t>Jakob</t>
  </si>
  <si>
    <t>Mark</t>
  </si>
  <si>
    <t>Kevin</t>
  </si>
  <si>
    <t>Aaron</t>
  </si>
  <si>
    <t>Warren</t>
  </si>
  <si>
    <t>Ralph</t>
  </si>
  <si>
    <t>Left Wing</t>
  </si>
  <si>
    <t>Right</t>
  </si>
  <si>
    <t>USA</t>
  </si>
  <si>
    <t>NSH</t>
  </si>
  <si>
    <t>Filip Forsberg</t>
  </si>
  <si>
    <t>Defense</t>
  </si>
  <si>
    <t>FLA</t>
  </si>
  <si>
    <t>Aaron Ekblad</t>
  </si>
  <si>
    <t>Right Wing</t>
  </si>
  <si>
    <t>Left</t>
  </si>
  <si>
    <t>STL</t>
  </si>
  <si>
    <t>Vladimir Tarasenko</t>
  </si>
  <si>
    <t>ARI</t>
  </si>
  <si>
    <t>Clayton Keller</t>
  </si>
  <si>
    <t>Centre</t>
  </si>
  <si>
    <t>LAK</t>
  </si>
  <si>
    <t>Anze Kopitar</t>
  </si>
  <si>
    <t>TBL</t>
  </si>
  <si>
    <t>Alex Killorn</t>
  </si>
  <si>
    <t>DET</t>
  </si>
  <si>
    <t>Tyler Bertuzzi</t>
  </si>
  <si>
    <t>ANA</t>
  </si>
  <si>
    <t>Troy Terry</t>
  </si>
  <si>
    <t>PIT</t>
  </si>
  <si>
    <t>Kris Letang</t>
  </si>
  <si>
    <t>NJD</t>
  </si>
  <si>
    <t>Jesper Bratt</t>
  </si>
  <si>
    <t>MIN</t>
  </si>
  <si>
    <t>Mats Zuccarello</t>
  </si>
  <si>
    <t>Canada</t>
  </si>
  <si>
    <t>TOR</t>
  </si>
  <si>
    <t>William Nylander</t>
  </si>
  <si>
    <t>Jordan Kyrou</t>
  </si>
  <si>
    <t>Matt Duchene</t>
  </si>
  <si>
    <t>COL</t>
  </si>
  <si>
    <t>Nathan MacKinnon</t>
  </si>
  <si>
    <t>CHI</t>
  </si>
  <si>
    <t>Patrick Kane</t>
  </si>
  <si>
    <t>Sidney Crosby</t>
  </si>
  <si>
    <t>Sam Reinhart</t>
  </si>
  <si>
    <t>John Tavares</t>
  </si>
  <si>
    <t>CAR</t>
  </si>
  <si>
    <t>Andrei Svechnikov</t>
  </si>
  <si>
    <t>DAL</t>
  </si>
  <si>
    <t>Jason Robertson</t>
  </si>
  <si>
    <t>BOS</t>
  </si>
  <si>
    <t>David Pastrnak</t>
  </si>
  <si>
    <t>Cale Makar</t>
  </si>
  <si>
    <t>NYR</t>
  </si>
  <si>
    <t>Adam Fox</t>
  </si>
  <si>
    <t>Roman Josi</t>
  </si>
  <si>
    <t>SJS</t>
  </si>
  <si>
    <t>Timo Meier</t>
  </si>
  <si>
    <t>Connor McDavid!!!!</t>
  </si>
  <si>
    <t>Easy question - who is the best player in hockey?</t>
  </si>
  <si>
    <t>Chris Kreider</t>
  </si>
  <si>
    <t>Victor Hedman</t>
  </si>
  <si>
    <t>WSH</t>
  </si>
  <si>
    <t>Evgeny Kuznetsov</t>
  </si>
  <si>
    <t>VAN</t>
  </si>
  <si>
    <t>J.T. Miller</t>
  </si>
  <si>
    <t>Joe Pavelski</t>
  </si>
  <si>
    <t xml:space="preserve">9) Number of Left Wingers that have over 20 goals </t>
  </si>
  <si>
    <t>Sebastian Aho</t>
  </si>
  <si>
    <t>Gabriel Landeskog</t>
  </si>
  <si>
    <t>Mika Zibanejad</t>
  </si>
  <si>
    <t>Brad Marchand</t>
  </si>
  <si>
    <t>7) Number of Top 50 Players that have at least 15 Goals and at least 20 Penalty Minutes</t>
  </si>
  <si>
    <t>Dylan Larkin</t>
  </si>
  <si>
    <t>CGY</t>
  </si>
  <si>
    <t>Matthew Tkachuk</t>
  </si>
  <si>
    <t>Jake Guentzel</t>
  </si>
  <si>
    <t>WPG</t>
  </si>
  <si>
    <t>Kyle Connor</t>
  </si>
  <si>
    <t>5) Number of Top 50 Players that play on Canadian Teams</t>
  </si>
  <si>
    <t>Artemi Panarin</t>
  </si>
  <si>
    <t>Kirill Kaprizov</t>
  </si>
  <si>
    <t>Steven Stamkos</t>
  </si>
  <si>
    <t>Mikko Rantanen</t>
  </si>
  <si>
    <t>3) Total number of Points scored by all Top 50 players</t>
  </si>
  <si>
    <t>Auston Matthews</t>
  </si>
  <si>
    <t>Johnny Gaudreau</t>
  </si>
  <si>
    <t>2) Total number of Assists scored by all Top 50 players</t>
  </si>
  <si>
    <t>Alex Ovechkin</t>
  </si>
  <si>
    <t>Nazem Kadri</t>
  </si>
  <si>
    <t>1) Total number of Goals scored by all Top 50 players</t>
  </si>
  <si>
    <t>EDM</t>
  </si>
  <si>
    <t>Connor McDavid</t>
  </si>
  <si>
    <t>Jonathan Huberdeau</t>
  </si>
  <si>
    <t>* from NHL.com (Feb 14, 2022) - top 50 NHL Scorers</t>
  </si>
  <si>
    <t>Leon Draisaitl</t>
  </si>
  <si>
    <t>Penalty Mins</t>
  </si>
  <si>
    <t>+/-</t>
  </si>
  <si>
    <t>P</t>
  </si>
  <si>
    <t>G</t>
  </si>
  <si>
    <t>Position</t>
  </si>
  <si>
    <t>Shoots</t>
  </si>
  <si>
    <t>Country</t>
  </si>
  <si>
    <t>Team</t>
  </si>
  <si>
    <t>Player</t>
  </si>
  <si>
    <t>Games Played</t>
  </si>
  <si>
    <r>
      <t xml:space="preserve">4) Average number of Penalty Minutes </t>
    </r>
    <r>
      <rPr>
        <b/>
        <sz val="12"/>
        <color theme="1"/>
        <rFont val="Calibri"/>
        <family val="2"/>
        <scheme val="minor"/>
      </rPr>
      <t>per game</t>
    </r>
    <r>
      <rPr>
        <sz val="12"/>
        <color theme="1"/>
        <rFont val="Calibri"/>
        <family val="2"/>
        <scheme val="minor"/>
      </rPr>
      <t xml:space="preserve"> by all Top 50 players</t>
    </r>
  </si>
  <si>
    <t>6) Number of Top 50 Players that play Centre position and play on an American Team</t>
  </si>
  <si>
    <t>8) Total Number of Assists by Top 50 Players that play Centre and play on an American Team</t>
  </si>
  <si>
    <t>10) Total Number of Points by Forwards (ie Centres, Left Wingers, RightWinger)</t>
  </si>
  <si>
    <t>Below are three charts that highlight the data from the Top 50 NHL Scorer's List</t>
  </si>
  <si>
    <t>B</t>
  </si>
  <si>
    <t>Rate</t>
  </si>
  <si>
    <t>Loan Period (in Years)</t>
  </si>
  <si>
    <t>Letter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</si>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</sst>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5" fontId="14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9" fontId="1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textRotation="90"/>
    </xf>
    <xf numFmtId="0" fontId="0" fillId="0" borderId="1" xfId="0" applyBorder="1"/>
    <xf numFmtId="9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166" fontId="0" fillId="0" borderId="1" xfId="0" applyNumberFormat="1" applyBorder="1"/>
    <xf numFmtId="0" fontId="0" fillId="0" borderId="2" xfId="0" applyBorder="1" applyAlignment="1">
      <alignment horizontal="center"/>
    </xf>
    <xf numFmtId="0" fontId="13" fillId="0" borderId="0" xfId="0" applyFont="1"/>
    <xf numFmtId="0" fontId="1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6" fontId="1" fillId="0" borderId="1" xfId="0" applyNumberFormat="1" applyFont="1" applyBorder="1" applyAlignment="1">
      <alignment horizontal="center"/>
    </xf>
    <xf numFmtId="0" fontId="17" fillId="0" borderId="0" xfId="0" applyFont="1" applyAlignment="1">
      <alignment vertical="center" textRotation="45"/>
    </xf>
    <xf numFmtId="10" fontId="6" fillId="0" borderId="10" xfId="0" applyNumberFormat="1" applyFont="1" applyBorder="1"/>
    <xf numFmtId="10" fontId="6" fillId="0" borderId="11" xfId="0" applyNumberFormat="1" applyFont="1" applyBorder="1"/>
    <xf numFmtId="0" fontId="6" fillId="0" borderId="6" xfId="0" applyFont="1" applyBorder="1"/>
    <xf numFmtId="0" fontId="6" fillId="0" borderId="5" xfId="0" applyFont="1" applyBorder="1"/>
    <xf numFmtId="0" fontId="6" fillId="0" borderId="7" xfId="0" applyFont="1" applyBorder="1"/>
    <xf numFmtId="10" fontId="6" fillId="0" borderId="12" xfId="0" applyNumberFormat="1" applyFont="1" applyBorder="1"/>
    <xf numFmtId="44" fontId="0" fillId="0" borderId="15" xfId="0" applyNumberFormat="1" applyBorder="1"/>
    <xf numFmtId="44" fontId="0" fillId="0" borderId="16" xfId="0" applyNumberFormat="1" applyBorder="1"/>
    <xf numFmtId="44" fontId="0" fillId="0" borderId="9" xfId="0" applyNumberFormat="1" applyBorder="1"/>
    <xf numFmtId="44" fontId="0" fillId="0" borderId="0" xfId="0" applyNumberFormat="1"/>
    <xf numFmtId="44" fontId="0" fillId="0" borderId="17" xfId="0" applyNumberFormat="1" applyBorder="1"/>
    <xf numFmtId="44" fontId="0" fillId="0" borderId="8" xfId="0" applyNumberFormat="1" applyBorder="1"/>
    <xf numFmtId="44" fontId="0" fillId="0" borderId="18" xfId="0" applyNumberFormat="1" applyBorder="1"/>
    <xf numFmtId="44" fontId="0" fillId="0" borderId="19" xfId="0" applyNumberFormat="1" applyBorder="1"/>
    <xf numFmtId="44" fontId="0" fillId="0" borderId="20" xfId="0" applyNumberFormat="1" applyBorder="1"/>
    <xf numFmtId="44" fontId="0" fillId="0" borderId="11" xfId="0" applyNumberFormat="1" applyBorder="1"/>
    <xf numFmtId="44" fontId="0" fillId="0" borderId="10" xfId="0" applyNumberFormat="1" applyBorder="1"/>
    <xf numFmtId="44" fontId="0" fillId="0" borderId="12" xfId="0" applyNumberFormat="1" applyBorder="1"/>
    <xf numFmtId="0" fontId="10" fillId="0" borderId="11" xfId="0" applyFont="1" applyBorder="1" applyAlignment="1">
      <alignment horizontal="center"/>
    </xf>
    <xf numFmtId="0" fontId="0" fillId="0" borderId="21" xfId="0" applyBorder="1"/>
    <xf numFmtId="0" fontId="20" fillId="0" borderId="21" xfId="0" applyFont="1" applyBorder="1"/>
    <xf numFmtId="0" fontId="19" fillId="0" borderId="8" xfId="0" applyFont="1" applyBorder="1" applyAlignment="1">
      <alignment horizontal="center"/>
    </xf>
    <xf numFmtId="0" fontId="18" fillId="0" borderId="13" xfId="0" applyFont="1" applyBorder="1" applyAlignment="1">
      <alignment horizontal="center" textRotation="45"/>
    </xf>
    <xf numFmtId="0" fontId="18" fillId="0" borderId="14" xfId="0" applyFont="1" applyBorder="1" applyAlignment="1">
      <alignment horizontal="center" textRotation="45"/>
    </xf>
    <xf numFmtId="0" fontId="16" fillId="0" borderId="0" xfId="0" applyFont="1" applyAlignment="1">
      <alignment horizontal="center"/>
    </xf>
    <xf numFmtId="165" fontId="15" fillId="4" borderId="0" xfId="1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hyperlink" Target="https://wikitravel.org/wiki/en/index.php?title=File:Flag_of_Canada.svg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s://www.publicdomainpictures.net/view-image.php?image=317282&amp;picture=bandera-de-los-estados-unidos-bandera-de" TargetMode="Externa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Goals</a:t>
            </a:r>
            <a:r>
              <a:rPr lang="en-CA" baseline="0"/>
              <a:t> By Country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FF0000"/>
            </a:solidFill>
          </c:spPr>
          <c:dPt>
            <c:idx val="0"/>
            <c:bubble3D val="0"/>
            <c:spPr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837473B0-CC2E-450A-ABE3-18F120FF3D39}">
                      <a1611:picAttrSrcUrl xmlns:a1611="http://schemas.microsoft.com/office/drawing/2016/11/main" r:id="rId4"/>
                    </a:ext>
                  </a:extLst>
                </a:blip>
                <a:srcRect/>
                <a:stretch>
                  <a:fillRect/>
                </a:stretch>
              </a:blip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BA-4D48-88CF-03D47D138424}"/>
              </c:ext>
            </c:extLst>
          </c:dPt>
          <c:dPt>
            <c:idx val="1"/>
            <c:bubble3D val="0"/>
            <c:spPr>
              <a:blipFill dpi="0" rotWithShape="1">
                <a:blip xmlns:r="http://schemas.openxmlformats.org/officeDocument/2006/relationships" r:embed="rId5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837473B0-CC2E-450A-ABE3-18F120FF3D39}">
                      <a1611:picAttrSrcUrl xmlns:a1611="http://schemas.microsoft.com/office/drawing/2016/11/main" r:id="rId6"/>
                    </a:ext>
                  </a:extLst>
                </a:blip>
                <a:srcRect/>
                <a:stretch>
                  <a:fillRect/>
                </a:stretch>
              </a:blip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FBA-4D48-88CF-03D47D13842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'PT C - Analysis'!$A$5:$A$6</c:f>
              <c:strCache>
                <c:ptCount val="2"/>
                <c:pt idx="0">
                  <c:v>USA</c:v>
                </c:pt>
                <c:pt idx="1">
                  <c:v>Canada</c:v>
                </c:pt>
              </c:strCache>
            </c:strRef>
          </c:cat>
          <c:val>
            <c:numRef>
              <c:f>'PT C - Analysis'!$B$5:$B$6</c:f>
              <c:numCache>
                <c:formatCode>General</c:formatCode>
                <c:ptCount val="2"/>
                <c:pt idx="0">
                  <c:v>743</c:v>
                </c:pt>
                <c:pt idx="1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A-4D48-88CF-03D47D138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Points By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4A6-4FDB-8C01-B3A24226DE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4A6-4FDB-8C01-B3A24226DE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4A6-4FDB-8C01-B3A24226DE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4A6-4FDB-8C01-B3A24226DE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'PT C - Analysis'!$A$17:$A$20</c:f>
              <c:strCache>
                <c:ptCount val="4"/>
                <c:pt idx="0">
                  <c:v>Left Wing</c:v>
                </c:pt>
                <c:pt idx="1">
                  <c:v>Centre</c:v>
                </c:pt>
                <c:pt idx="2">
                  <c:v>Right Wing</c:v>
                </c:pt>
                <c:pt idx="3">
                  <c:v>Defense</c:v>
                </c:pt>
              </c:strCache>
            </c:strRef>
          </c:cat>
          <c:val>
            <c:numRef>
              <c:f>'PT C - Analysis'!$B$17:$B$20</c:f>
              <c:numCache>
                <c:formatCode>General</c:formatCode>
                <c:ptCount val="4"/>
                <c:pt idx="0">
                  <c:v>793</c:v>
                </c:pt>
                <c:pt idx="1">
                  <c:v>893</c:v>
                </c:pt>
                <c:pt idx="2">
                  <c:v>445</c:v>
                </c:pt>
                <c:pt idx="3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2-431D-B198-CEAD5BD221E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</a:t>
            </a:r>
            <a:r>
              <a:rPr lang="en-CA" baseline="0"/>
              <a:t>p 50 Scorers By Country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93-4EC2-97E0-319D2B8793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93-4EC2-97E0-319D2B87938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'PT C - Analysis'!$H$6:$H$7</c:f>
              <c:strCache>
                <c:ptCount val="2"/>
                <c:pt idx="0">
                  <c:v>USA</c:v>
                </c:pt>
                <c:pt idx="1">
                  <c:v>Canada</c:v>
                </c:pt>
              </c:strCache>
            </c:strRef>
          </c:cat>
          <c:val>
            <c:numRef>
              <c:f>'PT C - Analysis'!$I$6:$I$7</c:f>
              <c:numCache>
                <c:formatCode>General</c:formatCode>
                <c:ptCount val="2"/>
                <c:pt idx="0">
                  <c:v>41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0-46AF-9C76-8D8DE1DD0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95250</xdr:rowOff>
    </xdr:from>
    <xdr:to>
      <xdr:col>5</xdr:col>
      <xdr:colOff>771525</xdr:colOff>
      <xdr:row>15</xdr:row>
      <xdr:rowOff>76200</xdr:rowOff>
    </xdr:to>
    <xdr:graphicFrame macro="">
      <xdr:nvGraphicFramePr>
        <xdr:cNvPr id="4" name="Chart 3" descr="Maple Leaf with solid fill">
          <a:extLst>
            <a:ext uri="{FF2B5EF4-FFF2-40B4-BE49-F238E27FC236}">
              <a16:creationId xmlns:a16="http://schemas.microsoft.com/office/drawing/2014/main" id="{90506B86-8705-47F3-AA20-8AD5545E1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15</xdr:row>
      <xdr:rowOff>171450</xdr:rowOff>
    </xdr:from>
    <xdr:to>
      <xdr:col>6</xdr:col>
      <xdr:colOff>352425</xdr:colOff>
      <xdr:row>30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B64156-0952-4082-8DC9-EA85B6E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342900</xdr:colOff>
      <xdr:row>3</xdr:row>
      <xdr:rowOff>47625</xdr:rowOff>
    </xdr:from>
    <xdr:to>
      <xdr:col>11</xdr:col>
      <xdr:colOff>495300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190FA7-11E1-477C-A497-AAA5B72C8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D84B-2045-3141-9400-4A4B127517DE}">
  <dimension ref="A1:W64"/>
  <sheetViews>
    <sheetView tabSelected="1" zoomScale="84" zoomScaleNormal="84" workbookViewId="0">
      <selection activeCell="D10" sqref="D10"/>
    </sheetView>
  </sheetViews>
  <sheetFormatPr defaultColWidth="11" defaultRowHeight="15.75" x14ac:dyDescent="0.25"/>
  <cols>
    <col min="2" max="2" width="17.5" customWidth="1"/>
    <col min="3" max="3" width="11.125" customWidth="1"/>
    <col min="4" max="8" width="12.625" customWidth="1"/>
    <col min="9" max="23" width="11.125" customWidth="1"/>
  </cols>
  <sheetData>
    <row r="1" spans="1:23" ht="23.25" x14ac:dyDescent="0.35">
      <c r="A1" s="1" t="s">
        <v>26</v>
      </c>
      <c r="C1" s="64">
        <v>450000</v>
      </c>
      <c r="D1" s="64"/>
      <c r="E1" s="64"/>
    </row>
    <row r="4" spans="1:23" ht="28.5" x14ac:dyDescent="0.45">
      <c r="C4" s="63" t="s">
        <v>27</v>
      </c>
      <c r="D4" s="63"/>
      <c r="E4" s="63"/>
      <c r="F4" s="63"/>
      <c r="G4" s="63"/>
      <c r="H4" s="63"/>
    </row>
    <row r="6" spans="1:23" ht="18.75" customHeight="1" x14ac:dyDescent="0.35">
      <c r="D6" s="60" t="s">
        <v>180</v>
      </c>
      <c r="E6" s="60"/>
      <c r="F6" s="60"/>
      <c r="G6" s="60"/>
      <c r="H6" s="60"/>
    </row>
    <row r="7" spans="1:23" ht="15.95" customHeight="1" x14ac:dyDescent="0.3">
      <c r="D7" s="42">
        <v>5</v>
      </c>
      <c r="E7" s="41">
        <v>10</v>
      </c>
      <c r="F7" s="41">
        <v>15</v>
      </c>
      <c r="G7" s="41">
        <v>20</v>
      </c>
      <c r="H7" s="43">
        <v>25</v>
      </c>
    </row>
    <row r="8" spans="1:23" ht="18.75" customHeight="1" thickBot="1" x14ac:dyDescent="0.35">
      <c r="C8" s="40">
        <v>2.5000000000000001E-2</v>
      </c>
      <c r="D8" s="45">
        <f>PMT($C$8/12,D7*12,$C$1)*-1</f>
        <v>7986.3127224661248</v>
      </c>
      <c r="E8" s="46">
        <f>PMT($C$8/12,E7*12,$C$1)*-1</f>
        <v>4242.1455766784047</v>
      </c>
      <c r="F8" s="46">
        <f>PMT($C$8/12,F7*12,$C$1)*-1</f>
        <v>3000.5514405404388</v>
      </c>
      <c r="G8" s="46">
        <f>PMT($C$8/12,G7*12,$C$1)*-1</f>
        <v>2384.5630186450348</v>
      </c>
      <c r="H8" s="51">
        <f>PMT($C$8/12,H7*12,$C$1)*-1</f>
        <v>2018.7753033447907</v>
      </c>
    </row>
    <row r="9" spans="1:23" ht="15.95" customHeight="1" x14ac:dyDescent="0.3">
      <c r="B9" s="61" t="s">
        <v>179</v>
      </c>
      <c r="C9" s="39">
        <v>0.03</v>
      </c>
      <c r="D9" s="47">
        <f>PMT($C$9/12,D7*12,$C$1)*-1</f>
        <v>8085.9107988284122</v>
      </c>
      <c r="E9" s="48">
        <f t="shared" ref="E9:H9" si="0">PMT($C$9/12,E7*12,$C$1)*-1</f>
        <v>4345.2335114275284</v>
      </c>
      <c r="F9" s="48">
        <f t="shared" si="0"/>
        <v>3107.6173812509551</v>
      </c>
      <c r="G9" s="48">
        <f t="shared" si="0"/>
        <v>2495.689190342604</v>
      </c>
      <c r="H9" s="52">
        <f t="shared" si="0"/>
        <v>2133.9509123595285</v>
      </c>
    </row>
    <row r="10" spans="1:23" ht="19.5" thickBot="1" x14ac:dyDescent="0.35">
      <c r="B10" s="62"/>
      <c r="C10" s="39">
        <v>3.5000000000000003E-2</v>
      </c>
      <c r="D10" s="47">
        <f>PMT($C$10/12,D7*12,$C$1)*-1</f>
        <v>8186.2852366153802</v>
      </c>
      <c r="E10" s="48">
        <f t="shared" ref="E10:H10" si="1">PMT($C$10/12,E7*12,$C$1)*-1</f>
        <v>4449.8640357856493</v>
      </c>
      <c r="F10" s="48">
        <f t="shared" si="1"/>
        <v>3216.9714360442881</v>
      </c>
      <c r="G10" s="48">
        <f t="shared" si="1"/>
        <v>2609.8187309239197</v>
      </c>
      <c r="H10" s="52">
        <f t="shared" si="1"/>
        <v>2252.8060661677182</v>
      </c>
    </row>
    <row r="11" spans="1:23" ht="18.75" x14ac:dyDescent="0.3">
      <c r="B11" s="38"/>
      <c r="C11" s="44">
        <v>0.04</v>
      </c>
      <c r="D11" s="49">
        <f>PMT($C$11/12,D7*12,$C$1)*-1</f>
        <v>8287.43492486986</v>
      </c>
      <c r="E11" s="50">
        <f t="shared" ref="E11:H11" si="2">PMT($C$11/12,E7*12,$C$1)*-1</f>
        <v>4556.031217419667</v>
      </c>
      <c r="F11" s="50">
        <f t="shared" si="2"/>
        <v>3328.5956652417158</v>
      </c>
      <c r="G11" s="50">
        <f t="shared" si="2"/>
        <v>2726.911481847384</v>
      </c>
      <c r="H11" s="53">
        <f t="shared" si="2"/>
        <v>2375.2657813399978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8.75" x14ac:dyDescent="0.3">
      <c r="B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8.5" x14ac:dyDescent="0.45">
      <c r="C15" s="63" t="s">
        <v>28</v>
      </c>
      <c r="D15" s="63"/>
      <c r="E15" s="63"/>
      <c r="F15" s="63"/>
      <c r="G15" s="63"/>
      <c r="H15" s="63"/>
    </row>
    <row r="17" spans="1:23" ht="15.95" customHeight="1" x14ac:dyDescent="0.4">
      <c r="A17" s="6"/>
      <c r="D17" s="60" t="s">
        <v>180</v>
      </c>
      <c r="E17" s="60"/>
      <c r="F17" s="60"/>
      <c r="G17" s="60"/>
      <c r="H17" s="60"/>
    </row>
    <row r="18" spans="1:23" ht="18.75" x14ac:dyDescent="0.3">
      <c r="D18" s="42">
        <v>5</v>
      </c>
      <c r="E18" s="41">
        <v>10</v>
      </c>
      <c r="F18" s="41">
        <v>15</v>
      </c>
      <c r="G18" s="41">
        <v>20</v>
      </c>
      <c r="H18" s="43">
        <v>25</v>
      </c>
    </row>
    <row r="19" spans="1:23" ht="19.5" thickBot="1" x14ac:dyDescent="0.35">
      <c r="C19" s="40">
        <v>2.5000000000000001E-2</v>
      </c>
      <c r="D19" s="45">
        <f>D8*(D7*12)</f>
        <v>479178.76334796747</v>
      </c>
      <c r="E19" s="45">
        <f t="shared" ref="E19:H19" si="3">E8*(E7*12)</f>
        <v>509057.46920140856</v>
      </c>
      <c r="F19" s="45">
        <f t="shared" si="3"/>
        <v>540099.25929727894</v>
      </c>
      <c r="G19" s="45">
        <f t="shared" si="3"/>
        <v>572295.12447480834</v>
      </c>
      <c r="H19" s="54">
        <f t="shared" si="3"/>
        <v>605632.59100343718</v>
      </c>
    </row>
    <row r="20" spans="1:23" ht="18.75" x14ac:dyDescent="0.3">
      <c r="B20" s="61" t="s">
        <v>179</v>
      </c>
      <c r="C20" s="39">
        <v>0.03</v>
      </c>
      <c r="D20" s="47">
        <f>D9*(D7*12)</f>
        <v>485154.64792970475</v>
      </c>
      <c r="E20" s="47">
        <f t="shared" ref="E20:H20" si="4">E9*(E7*12)</f>
        <v>521428.02137130342</v>
      </c>
      <c r="F20" s="47">
        <f t="shared" si="4"/>
        <v>559371.12862517196</v>
      </c>
      <c r="G20" s="47">
        <f t="shared" si="4"/>
        <v>598965.40568222501</v>
      </c>
      <c r="H20" s="55">
        <f t="shared" si="4"/>
        <v>640185.27370785852</v>
      </c>
    </row>
    <row r="21" spans="1:23" ht="19.5" thickBot="1" x14ac:dyDescent="0.35">
      <c r="B21" s="62"/>
      <c r="C21" s="39">
        <v>3.5000000000000003E-2</v>
      </c>
      <c r="D21" s="47">
        <f>D10*(D7*12)</f>
        <v>491177.1141969228</v>
      </c>
      <c r="E21" s="47">
        <f t="shared" ref="E21:H21" si="5">E10*(E7*12)</f>
        <v>533983.68429427792</v>
      </c>
      <c r="F21" s="47">
        <f t="shared" si="5"/>
        <v>579054.85848797183</v>
      </c>
      <c r="G21" s="47">
        <f t="shared" si="5"/>
        <v>626356.49542174069</v>
      </c>
      <c r="H21" s="55">
        <f t="shared" si="5"/>
        <v>675841.81985031546</v>
      </c>
    </row>
    <row r="22" spans="1:23" ht="18.75" x14ac:dyDescent="0.3">
      <c r="B22" s="38"/>
      <c r="C22" s="44">
        <v>0.04</v>
      </c>
      <c r="D22" s="49">
        <f>D11*(D7*12)</f>
        <v>497246.09549219161</v>
      </c>
      <c r="E22" s="49">
        <f t="shared" ref="E22:H22" si="6">E11*(E7*12)</f>
        <v>546723.74609035999</v>
      </c>
      <c r="F22" s="49">
        <f t="shared" si="6"/>
        <v>599147.21974350885</v>
      </c>
      <c r="G22" s="49">
        <f t="shared" si="6"/>
        <v>654458.75564337219</v>
      </c>
      <c r="H22" s="56">
        <f t="shared" si="6"/>
        <v>712579.73440199939</v>
      </c>
    </row>
    <row r="25" spans="1:23" ht="28.5" x14ac:dyDescent="0.45">
      <c r="C25" s="63" t="s">
        <v>29</v>
      </c>
      <c r="D25" s="63"/>
      <c r="E25" s="63"/>
      <c r="F25" s="63"/>
      <c r="G25" s="63"/>
      <c r="H25" s="63"/>
    </row>
    <row r="26" spans="1:23" ht="21" x14ac:dyDescent="0.35">
      <c r="D26" s="60" t="s">
        <v>180</v>
      </c>
      <c r="E26" s="60"/>
      <c r="F26" s="60"/>
      <c r="G26" s="60"/>
      <c r="H26" s="60"/>
    </row>
    <row r="27" spans="1:23" ht="18.75" x14ac:dyDescent="0.3">
      <c r="D27" s="42">
        <v>5</v>
      </c>
      <c r="E27" s="41">
        <v>10</v>
      </c>
      <c r="F27" s="41">
        <v>15</v>
      </c>
      <c r="G27" s="41">
        <v>20</v>
      </c>
      <c r="H27" s="43">
        <v>25</v>
      </c>
    </row>
    <row r="28" spans="1:23" ht="18.75" customHeight="1" thickBot="1" x14ac:dyDescent="0.35">
      <c r="C28" s="40">
        <v>2.5000000000000001E-2</v>
      </c>
      <c r="D28" s="45">
        <f>D19-$C$1</f>
        <v>29178.76334796747</v>
      </c>
      <c r="E28" s="45">
        <f t="shared" ref="E28:H28" si="7">E19-$C$1</f>
        <v>59057.469201408559</v>
      </c>
      <c r="F28" s="45">
        <f t="shared" si="7"/>
        <v>90099.259297278943</v>
      </c>
      <c r="G28" s="45">
        <f t="shared" si="7"/>
        <v>122295.12447480834</v>
      </c>
      <c r="H28" s="54">
        <f t="shared" si="7"/>
        <v>155632.59100343718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 x14ac:dyDescent="0.3">
      <c r="B29" s="61" t="s">
        <v>179</v>
      </c>
      <c r="C29" s="39">
        <v>0.03</v>
      </c>
      <c r="D29" s="47">
        <f>D20-$C$1</f>
        <v>35154.647929704748</v>
      </c>
      <c r="E29" s="47">
        <f t="shared" ref="E29:H29" si="8">E20-$C$1</f>
        <v>71428.021371303417</v>
      </c>
      <c r="F29" s="47">
        <f t="shared" si="8"/>
        <v>109371.12862517196</v>
      </c>
      <c r="G29" s="47">
        <f t="shared" si="8"/>
        <v>148965.40568222501</v>
      </c>
      <c r="H29" s="55">
        <f t="shared" si="8"/>
        <v>190185.27370785852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9.5" thickBot="1" x14ac:dyDescent="0.35">
      <c r="B30" s="62"/>
      <c r="C30" s="39">
        <v>3.5000000000000003E-2</v>
      </c>
      <c r="D30" s="47">
        <f>D21-$C$1</f>
        <v>41177.114196922805</v>
      </c>
      <c r="E30" s="47">
        <f t="shared" ref="E30:H30" si="9">E21-$C$1</f>
        <v>83983.684294277919</v>
      </c>
      <c r="F30" s="47">
        <f t="shared" si="9"/>
        <v>129054.85848797183</v>
      </c>
      <c r="G30" s="47">
        <f t="shared" si="9"/>
        <v>176356.49542174069</v>
      </c>
      <c r="H30" s="55">
        <f t="shared" si="9"/>
        <v>225841.81985031546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8.75" x14ac:dyDescent="0.3">
      <c r="B31" s="38"/>
      <c r="C31" s="44">
        <v>0.04</v>
      </c>
      <c r="D31" s="49">
        <f>D22-$C$1</f>
        <v>47246.095492191613</v>
      </c>
      <c r="E31" s="49">
        <f t="shared" ref="E31:G31" si="10">E22-$C$1</f>
        <v>96723.746090359986</v>
      </c>
      <c r="F31" s="49">
        <f t="shared" si="10"/>
        <v>149147.21974350885</v>
      </c>
      <c r="G31" s="49">
        <f t="shared" si="10"/>
        <v>204458.75564337219</v>
      </c>
      <c r="H31" s="56">
        <f>H22-$C$1</f>
        <v>262579.73440199939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4" spans="1:23" ht="15.95" customHeight="1" x14ac:dyDescent="0.4">
      <c r="A34" s="6"/>
    </row>
    <row r="45" spans="1:23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8.75" x14ac:dyDescent="0.3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51" spans="1:23" ht="15.95" customHeight="1" x14ac:dyDescent="0.4">
      <c r="A51" s="6"/>
    </row>
    <row r="62" spans="1:23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</sheetData>
  <mergeCells count="10">
    <mergeCell ref="C1:E1"/>
    <mergeCell ref="C4:H4"/>
    <mergeCell ref="C15:H15"/>
    <mergeCell ref="D17:H17"/>
    <mergeCell ref="B20:B21"/>
    <mergeCell ref="D26:H26"/>
    <mergeCell ref="B29:B30"/>
    <mergeCell ref="B9:B10"/>
    <mergeCell ref="D6:H6"/>
    <mergeCell ref="C25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F95-4D59-124B-B390-49F7D70227DE}">
  <dimension ref="A1:F24"/>
  <sheetViews>
    <sheetView workbookViewId="0">
      <selection activeCell="H9" sqref="H9"/>
    </sheetView>
  </sheetViews>
  <sheetFormatPr defaultColWidth="11" defaultRowHeight="15.75" x14ac:dyDescent="0.25"/>
  <cols>
    <col min="1" max="1" width="15.5" customWidth="1"/>
    <col min="2" max="3" width="10.875" style="9"/>
    <col min="5" max="5" width="16.875" customWidth="1"/>
    <col min="6" max="6" width="50.125" customWidth="1"/>
  </cols>
  <sheetData>
    <row r="1" spans="1:6" ht="21" x14ac:dyDescent="0.35">
      <c r="A1" s="65" t="s">
        <v>7</v>
      </c>
      <c r="B1" s="65"/>
      <c r="C1" s="65"/>
    </row>
    <row r="2" spans="1:6" ht="21" x14ac:dyDescent="0.35">
      <c r="E2" s="1" t="s">
        <v>6</v>
      </c>
    </row>
    <row r="3" spans="1:6" ht="21" x14ac:dyDescent="0.35">
      <c r="B3" s="25" t="s">
        <v>5</v>
      </c>
      <c r="C3" s="25" t="s">
        <v>4</v>
      </c>
      <c r="F3" s="57" t="str">
        <f>CONCATENATE((VLOOKUP(F12,'PT B - Class List'!A2:H21,3,FALSE))," ",(VLOOKUP(F12,'PT B - Class List'!A2:H21,2,FALSE)))</f>
        <v>Kevin Moran</v>
      </c>
    </row>
    <row r="4" spans="1:6" ht="21" x14ac:dyDescent="0.35">
      <c r="A4" s="13" t="s">
        <v>30</v>
      </c>
      <c r="B4" s="12">
        <v>25</v>
      </c>
      <c r="C4" s="12">
        <v>25</v>
      </c>
      <c r="E4" t="s">
        <v>30</v>
      </c>
      <c r="F4" s="14">
        <f>VLOOKUP(F12,'PT B - Class List'!A2:H21,4,FALSE)</f>
        <v>16</v>
      </c>
    </row>
    <row r="5" spans="1:6" ht="21" x14ac:dyDescent="0.35">
      <c r="A5" s="13" t="s">
        <v>24</v>
      </c>
      <c r="B5" s="12">
        <v>20</v>
      </c>
      <c r="C5" s="12">
        <v>20</v>
      </c>
      <c r="E5" t="s">
        <v>24</v>
      </c>
      <c r="F5" s="14">
        <f>VLOOKUP(F12,'PT B - Class List'!A2:H21,5,FALSE)</f>
        <v>5</v>
      </c>
    </row>
    <row r="6" spans="1:6" ht="21" x14ac:dyDescent="0.35">
      <c r="A6" s="13" t="s">
        <v>3</v>
      </c>
      <c r="B6" s="12">
        <v>100</v>
      </c>
      <c r="C6" s="12">
        <v>10</v>
      </c>
      <c r="E6" t="s">
        <v>3</v>
      </c>
      <c r="F6" s="14">
        <f>VLOOKUP(F12,'PT B - Class List'!A2:H21,7,FALSE)</f>
        <v>0</v>
      </c>
    </row>
    <row r="7" spans="1:6" ht="21" x14ac:dyDescent="0.35">
      <c r="A7" s="13" t="s">
        <v>31</v>
      </c>
      <c r="B7" s="12">
        <v>80</v>
      </c>
      <c r="C7" s="12">
        <v>20</v>
      </c>
      <c r="E7" t="s">
        <v>31</v>
      </c>
      <c r="F7" s="14">
        <f ca="1">VLOOKUP(F12,'PT B - Class List'!A2:H21,6,FALSE)</f>
        <v>61</v>
      </c>
    </row>
    <row r="8" spans="1:6" ht="21" x14ac:dyDescent="0.35">
      <c r="A8" s="13" t="s">
        <v>32</v>
      </c>
      <c r="B8" s="12">
        <v>120</v>
      </c>
      <c r="C8" s="12">
        <v>25</v>
      </c>
      <c r="E8" t="s">
        <v>32</v>
      </c>
      <c r="F8" s="14">
        <f>VLOOKUP(F12,'PT B - Class List'!A2:H21,8,FALSE)</f>
        <v>54</v>
      </c>
    </row>
    <row r="9" spans="1:6" ht="34.5" thickBot="1" x14ac:dyDescent="0.55000000000000004">
      <c r="A9" s="66" t="s">
        <v>2</v>
      </c>
      <c r="B9" s="66"/>
      <c r="C9" s="12">
        <f>SUM(C4:C8)</f>
        <v>100</v>
      </c>
      <c r="E9" s="1" t="s">
        <v>1</v>
      </c>
      <c r="F9" s="11"/>
    </row>
    <row r="11" spans="1:6" ht="16.5" thickBot="1" x14ac:dyDescent="0.3"/>
    <row r="12" spans="1:6" ht="24" thickBot="1" x14ac:dyDescent="0.4">
      <c r="E12" s="1" t="s">
        <v>0</v>
      </c>
      <c r="F12" s="10">
        <v>7241164</v>
      </c>
    </row>
    <row r="18" spans="4:5" x14ac:dyDescent="0.25">
      <c r="D18" t="str">
        <f>VLOOKUP(F12,'PT B - Class List'!A2:H21,3,FALSE)</f>
        <v>Kevin</v>
      </c>
    </row>
    <row r="19" spans="4:5" x14ac:dyDescent="0.25">
      <c r="D19" t="str">
        <f>VLOOKUP(F12,'PT B - Class List'!A2:H21,2,FALSE)</f>
        <v>Moran</v>
      </c>
      <c r="E19" s="3" t="e">
        <f>VLOOKUP(VLOOKUP(F12,'PT B - Class List'!A2:H21,3,FALSE),'PT B - Class List'!A2:H21,2,FALSE)</f>
        <v>#N/A</v>
      </c>
    </row>
    <row r="21" spans="4:5" x14ac:dyDescent="0.25">
      <c r="E21" t="str">
        <f>CONCATENATE(D18, D19)</f>
        <v>KevinMoran</v>
      </c>
    </row>
    <row r="24" spans="4:5" x14ac:dyDescent="0.25">
      <c r="E24" t="str">
        <f>CONCATENATE((VLOOKUP(F12,'PT B - Class List'!A2:H21,3,FALSE)),(VLOOKUP(F12,'PT B - Class List'!A2:H21,2,FALSE)))</f>
        <v>KevinMoran</v>
      </c>
    </row>
  </sheetData>
  <mergeCells count="2">
    <mergeCell ref="A1:C1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8971-68D9-324C-9D61-26C337B0A6E3}">
  <dimension ref="A2:M32"/>
  <sheetViews>
    <sheetView topLeftCell="C20" zoomScale="145" zoomScaleNormal="145" workbookViewId="0">
      <selection activeCell="E32" sqref="E32"/>
    </sheetView>
  </sheetViews>
  <sheetFormatPr defaultColWidth="11" defaultRowHeight="15.75" x14ac:dyDescent="0.25"/>
  <cols>
    <col min="1" max="1" width="17.5" style="9" customWidth="1"/>
    <col min="2" max="2" width="13" bestFit="1" customWidth="1"/>
    <col min="3" max="3" width="13.375" bestFit="1" customWidth="1"/>
    <col min="4" max="4" width="15.625" customWidth="1"/>
    <col min="9" max="9" width="12.875" customWidth="1"/>
    <col min="10" max="10" width="12" bestFit="1" customWidth="1"/>
  </cols>
  <sheetData>
    <row r="2" spans="1:13" ht="21" x14ac:dyDescent="0.35">
      <c r="A2" s="25" t="s">
        <v>12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4" spans="1:13" ht="21" x14ac:dyDescent="0.35">
      <c r="A4" s="16" t="s">
        <v>13</v>
      </c>
      <c r="B4" s="17" t="s">
        <v>9</v>
      </c>
      <c r="C4" s="17" t="s">
        <v>10</v>
      </c>
      <c r="D4" s="16" t="s">
        <v>30</v>
      </c>
      <c r="E4" s="16" t="s">
        <v>24</v>
      </c>
      <c r="F4" s="16" t="s">
        <v>33</v>
      </c>
      <c r="G4" s="16" t="s">
        <v>3</v>
      </c>
      <c r="H4" s="16" t="s">
        <v>32</v>
      </c>
      <c r="I4" s="16" t="s">
        <v>14</v>
      </c>
      <c r="J4" s="16" t="s">
        <v>15</v>
      </c>
      <c r="K4" s="16" t="s">
        <v>1</v>
      </c>
      <c r="M4" s="18"/>
    </row>
    <row r="5" spans="1:13" x14ac:dyDescent="0.25">
      <c r="A5" s="9">
        <v>7058034</v>
      </c>
      <c r="B5" s="9" t="s">
        <v>48</v>
      </c>
      <c r="C5" s="9" t="s">
        <v>58</v>
      </c>
      <c r="D5" s="9">
        <v>22</v>
      </c>
      <c r="E5" s="9">
        <v>20</v>
      </c>
      <c r="F5" s="9">
        <f ca="1">'PT B - Class List'!J17</f>
        <v>76</v>
      </c>
      <c r="G5" s="9">
        <v>84</v>
      </c>
      <c r="H5" s="9">
        <v>98</v>
      </c>
      <c r="I5">
        <f ca="1">(D5/'PT B - MS'!$B$4*'PT B - MS'!$C$4)+(E5/'PT B - MS'!$B$5*'PT B - MS'!$C$5)+(F5/'PT B - MS'!$B$7*'PT B - MS'!$C$7)+(G5/'PT B - MS'!$B$6*'PT B - MS'!$C$6)+(H5/'PT B - MS'!$B$8*'PT B - MS'!$C$8)</f>
        <v>89.816666666666677</v>
      </c>
      <c r="J5">
        <f ca="1">ROUND(I5,0)</f>
        <v>90</v>
      </c>
      <c r="K5" t="str" cm="1">
        <f t="array" aca="1" ref="K5" ca="1">_xlfn.IFS(J5&gt;=79, "A",J5&gt;=69, "B",J5&gt;=59, "C",J5&gt;=49, "D", J5&lt;=48, "F")</f>
        <v>A</v>
      </c>
    </row>
    <row r="6" spans="1:13" x14ac:dyDescent="0.25">
      <c r="A6" s="9">
        <v>6300984</v>
      </c>
      <c r="B6" s="9" t="s">
        <v>37</v>
      </c>
      <c r="C6" s="9" t="s">
        <v>53</v>
      </c>
      <c r="D6" s="9">
        <v>25</v>
      </c>
      <c r="E6" s="9">
        <v>15</v>
      </c>
      <c r="F6" s="9">
        <f ca="1">'PT B - Class List'!J5</f>
        <v>56</v>
      </c>
      <c r="G6" s="9">
        <v>85</v>
      </c>
      <c r="H6" s="9">
        <v>87</v>
      </c>
      <c r="I6">
        <f ca="1">(D6/'PT B - MS'!$B$4*'PT B - MS'!$C$4)+(E6/'PT B - MS'!$B$5*'PT B - MS'!$C$5)+(F6/'PT B - MS'!$B$7*'PT B - MS'!$C$7)+(G6/'PT B - MS'!$B$6*'PT B - MS'!$C$6)+(H6/'PT B - MS'!$B$8*'PT B - MS'!$C$8)</f>
        <v>80.625</v>
      </c>
      <c r="J6">
        <f t="shared" ref="J6:J24" ca="1" si="0">ROUND(I6,0)</f>
        <v>81</v>
      </c>
      <c r="K6" t="str" cm="1">
        <f t="array" aca="1" ref="K6" ca="1">_xlfn.IFS(J6&gt;=79, "A",J6&gt;=69, "B",J6&gt;=59, "C",J6&gt;=49, "D", J6&lt;=48, "F")</f>
        <v>A</v>
      </c>
    </row>
    <row r="7" spans="1:13" x14ac:dyDescent="0.25">
      <c r="A7" s="9">
        <v>7102414</v>
      </c>
      <c r="B7" s="9" t="s">
        <v>49</v>
      </c>
      <c r="C7" s="9" t="s">
        <v>61</v>
      </c>
      <c r="D7" s="9">
        <v>11</v>
      </c>
      <c r="E7" s="9">
        <v>15</v>
      </c>
      <c r="F7" s="9">
        <f ca="1">'PT B - Class List'!J19</f>
        <v>68</v>
      </c>
      <c r="G7" s="9">
        <v>62</v>
      </c>
      <c r="H7" s="9">
        <v>60</v>
      </c>
      <c r="I7">
        <f ca="1">(D7/'PT B - MS'!$B$4*'PT B - MS'!$C$4)+(E7/'PT B - MS'!$B$5*'PT B - MS'!$C$5)+(F7/'PT B - MS'!$B$7*'PT B - MS'!$C$7)+(G7/'PT B - MS'!$B$6*'PT B - MS'!$C$6)+(H7/'PT B - MS'!$B$8*'PT B - MS'!$C$8)</f>
        <v>61.7</v>
      </c>
      <c r="J7">
        <f t="shared" ca="1" si="0"/>
        <v>62</v>
      </c>
      <c r="K7" t="str" cm="1">
        <f t="array" aca="1" ref="K7" ca="1">_xlfn.IFS(J7&gt;=79, "A",J7&gt;=69, "B",J7&gt;=59, "C",J7&gt;=49, "D", J7&lt;=48, "F")</f>
        <v>C</v>
      </c>
    </row>
    <row r="8" spans="1:13" x14ac:dyDescent="0.25">
      <c r="A8" s="9">
        <v>6834487</v>
      </c>
      <c r="B8" s="9" t="s">
        <v>46</v>
      </c>
      <c r="C8" s="9" t="s">
        <v>57</v>
      </c>
      <c r="D8" s="9">
        <v>15</v>
      </c>
      <c r="E8" s="9">
        <v>10</v>
      </c>
      <c r="F8" s="9">
        <f ca="1">'PT B - Class List'!J15</f>
        <v>64</v>
      </c>
      <c r="G8" s="9">
        <v>82</v>
      </c>
      <c r="H8" s="9">
        <v>96</v>
      </c>
      <c r="I8">
        <f ca="1">(D8/'PT B - MS'!$B$4*'PT B - MS'!$C$4)+(E8/'PT B - MS'!$B$5*'PT B - MS'!$C$5)+(F8/'PT B - MS'!$B$7*'PT B - MS'!$C$7)+(G8/'PT B - MS'!$B$6*'PT B - MS'!$C$6)+(H8/'PT B - MS'!$B$8*'PT B - MS'!$C$8)</f>
        <v>69.2</v>
      </c>
      <c r="J8">
        <f t="shared" ca="1" si="0"/>
        <v>69</v>
      </c>
      <c r="K8" t="str" cm="1">
        <f t="array" aca="1" ref="K8" ca="1">_xlfn.IFS(J8&gt;=79, "A",J8&gt;=69, "B",J8&gt;=59, "C",J8&gt;=49, "D", J8&lt;=48, "F")</f>
        <v>B</v>
      </c>
    </row>
    <row r="9" spans="1:13" x14ac:dyDescent="0.25">
      <c r="A9" s="9">
        <v>6252217</v>
      </c>
      <c r="B9" s="9" t="s">
        <v>36</v>
      </c>
      <c r="C9" s="9" t="s">
        <v>66</v>
      </c>
      <c r="D9" s="9">
        <v>24</v>
      </c>
      <c r="E9" s="9">
        <v>20</v>
      </c>
      <c r="F9" s="9">
        <f ca="1">'PT B - Class List'!J4</f>
        <v>76</v>
      </c>
      <c r="G9" s="9">
        <v>71</v>
      </c>
      <c r="H9" s="9">
        <v>69</v>
      </c>
      <c r="I9">
        <f ca="1">(D9/'PT B - MS'!$B$4*'PT B - MS'!$C$4)+(E9/'PT B - MS'!$B$5*'PT B - MS'!$C$5)+(F9/'PT B - MS'!$B$7*'PT B - MS'!$C$7)+(G9/'PT B - MS'!$B$6*'PT B - MS'!$C$6)+(H9/'PT B - MS'!$B$8*'PT B - MS'!$C$8)</f>
        <v>84.474999999999994</v>
      </c>
      <c r="J9">
        <f t="shared" ca="1" si="0"/>
        <v>84</v>
      </c>
      <c r="K9" t="str" cm="1">
        <f t="array" aca="1" ref="K9" ca="1">_xlfn.IFS(J9&gt;=79, "A",J9&gt;=69, "B",J9&gt;=59, "C",J9&gt;=49, "D", J9&lt;=48, "F")</f>
        <v>A</v>
      </c>
    </row>
    <row r="10" spans="1:13" x14ac:dyDescent="0.25">
      <c r="A10" s="9">
        <v>6177917</v>
      </c>
      <c r="B10" s="9" t="s">
        <v>35</v>
      </c>
      <c r="C10" s="9" t="s">
        <v>63</v>
      </c>
      <c r="D10" s="9">
        <v>25</v>
      </c>
      <c r="E10" s="9">
        <v>15</v>
      </c>
      <c r="F10" s="9">
        <f ca="1">'PT B - Class List'!J3</f>
        <v>56</v>
      </c>
      <c r="G10" s="9">
        <v>88</v>
      </c>
      <c r="H10" s="9">
        <v>96</v>
      </c>
      <c r="I10">
        <f ca="1">(D10/'PT B - MS'!$B$4*'PT B - MS'!$C$4)+(E10/'PT B - MS'!$B$5*'PT B - MS'!$C$5)+(F10/'PT B - MS'!$B$7*'PT B - MS'!$C$7)+(G10/'PT B - MS'!$B$6*'PT B - MS'!$C$6)+(H10/'PT B - MS'!$B$8*'PT B - MS'!$C$8)</f>
        <v>82.8</v>
      </c>
      <c r="J10">
        <f t="shared" ca="1" si="0"/>
        <v>83</v>
      </c>
      <c r="K10" t="str" cm="1">
        <f t="array" aca="1" ref="K10" ca="1">_xlfn.IFS(J10&gt;=79, "A",J10&gt;=69, "B",J10&gt;=59, "C",J10&gt;=49, "D", J10&lt;=48, "F")</f>
        <v>A</v>
      </c>
    </row>
    <row r="11" spans="1:13" x14ac:dyDescent="0.25">
      <c r="A11" s="9">
        <v>6310099</v>
      </c>
      <c r="B11" s="9" t="s">
        <v>25</v>
      </c>
      <c r="C11" s="9" t="s">
        <v>69</v>
      </c>
      <c r="D11" s="9">
        <v>21</v>
      </c>
      <c r="E11" s="9">
        <v>15</v>
      </c>
      <c r="F11" s="9">
        <f ca="1">'PT B - Class List'!J6</f>
        <v>67</v>
      </c>
      <c r="G11" s="9">
        <v>71</v>
      </c>
      <c r="H11" s="9">
        <v>71</v>
      </c>
      <c r="I11">
        <f ca="1">(D11/'PT B - MS'!$B$4*'PT B - MS'!$C$4)+(E11/'PT B - MS'!$B$5*'PT B - MS'!$C$5)+(F11/'PT B - MS'!$B$7*'PT B - MS'!$C$7)+(G11/'PT B - MS'!$B$6*'PT B - MS'!$C$6)+(H11/'PT B - MS'!$B$8*'PT B - MS'!$C$8)</f>
        <v>74.641666666666666</v>
      </c>
      <c r="J11">
        <f t="shared" ca="1" si="0"/>
        <v>75</v>
      </c>
      <c r="K11" t="str" cm="1">
        <f t="array" aca="1" ref="K11" ca="1">_xlfn.IFS(J11&gt;=79, "A",J11&gt;=69, "B",J11&gt;=59, "C",J11&gt;=49, "D", J11&lt;=48, "F")</f>
        <v>B</v>
      </c>
    </row>
    <row r="12" spans="1:13" x14ac:dyDescent="0.25">
      <c r="A12" s="9">
        <v>6391710</v>
      </c>
      <c r="B12" s="9" t="s">
        <v>40</v>
      </c>
      <c r="C12" s="9" t="s">
        <v>55</v>
      </c>
      <c r="D12" s="9">
        <v>24</v>
      </c>
      <c r="E12" s="9">
        <v>20</v>
      </c>
      <c r="F12" s="9">
        <f ca="1">'PT B - Class List'!J9</f>
        <v>46</v>
      </c>
      <c r="G12" s="9">
        <v>97</v>
      </c>
      <c r="H12" s="9">
        <v>97</v>
      </c>
      <c r="I12">
        <f ca="1">(D12/'PT B - MS'!$B$4*'PT B - MS'!$C$4)+(E12/'PT B - MS'!$B$5*'PT B - MS'!$C$5)+(F12/'PT B - MS'!$B$7*'PT B - MS'!$C$7)+(G12/'PT B - MS'!$B$6*'PT B - MS'!$C$6)+(H12/'PT B - MS'!$B$8*'PT B - MS'!$C$8)</f>
        <v>85.408333333333331</v>
      </c>
      <c r="J12">
        <f t="shared" ca="1" si="0"/>
        <v>85</v>
      </c>
      <c r="K12" t="str" cm="1">
        <f t="array" aca="1" ref="K12" ca="1">_xlfn.IFS(J12&gt;=79, "A",J12&gt;=69, "B",J12&gt;=59, "C",J12&gt;=49, "D", J12&lt;=48, "F")</f>
        <v>A</v>
      </c>
    </row>
    <row r="13" spans="1:13" x14ac:dyDescent="0.25">
      <c r="A13" s="9">
        <v>7024562</v>
      </c>
      <c r="B13" s="9" t="s">
        <v>47</v>
      </c>
      <c r="C13" s="9" t="s">
        <v>65</v>
      </c>
      <c r="D13" s="9">
        <v>25</v>
      </c>
      <c r="E13" s="9">
        <v>20</v>
      </c>
      <c r="F13" s="9">
        <f ca="1">'PT B - Class List'!J16</f>
        <v>73</v>
      </c>
      <c r="G13" s="9">
        <v>98</v>
      </c>
      <c r="H13" s="9">
        <v>86</v>
      </c>
      <c r="I13">
        <f ca="1">(D13/'PT B - MS'!$B$4*'PT B - MS'!$C$4)+(E13/'PT B - MS'!$B$5*'PT B - MS'!$C$5)+(F13/'PT B - MS'!$B$7*'PT B - MS'!$C$7)+(G13/'PT B - MS'!$B$6*'PT B - MS'!$C$6)+(H13/'PT B - MS'!$B$8*'PT B - MS'!$C$8)</f>
        <v>90.966666666666669</v>
      </c>
      <c r="J13">
        <f t="shared" ca="1" si="0"/>
        <v>91</v>
      </c>
      <c r="K13" t="str" cm="1">
        <f t="array" aca="1" ref="K13" ca="1">_xlfn.IFS(J13&gt;=79, "A",J13&gt;=69, "B",J13&gt;=59, "C",J13&gt;=49, "D", J13&lt;=48, "F")</f>
        <v>A</v>
      </c>
    </row>
    <row r="14" spans="1:13" x14ac:dyDescent="0.25">
      <c r="A14" s="9">
        <v>6555932</v>
      </c>
      <c r="B14" s="9" t="s">
        <v>41</v>
      </c>
      <c r="C14" s="9" t="s">
        <v>70</v>
      </c>
      <c r="D14" s="9">
        <v>18</v>
      </c>
      <c r="E14" s="9">
        <v>10</v>
      </c>
      <c r="F14" s="9">
        <f ca="1">'PT B - Class List'!J10</f>
        <v>49</v>
      </c>
      <c r="G14" s="9">
        <v>50</v>
      </c>
      <c r="H14" s="9">
        <v>60</v>
      </c>
      <c r="I14">
        <f ca="1">(D14/'PT B - MS'!$B$4*'PT B - MS'!$C$4)+(E14/'PT B - MS'!$B$5*'PT B - MS'!$C$5)+(F14/'PT B - MS'!$B$7*'PT B - MS'!$C$7)+(G14/'PT B - MS'!$B$6*'PT B - MS'!$C$6)+(H14/'PT B - MS'!$B$8*'PT B - MS'!$C$8)</f>
        <v>57.75</v>
      </c>
      <c r="J14">
        <f t="shared" ca="1" si="0"/>
        <v>58</v>
      </c>
      <c r="K14" t="str" cm="1">
        <f t="array" aca="1" ref="K14" ca="1">_xlfn.IFS(J14&gt;=79, "A",J14&gt;=69, "B",J14&gt;=59, "C",J14&gt;=49, "D", J14&lt;=48, "F")</f>
        <v>D</v>
      </c>
    </row>
    <row r="15" spans="1:13" x14ac:dyDescent="0.25">
      <c r="A15" s="9">
        <v>6776641</v>
      </c>
      <c r="B15" s="9" t="s">
        <v>45</v>
      </c>
      <c r="C15" s="9" t="s">
        <v>67</v>
      </c>
      <c r="D15" s="9">
        <v>25</v>
      </c>
      <c r="E15" s="9">
        <v>20</v>
      </c>
      <c r="F15" s="9">
        <f ca="1">'PT B - Class List'!J14</f>
        <v>51</v>
      </c>
      <c r="G15" s="9">
        <v>78</v>
      </c>
      <c r="H15" s="9">
        <v>114</v>
      </c>
      <c r="I15">
        <f ca="1">(D15/'PT B - MS'!$B$4*'PT B - MS'!$C$4)+(E15/'PT B - MS'!$B$5*'PT B - MS'!$C$5)+(F15/'PT B - MS'!$B$7*'PT B - MS'!$C$7)+(G15/'PT B - MS'!$B$6*'PT B - MS'!$C$6)+(H15/'PT B - MS'!$B$8*'PT B - MS'!$C$8)</f>
        <v>89.3</v>
      </c>
      <c r="J15">
        <f t="shared" ca="1" si="0"/>
        <v>89</v>
      </c>
      <c r="K15" t="str" cm="1">
        <f t="array" aca="1" ref="K15" ca="1">_xlfn.IFS(J15&gt;=79, "A",J15&gt;=69, "B",J15&gt;=59, "C",J15&gt;=49, "D", J15&lt;=48, "F")</f>
        <v>A</v>
      </c>
    </row>
    <row r="16" spans="1:13" x14ac:dyDescent="0.25">
      <c r="A16" s="9">
        <v>6378950</v>
      </c>
      <c r="B16" s="9" t="s">
        <v>39</v>
      </c>
      <c r="C16" s="9" t="s">
        <v>64</v>
      </c>
      <c r="D16" s="9">
        <v>23</v>
      </c>
      <c r="E16" s="9">
        <v>20</v>
      </c>
      <c r="F16" s="9">
        <f ca="1">'PT B - Class List'!J8</f>
        <v>75</v>
      </c>
      <c r="G16" s="9">
        <v>65</v>
      </c>
      <c r="H16" s="9">
        <v>75</v>
      </c>
      <c r="I16">
        <f ca="1">(D16/'PT B - MS'!$B$4*'PT B - MS'!$C$4)+(E16/'PT B - MS'!$B$5*'PT B - MS'!$C$5)+(F16/'PT B - MS'!$B$7*'PT B - MS'!$C$7)+(G16/'PT B - MS'!$B$6*'PT B - MS'!$C$6)+(H16/'PT B - MS'!$B$8*'PT B - MS'!$C$8)</f>
        <v>83.875</v>
      </c>
      <c r="J16">
        <f t="shared" ca="1" si="0"/>
        <v>84</v>
      </c>
      <c r="K16" t="str" cm="1">
        <f t="array" aca="1" ref="K16" ca="1">_xlfn.IFS(J16&gt;=79, "A",J16&gt;=69, "B",J16&gt;=59, "C",J16&gt;=49, "D", J16&lt;=48, "F")</f>
        <v>A</v>
      </c>
    </row>
    <row r="17" spans="1:11" x14ac:dyDescent="0.25">
      <c r="A17" s="9">
        <v>7066701</v>
      </c>
      <c r="B17" s="9" t="s">
        <v>39</v>
      </c>
      <c r="C17" s="9" t="s">
        <v>71</v>
      </c>
      <c r="D17" s="9">
        <v>16</v>
      </c>
      <c r="E17" s="9">
        <v>10</v>
      </c>
      <c r="F17" s="9">
        <f ca="1">'PT B - Class List'!J18</f>
        <v>65</v>
      </c>
      <c r="G17" s="9">
        <v>97</v>
      </c>
      <c r="H17" s="9">
        <v>79</v>
      </c>
      <c r="I17">
        <f ca="1">(D17/'PT B - MS'!$B$4*'PT B - MS'!$C$4)+(E17/'PT B - MS'!$B$5*'PT B - MS'!$C$5)+(F17/'PT B - MS'!$B$7*'PT B - MS'!$C$7)+(G17/'PT B - MS'!$B$6*'PT B - MS'!$C$6)+(H17/'PT B - MS'!$B$8*'PT B - MS'!$C$8)</f>
        <v>68.408333333333331</v>
      </c>
      <c r="J17">
        <f t="shared" ca="1" si="0"/>
        <v>68</v>
      </c>
      <c r="K17" t="str" cm="1">
        <f t="array" aca="1" ref="K17" ca="1">_xlfn.IFS(J17&gt;=79, "A",J17&gt;=69, "B",J17&gt;=59, "C",J17&gt;=49, "D", J17&lt;=48, "F")</f>
        <v>C</v>
      </c>
    </row>
    <row r="18" spans="1:11" x14ac:dyDescent="0.25">
      <c r="A18" s="9">
        <v>6122701</v>
      </c>
      <c r="B18" s="9" t="s">
        <v>34</v>
      </c>
      <c r="C18" s="9" t="s">
        <v>52</v>
      </c>
      <c r="D18" s="9">
        <v>17</v>
      </c>
      <c r="E18" s="9">
        <v>20</v>
      </c>
      <c r="F18" s="9">
        <f ca="1">'PT B - Class List'!J2</f>
        <v>50</v>
      </c>
      <c r="G18" s="9">
        <v>92</v>
      </c>
      <c r="H18" s="9">
        <v>98</v>
      </c>
      <c r="I18">
        <f ca="1">(D18/'PT B - MS'!$B$4*'PT B - MS'!$C$4)+(E18/'PT B - MS'!$B$5*'PT B - MS'!$C$5)+(F18/'PT B - MS'!$B$7*'PT B - MS'!$C$7)+(G18/'PT B - MS'!$B$6*'PT B - MS'!$C$6)+(H18/'PT B - MS'!$B$8*'PT B - MS'!$C$8)</f>
        <v>79.116666666666674</v>
      </c>
      <c r="J18">
        <f t="shared" ca="1" si="0"/>
        <v>79</v>
      </c>
      <c r="K18" t="str" cm="1">
        <f t="array" aca="1" ref="K18" ca="1">_xlfn.IFS(J18&gt;=79, "A",J18&gt;=69, "B",J18&gt;=59, "C",J18&gt;=49, "D", J18&lt;=48, "F")</f>
        <v>A</v>
      </c>
    </row>
    <row r="19" spans="1:11" x14ac:dyDescent="0.25">
      <c r="A19" s="9">
        <v>7241164</v>
      </c>
      <c r="B19" s="9" t="s">
        <v>51</v>
      </c>
      <c r="C19" s="9" t="s">
        <v>68</v>
      </c>
      <c r="D19" s="9">
        <v>16</v>
      </c>
      <c r="E19" s="9">
        <v>5</v>
      </c>
      <c r="F19" s="9">
        <f ca="1">'PT B - Class List'!J21</f>
        <v>61</v>
      </c>
      <c r="G19" s="9">
        <v>0</v>
      </c>
      <c r="H19" s="9">
        <v>54</v>
      </c>
      <c r="I19">
        <f ca="1">(D19/'PT B - MS'!$B$4*'PT B - MS'!$C$4)+(E19/'PT B - MS'!$B$5*'PT B - MS'!$C$5)+(F19/'PT B - MS'!$B$7*'PT B - MS'!$C$7)+(G19/'PT B - MS'!$B$6*'PT B - MS'!$C$6)+(H19/'PT B - MS'!$B$8*'PT B - MS'!$C$8)</f>
        <v>47.5</v>
      </c>
      <c r="J19">
        <f t="shared" ca="1" si="0"/>
        <v>48</v>
      </c>
      <c r="K19" t="str" cm="1">
        <f t="array" aca="1" ref="K19" ca="1">_xlfn.IFS(J19&gt;=79, "A",J19&gt;=69, "B",J19&gt;=59, "C",J19&gt;=49, "D", J19&lt;=48, "F")</f>
        <v>F</v>
      </c>
    </row>
    <row r="20" spans="1:11" x14ac:dyDescent="0.25">
      <c r="A20" s="9">
        <v>6617565</v>
      </c>
      <c r="B20" s="9" t="s">
        <v>42</v>
      </c>
      <c r="C20" s="9" t="s">
        <v>60</v>
      </c>
      <c r="D20" s="9">
        <v>20</v>
      </c>
      <c r="E20" s="9">
        <v>20</v>
      </c>
      <c r="F20" s="9">
        <f ca="1">'PT B - Class List'!J11</f>
        <v>74</v>
      </c>
      <c r="G20" s="9">
        <v>94</v>
      </c>
      <c r="H20" s="9">
        <v>102</v>
      </c>
      <c r="I20">
        <f ca="1">(D20/'PT B - MS'!$B$4*'PT B - MS'!$C$4)+(E20/'PT B - MS'!$B$5*'PT B - MS'!$C$5)+(F20/'PT B - MS'!$B$7*'PT B - MS'!$C$7)+(G20/'PT B - MS'!$B$6*'PT B - MS'!$C$6)+(H20/'PT B - MS'!$B$8*'PT B - MS'!$C$8)</f>
        <v>89.15</v>
      </c>
      <c r="J20">
        <f t="shared" ca="1" si="0"/>
        <v>89</v>
      </c>
      <c r="K20" t="str" cm="1">
        <f t="array" aca="1" ref="K20" ca="1">_xlfn.IFS(J20&gt;=79, "A",J20&gt;=69, "B",J20&gt;=59, "C",J20&gt;=49, "D", J20&lt;=48, "F")</f>
        <v>A</v>
      </c>
    </row>
    <row r="21" spans="1:11" x14ac:dyDescent="0.25">
      <c r="A21" s="9">
        <v>6701485</v>
      </c>
      <c r="B21" s="9" t="s">
        <v>44</v>
      </c>
      <c r="C21" s="9" t="s">
        <v>62</v>
      </c>
      <c r="D21" s="9">
        <v>6</v>
      </c>
      <c r="E21" s="9">
        <v>5</v>
      </c>
      <c r="F21" s="9">
        <f ca="1">'PT B - Class List'!J13</f>
        <v>78</v>
      </c>
      <c r="G21" s="9">
        <v>43</v>
      </c>
      <c r="H21" s="9">
        <v>45</v>
      </c>
      <c r="I21">
        <f ca="1">(D21/'PT B - MS'!$B$4*'PT B - MS'!$C$4)+(E21/'PT B - MS'!$B$5*'PT B - MS'!$C$5)+(F21/'PT B - MS'!$B$7*'PT B - MS'!$C$7)+(G21/'PT B - MS'!$B$6*'PT B - MS'!$C$6)+(H21/'PT B - MS'!$B$8*'PT B - MS'!$C$8)</f>
        <v>44.174999999999997</v>
      </c>
      <c r="J21">
        <f t="shared" ca="1" si="0"/>
        <v>44</v>
      </c>
      <c r="K21" t="str" cm="1">
        <f t="array" aca="1" ref="K21" ca="1">_xlfn.IFS(J21&gt;=79, "A",J21&gt;=69, "B",J21&gt;=59, "C",J21&gt;=49, "D", J21&lt;=48, "F")</f>
        <v>F</v>
      </c>
    </row>
    <row r="22" spans="1:11" x14ac:dyDescent="0.25">
      <c r="A22" s="9">
        <v>6328475</v>
      </c>
      <c r="B22" s="9" t="s">
        <v>38</v>
      </c>
      <c r="C22" s="9" t="s">
        <v>54</v>
      </c>
      <c r="D22" s="9">
        <v>17</v>
      </c>
      <c r="E22" s="9">
        <v>20</v>
      </c>
      <c r="F22" s="9">
        <f ca="1">'PT B - Class List'!J7</f>
        <v>64</v>
      </c>
      <c r="G22" s="9">
        <v>78</v>
      </c>
      <c r="H22" s="9">
        <v>71</v>
      </c>
      <c r="I22">
        <f ca="1">(D22/'PT B - MS'!$B$4*'PT B - MS'!$C$4)+(E22/'PT B - MS'!$B$5*'PT B - MS'!$C$5)+(F22/'PT B - MS'!$B$7*'PT B - MS'!$C$7)+(G22/'PT B - MS'!$B$6*'PT B - MS'!$C$6)+(H22/'PT B - MS'!$B$8*'PT B - MS'!$C$8)</f>
        <v>75.591666666666669</v>
      </c>
      <c r="J22">
        <f t="shared" ca="1" si="0"/>
        <v>76</v>
      </c>
      <c r="K22" t="str" cm="1">
        <f t="array" aca="1" ref="K22" ca="1">_xlfn.IFS(J22&gt;=79, "A",J22&gt;=69, "B",J22&gt;=59, "C",J22&gt;=49, "D", J22&lt;=48, "F")</f>
        <v>B</v>
      </c>
    </row>
    <row r="23" spans="1:11" x14ac:dyDescent="0.25">
      <c r="A23" s="9">
        <v>7159567</v>
      </c>
      <c r="B23" s="9" t="s">
        <v>50</v>
      </c>
      <c r="C23" s="9" t="s">
        <v>59</v>
      </c>
      <c r="D23" s="9">
        <v>22</v>
      </c>
      <c r="E23" s="9">
        <v>20</v>
      </c>
      <c r="F23" s="9">
        <f ca="1">'PT B - Class List'!J20</f>
        <v>63</v>
      </c>
      <c r="G23" s="9">
        <v>81</v>
      </c>
      <c r="H23" s="9">
        <v>110</v>
      </c>
      <c r="I23">
        <f ca="1">(D23/'PT B - MS'!$B$4*'PT B - MS'!$C$4)+(E23/'PT B - MS'!$B$5*'PT B - MS'!$C$5)+(F23/'PT B - MS'!$B$7*'PT B - MS'!$C$7)+(G23/'PT B - MS'!$B$6*'PT B - MS'!$C$6)+(H23/'PT B - MS'!$B$8*'PT B - MS'!$C$8)</f>
        <v>88.766666666666652</v>
      </c>
      <c r="J23">
        <f t="shared" ca="1" si="0"/>
        <v>89</v>
      </c>
      <c r="K23" t="str" cm="1">
        <f t="array" aca="1" ref="K23" ca="1">_xlfn.IFS(J23&gt;=79, "A",J23&gt;=69, "B",J23&gt;=59, "C",J23&gt;=49, "D", J23&lt;=48, "F")</f>
        <v>A</v>
      </c>
    </row>
    <row r="24" spans="1:11" x14ac:dyDescent="0.25">
      <c r="A24" s="9">
        <v>6638270</v>
      </c>
      <c r="B24" s="9" t="s">
        <v>43</v>
      </c>
      <c r="C24" s="9" t="s">
        <v>56</v>
      </c>
      <c r="D24" s="9">
        <v>17</v>
      </c>
      <c r="E24" s="9">
        <v>20</v>
      </c>
      <c r="F24" s="9">
        <f ca="1">'PT B - Class List'!J12</f>
        <v>64</v>
      </c>
      <c r="G24" s="9">
        <v>73</v>
      </c>
      <c r="H24" s="9">
        <v>67</v>
      </c>
      <c r="I24">
        <f ca="1">(D24/'PT B - MS'!$B$4*'PT B - MS'!$C$4)+(E24/'PT B - MS'!$B$5*'PT B - MS'!$C$5)+(F24/'PT B - MS'!$B$7*'PT B - MS'!$C$7)+(G24/'PT B - MS'!$B$6*'PT B - MS'!$C$6)+(H24/'PT B - MS'!$B$8*'PT B - MS'!$C$8)</f>
        <v>74.258333333333326</v>
      </c>
      <c r="J24">
        <f t="shared" ca="1" si="0"/>
        <v>74</v>
      </c>
      <c r="K24" t="str" cm="1">
        <f t="array" aca="1" ref="K24" ca="1">_xlfn.IFS(J24&gt;=79, "A",J24&gt;=69, "B",J24&gt;=59, "C",J24&gt;=49, "D", J24&lt;=48, "F")</f>
        <v>B</v>
      </c>
    </row>
    <row r="25" spans="1:11" x14ac:dyDescent="0.25">
      <c r="A25" s="34" t="s">
        <v>16</v>
      </c>
      <c r="B25" s="35"/>
      <c r="C25" s="36"/>
      <c r="D25" s="37">
        <f>AVERAGE(D5:D24)</f>
        <v>19.45</v>
      </c>
      <c r="E25" s="37">
        <f t="shared" ref="E25:J25" si="1">AVERAGE(E5:E24)</f>
        <v>16</v>
      </c>
      <c r="F25" s="37">
        <f t="shared" ca="1" si="1"/>
        <v>63.8</v>
      </c>
      <c r="G25" s="37">
        <f t="shared" si="1"/>
        <v>74.45</v>
      </c>
      <c r="H25" s="37">
        <f t="shared" si="1"/>
        <v>81.75</v>
      </c>
      <c r="I25" s="37">
        <f t="shared" ca="1" si="1"/>
        <v>75.876249999999999</v>
      </c>
      <c r="J25" s="37">
        <f t="shared" ca="1" si="1"/>
        <v>75.900000000000006</v>
      </c>
      <c r="K25" s="37" t="str" cm="1">
        <f t="array" aca="1" ref="K25" ca="1">_xlfn.IFS(J25&gt;=79, "A",J25&gt;=69, "B",J25&gt;=59, "C",J25&gt;=49, "D", J25&lt;=48, "F")</f>
        <v>B</v>
      </c>
    </row>
    <row r="27" spans="1:11" x14ac:dyDescent="0.25">
      <c r="A27" s="19" t="s">
        <v>17</v>
      </c>
      <c r="B27" s="20" t="s">
        <v>18</v>
      </c>
      <c r="D27" s="59" t="s">
        <v>181</v>
      </c>
      <c r="E27" s="59" t="s">
        <v>18</v>
      </c>
    </row>
    <row r="28" spans="1:11" x14ac:dyDescent="0.25">
      <c r="A28" s="5" t="s">
        <v>19</v>
      </c>
      <c r="B28" s="21">
        <f ca="1">MIN(J5:J24)</f>
        <v>44</v>
      </c>
      <c r="D28" s="58" t="s">
        <v>20</v>
      </c>
      <c r="E28" s="58">
        <f ca="1">COUNTIF(K5:K24, "A")</f>
        <v>11</v>
      </c>
    </row>
    <row r="29" spans="1:11" x14ac:dyDescent="0.25">
      <c r="A29" s="5" t="s">
        <v>21</v>
      </c>
      <c r="B29" s="21">
        <f ca="1">MAX(J5:J24)</f>
        <v>91</v>
      </c>
      <c r="D29" s="58" t="s">
        <v>178</v>
      </c>
      <c r="E29" s="58">
        <f ca="1">COUNTIF(K5:K24, "B")</f>
        <v>4</v>
      </c>
    </row>
    <row r="30" spans="1:11" x14ac:dyDescent="0.25">
      <c r="A30" s="5" t="s">
        <v>22</v>
      </c>
      <c r="B30" s="21">
        <f ca="1">MEDIAN(J5:J24)</f>
        <v>80</v>
      </c>
      <c r="D30" s="58" t="s">
        <v>182</v>
      </c>
      <c r="E30" s="58">
        <f ca="1">COUNTIF(K5:K24, "C")</f>
        <v>2</v>
      </c>
    </row>
    <row r="31" spans="1:11" x14ac:dyDescent="0.25">
      <c r="A31" s="5" t="s">
        <v>23</v>
      </c>
      <c r="B31" s="21">
        <f ca="1">AVERAGE(J5:J24)</f>
        <v>75.900000000000006</v>
      </c>
      <c r="D31" s="58" t="s">
        <v>183</v>
      </c>
      <c r="E31" s="58">
        <f ca="1">COUNTIF(K5:K24, "D")</f>
        <v>1</v>
      </c>
    </row>
    <row r="32" spans="1:11" x14ac:dyDescent="0.25">
      <c r="D32" s="58" t="s">
        <v>184</v>
      </c>
      <c r="E32" s="58">
        <f ca="1">COUNTIF(K5:K24, "F")</f>
        <v>2</v>
      </c>
    </row>
  </sheetData>
  <sortState xmlns:xlrd2="http://schemas.microsoft.com/office/spreadsheetml/2017/richdata2" ref="A5:H24">
    <sortCondition ref="B5:B24"/>
    <sortCondition ref="C5:C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C65-A75F-D648-A7D8-9DD9793D990F}">
  <dimension ref="A1:L31"/>
  <sheetViews>
    <sheetView topLeftCell="C1" zoomScale="125" zoomScaleNormal="125" workbookViewId="0">
      <selection activeCell="L20" sqref="L20"/>
    </sheetView>
  </sheetViews>
  <sheetFormatPr defaultColWidth="11" defaultRowHeight="15.75" x14ac:dyDescent="0.25"/>
  <cols>
    <col min="1" max="1" width="13.375" customWidth="1"/>
    <col min="2" max="2" width="13" bestFit="1" customWidth="1"/>
    <col min="3" max="3" width="13.375" bestFit="1" customWidth="1"/>
    <col min="4" max="4" width="13" customWidth="1"/>
  </cols>
  <sheetData>
    <row r="1" spans="1:12" x14ac:dyDescent="0.25">
      <c r="A1" s="15" t="s">
        <v>8</v>
      </c>
      <c r="B1" s="9" t="s">
        <v>9</v>
      </c>
      <c r="C1" s="9" t="s">
        <v>10</v>
      </c>
      <c r="D1" s="9" t="s">
        <v>30</v>
      </c>
      <c r="E1" s="9" t="s">
        <v>24</v>
      </c>
      <c r="F1" s="9" t="s">
        <v>31</v>
      </c>
      <c r="G1" s="9" t="s">
        <v>3</v>
      </c>
      <c r="H1" s="9" t="s">
        <v>32</v>
      </c>
      <c r="J1" s="15" t="s">
        <v>11</v>
      </c>
    </row>
    <row r="2" spans="1:12" x14ac:dyDescent="0.25">
      <c r="A2" s="9">
        <v>6122701</v>
      </c>
      <c r="B2" s="9" t="s">
        <v>34</v>
      </c>
      <c r="C2" s="9" t="s">
        <v>52</v>
      </c>
      <c r="D2" s="9">
        <v>17</v>
      </c>
      <c r="E2" s="9">
        <v>20</v>
      </c>
      <c r="F2" s="9">
        <f ca="1">J2</f>
        <v>50</v>
      </c>
      <c r="G2" s="9">
        <v>92</v>
      </c>
      <c r="H2" s="9">
        <v>98</v>
      </c>
      <c r="J2">
        <f ca="1">RANDBETWEEN(45,80)</f>
        <v>50</v>
      </c>
      <c r="L2" s="9"/>
    </row>
    <row r="3" spans="1:12" x14ac:dyDescent="0.25">
      <c r="A3" s="9">
        <v>6177917</v>
      </c>
      <c r="B3" s="9" t="s">
        <v>35</v>
      </c>
      <c r="C3" s="9" t="s">
        <v>63</v>
      </c>
      <c r="D3" s="9">
        <v>25</v>
      </c>
      <c r="E3" s="9">
        <v>15</v>
      </c>
      <c r="F3" s="9">
        <f t="shared" ref="F3:F21" ca="1" si="0">J3</f>
        <v>56</v>
      </c>
      <c r="G3" s="9">
        <v>88</v>
      </c>
      <c r="H3" s="9">
        <v>96</v>
      </c>
      <c r="J3">
        <f t="shared" ref="J3:J21" ca="1" si="1">RANDBETWEEN(45,80)</f>
        <v>56</v>
      </c>
      <c r="L3" s="9"/>
    </row>
    <row r="4" spans="1:12" x14ac:dyDescent="0.25">
      <c r="A4" s="9">
        <v>6252217</v>
      </c>
      <c r="B4" s="9" t="s">
        <v>36</v>
      </c>
      <c r="C4" s="9" t="s">
        <v>66</v>
      </c>
      <c r="D4" s="9">
        <v>24</v>
      </c>
      <c r="E4" s="9">
        <v>20</v>
      </c>
      <c r="F4" s="9">
        <f t="shared" ca="1" si="0"/>
        <v>76</v>
      </c>
      <c r="G4" s="9">
        <v>71</v>
      </c>
      <c r="H4" s="9">
        <v>69</v>
      </c>
      <c r="J4">
        <f t="shared" ca="1" si="1"/>
        <v>76</v>
      </c>
      <c r="L4" s="9"/>
    </row>
    <row r="5" spans="1:12" x14ac:dyDescent="0.25">
      <c r="A5" s="9">
        <v>6300984</v>
      </c>
      <c r="B5" s="9" t="s">
        <v>37</v>
      </c>
      <c r="C5" s="9" t="s">
        <v>53</v>
      </c>
      <c r="D5" s="9">
        <v>25</v>
      </c>
      <c r="E5" s="9">
        <v>15</v>
      </c>
      <c r="F5" s="9">
        <f t="shared" ca="1" si="0"/>
        <v>56</v>
      </c>
      <c r="G5" s="9">
        <v>85</v>
      </c>
      <c r="H5" s="9">
        <v>87</v>
      </c>
      <c r="J5">
        <f t="shared" ca="1" si="1"/>
        <v>56</v>
      </c>
      <c r="L5" s="9"/>
    </row>
    <row r="6" spans="1:12" x14ac:dyDescent="0.25">
      <c r="A6" s="9">
        <v>6310099</v>
      </c>
      <c r="B6" s="9" t="s">
        <v>25</v>
      </c>
      <c r="C6" s="9" t="s">
        <v>69</v>
      </c>
      <c r="D6" s="9">
        <v>21</v>
      </c>
      <c r="E6" s="9">
        <v>15</v>
      </c>
      <c r="F6" s="9">
        <f t="shared" ca="1" si="0"/>
        <v>67</v>
      </c>
      <c r="G6" s="9">
        <v>71</v>
      </c>
      <c r="H6" s="9">
        <v>71</v>
      </c>
      <c r="J6">
        <f t="shared" ca="1" si="1"/>
        <v>67</v>
      </c>
      <c r="L6" s="9"/>
    </row>
    <row r="7" spans="1:12" x14ac:dyDescent="0.25">
      <c r="A7" s="9">
        <v>6328475</v>
      </c>
      <c r="B7" s="9" t="s">
        <v>38</v>
      </c>
      <c r="C7" s="9" t="s">
        <v>54</v>
      </c>
      <c r="D7" s="9">
        <v>17</v>
      </c>
      <c r="E7" s="9">
        <v>20</v>
      </c>
      <c r="F7" s="9">
        <f t="shared" ca="1" si="0"/>
        <v>64</v>
      </c>
      <c r="G7" s="9">
        <v>78</v>
      </c>
      <c r="H7" s="9">
        <v>71</v>
      </c>
      <c r="J7">
        <f t="shared" ca="1" si="1"/>
        <v>64</v>
      </c>
      <c r="L7" s="9"/>
    </row>
    <row r="8" spans="1:12" x14ac:dyDescent="0.25">
      <c r="A8" s="9">
        <v>6378950</v>
      </c>
      <c r="B8" s="9" t="s">
        <v>39</v>
      </c>
      <c r="C8" s="9" t="s">
        <v>64</v>
      </c>
      <c r="D8" s="9">
        <v>23</v>
      </c>
      <c r="E8" s="9">
        <v>20</v>
      </c>
      <c r="F8" s="9">
        <f t="shared" ca="1" si="0"/>
        <v>75</v>
      </c>
      <c r="G8" s="9">
        <v>65</v>
      </c>
      <c r="H8" s="9">
        <v>75</v>
      </c>
      <c r="J8">
        <f t="shared" ca="1" si="1"/>
        <v>75</v>
      </c>
      <c r="L8" s="9"/>
    </row>
    <row r="9" spans="1:12" x14ac:dyDescent="0.25">
      <c r="A9" s="9">
        <v>6391710</v>
      </c>
      <c r="B9" s="9" t="s">
        <v>40</v>
      </c>
      <c r="C9" s="9" t="s">
        <v>55</v>
      </c>
      <c r="D9" s="9">
        <v>24</v>
      </c>
      <c r="E9" s="9">
        <v>20</v>
      </c>
      <c r="F9" s="9">
        <f t="shared" ca="1" si="0"/>
        <v>46</v>
      </c>
      <c r="G9" s="9">
        <v>97</v>
      </c>
      <c r="H9" s="9">
        <v>97</v>
      </c>
      <c r="J9">
        <f t="shared" ca="1" si="1"/>
        <v>46</v>
      </c>
      <c r="L9" s="9"/>
    </row>
    <row r="10" spans="1:12" x14ac:dyDescent="0.25">
      <c r="A10" s="9">
        <v>6555932</v>
      </c>
      <c r="B10" s="9" t="s">
        <v>41</v>
      </c>
      <c r="C10" s="9" t="s">
        <v>70</v>
      </c>
      <c r="D10" s="9">
        <v>18</v>
      </c>
      <c r="E10" s="9">
        <v>10</v>
      </c>
      <c r="F10" s="9">
        <f t="shared" ca="1" si="0"/>
        <v>49</v>
      </c>
      <c r="G10" s="9">
        <v>50</v>
      </c>
      <c r="H10" s="9">
        <v>60</v>
      </c>
      <c r="J10">
        <f t="shared" ca="1" si="1"/>
        <v>49</v>
      </c>
      <c r="L10" s="9"/>
    </row>
    <row r="11" spans="1:12" x14ac:dyDescent="0.25">
      <c r="A11" s="9">
        <v>6617565</v>
      </c>
      <c r="B11" s="9" t="s">
        <v>42</v>
      </c>
      <c r="C11" s="9" t="s">
        <v>60</v>
      </c>
      <c r="D11" s="9">
        <v>20</v>
      </c>
      <c r="E11" s="9">
        <v>20</v>
      </c>
      <c r="F11" s="9">
        <f t="shared" ca="1" si="0"/>
        <v>74</v>
      </c>
      <c r="G11" s="9">
        <v>94</v>
      </c>
      <c r="H11" s="9">
        <v>102</v>
      </c>
      <c r="J11">
        <f t="shared" ca="1" si="1"/>
        <v>74</v>
      </c>
      <c r="L11" s="9"/>
    </row>
    <row r="12" spans="1:12" x14ac:dyDescent="0.25">
      <c r="A12" s="9">
        <v>6638270</v>
      </c>
      <c r="B12" s="9" t="s">
        <v>43</v>
      </c>
      <c r="C12" s="9" t="s">
        <v>56</v>
      </c>
      <c r="D12" s="9">
        <v>17</v>
      </c>
      <c r="E12" s="9">
        <v>20</v>
      </c>
      <c r="F12" s="9">
        <f t="shared" ca="1" si="0"/>
        <v>64</v>
      </c>
      <c r="G12" s="9">
        <v>73</v>
      </c>
      <c r="H12" s="9">
        <v>67</v>
      </c>
      <c r="J12">
        <f t="shared" ca="1" si="1"/>
        <v>64</v>
      </c>
      <c r="L12" s="9"/>
    </row>
    <row r="13" spans="1:12" x14ac:dyDescent="0.25">
      <c r="A13" s="9">
        <v>6701485</v>
      </c>
      <c r="B13" s="9" t="s">
        <v>44</v>
      </c>
      <c r="C13" s="9" t="s">
        <v>62</v>
      </c>
      <c r="D13" s="9">
        <v>6</v>
      </c>
      <c r="E13" s="9">
        <v>5</v>
      </c>
      <c r="F13" s="9">
        <f t="shared" ca="1" si="0"/>
        <v>78</v>
      </c>
      <c r="G13" s="9">
        <v>43</v>
      </c>
      <c r="H13" s="9">
        <v>45</v>
      </c>
      <c r="J13">
        <f t="shared" ca="1" si="1"/>
        <v>78</v>
      </c>
      <c r="L13" s="9"/>
    </row>
    <row r="14" spans="1:12" x14ac:dyDescent="0.25">
      <c r="A14" s="9">
        <v>6776641</v>
      </c>
      <c r="B14" s="9" t="s">
        <v>45</v>
      </c>
      <c r="C14" s="9" t="s">
        <v>67</v>
      </c>
      <c r="D14" s="9">
        <v>25</v>
      </c>
      <c r="E14" s="9">
        <v>20</v>
      </c>
      <c r="F14" s="9">
        <f t="shared" ca="1" si="0"/>
        <v>51</v>
      </c>
      <c r="G14" s="9">
        <v>78</v>
      </c>
      <c r="H14" s="9">
        <v>114</v>
      </c>
      <c r="J14">
        <f t="shared" ca="1" si="1"/>
        <v>51</v>
      </c>
      <c r="L14" s="9"/>
    </row>
    <row r="15" spans="1:12" x14ac:dyDescent="0.25">
      <c r="A15" s="9">
        <v>6834487</v>
      </c>
      <c r="B15" s="9" t="s">
        <v>46</v>
      </c>
      <c r="C15" s="9" t="s">
        <v>57</v>
      </c>
      <c r="D15" s="9">
        <v>15</v>
      </c>
      <c r="E15" s="9">
        <v>10</v>
      </c>
      <c r="F15" s="9">
        <f t="shared" ca="1" si="0"/>
        <v>64</v>
      </c>
      <c r="G15" s="9">
        <v>82</v>
      </c>
      <c r="H15" s="9">
        <v>96</v>
      </c>
      <c r="J15">
        <f t="shared" ca="1" si="1"/>
        <v>64</v>
      </c>
      <c r="L15" s="9"/>
    </row>
    <row r="16" spans="1:12" x14ac:dyDescent="0.25">
      <c r="A16" s="9">
        <v>7024562</v>
      </c>
      <c r="B16" s="9" t="s">
        <v>47</v>
      </c>
      <c r="C16" s="9" t="s">
        <v>65</v>
      </c>
      <c r="D16" s="9">
        <v>25</v>
      </c>
      <c r="E16" s="9">
        <v>20</v>
      </c>
      <c r="F16" s="9">
        <f t="shared" ca="1" si="0"/>
        <v>73</v>
      </c>
      <c r="G16" s="9">
        <v>98</v>
      </c>
      <c r="H16" s="9">
        <v>86</v>
      </c>
      <c r="J16">
        <f t="shared" ca="1" si="1"/>
        <v>73</v>
      </c>
      <c r="L16" s="9"/>
    </row>
    <row r="17" spans="1:12" x14ac:dyDescent="0.25">
      <c r="A17" s="9">
        <v>7058034</v>
      </c>
      <c r="B17" s="9" t="s">
        <v>48</v>
      </c>
      <c r="C17" s="9" t="s">
        <v>58</v>
      </c>
      <c r="D17" s="9">
        <v>22</v>
      </c>
      <c r="E17" s="9">
        <v>20</v>
      </c>
      <c r="F17" s="9">
        <f t="shared" ca="1" si="0"/>
        <v>76</v>
      </c>
      <c r="G17" s="9">
        <v>84</v>
      </c>
      <c r="H17" s="9">
        <v>98</v>
      </c>
      <c r="J17">
        <f t="shared" ca="1" si="1"/>
        <v>76</v>
      </c>
      <c r="L17" s="9"/>
    </row>
    <row r="18" spans="1:12" x14ac:dyDescent="0.25">
      <c r="A18" s="9">
        <v>7066701</v>
      </c>
      <c r="B18" s="9" t="s">
        <v>39</v>
      </c>
      <c r="C18" s="9" t="s">
        <v>71</v>
      </c>
      <c r="D18" s="9">
        <v>16</v>
      </c>
      <c r="E18" s="9">
        <v>10</v>
      </c>
      <c r="F18" s="9">
        <f t="shared" ca="1" si="0"/>
        <v>65</v>
      </c>
      <c r="G18" s="9">
        <v>97</v>
      </c>
      <c r="H18" s="9">
        <v>79</v>
      </c>
      <c r="J18">
        <f t="shared" ca="1" si="1"/>
        <v>65</v>
      </c>
      <c r="L18" s="9"/>
    </row>
    <row r="19" spans="1:12" x14ac:dyDescent="0.25">
      <c r="A19" s="9">
        <v>7102414</v>
      </c>
      <c r="B19" s="9" t="s">
        <v>49</v>
      </c>
      <c r="C19" s="9" t="s">
        <v>61</v>
      </c>
      <c r="D19" s="9">
        <v>11</v>
      </c>
      <c r="E19" s="9">
        <v>15</v>
      </c>
      <c r="F19" s="9">
        <f t="shared" ca="1" si="0"/>
        <v>68</v>
      </c>
      <c r="G19" s="9">
        <v>62</v>
      </c>
      <c r="H19" s="9">
        <v>60</v>
      </c>
      <c r="J19">
        <f t="shared" ca="1" si="1"/>
        <v>68</v>
      </c>
      <c r="L19" s="9"/>
    </row>
    <row r="20" spans="1:12" x14ac:dyDescent="0.25">
      <c r="A20" s="9">
        <v>7159567</v>
      </c>
      <c r="B20" s="9" t="s">
        <v>50</v>
      </c>
      <c r="C20" s="9" t="s">
        <v>59</v>
      </c>
      <c r="D20" s="9">
        <v>22</v>
      </c>
      <c r="E20" s="9">
        <v>20</v>
      </c>
      <c r="F20" s="9">
        <f t="shared" ca="1" si="0"/>
        <v>63</v>
      </c>
      <c r="G20" s="9">
        <v>81</v>
      </c>
      <c r="H20" s="9">
        <v>110</v>
      </c>
      <c r="J20">
        <f t="shared" ca="1" si="1"/>
        <v>63</v>
      </c>
      <c r="L20" s="9"/>
    </row>
    <row r="21" spans="1:12" x14ac:dyDescent="0.25">
      <c r="A21" s="9">
        <v>7241164</v>
      </c>
      <c r="B21" s="9" t="s">
        <v>51</v>
      </c>
      <c r="C21" s="9" t="s">
        <v>68</v>
      </c>
      <c r="D21" s="9">
        <v>16</v>
      </c>
      <c r="E21" s="9">
        <v>5</v>
      </c>
      <c r="F21" s="9">
        <f t="shared" ca="1" si="0"/>
        <v>61</v>
      </c>
      <c r="G21" s="9">
        <v>0</v>
      </c>
      <c r="H21" s="9">
        <v>54</v>
      </c>
      <c r="J21">
        <f t="shared" ca="1" si="1"/>
        <v>61</v>
      </c>
      <c r="L21" s="9"/>
    </row>
    <row r="23" spans="1:12" x14ac:dyDescent="0.25">
      <c r="A23" s="15"/>
    </row>
    <row r="24" spans="1:12" x14ac:dyDescent="0.25">
      <c r="A24" s="15"/>
      <c r="D24" s="15"/>
      <c r="E24" s="15"/>
      <c r="F24" s="15"/>
    </row>
    <row r="25" spans="1:12" x14ac:dyDescent="0.25">
      <c r="A25" s="15"/>
      <c r="D25" s="15"/>
      <c r="E25" s="15"/>
      <c r="F25" s="15"/>
    </row>
    <row r="26" spans="1:12" x14ac:dyDescent="0.25">
      <c r="A26" s="15"/>
    </row>
    <row r="27" spans="1:12" x14ac:dyDescent="0.25">
      <c r="A27" s="15"/>
    </row>
    <row r="28" spans="1:12" x14ac:dyDescent="0.25">
      <c r="A28" s="15"/>
    </row>
    <row r="29" spans="1:12" x14ac:dyDescent="0.25">
      <c r="A29" s="15"/>
    </row>
    <row r="30" spans="1:12" x14ac:dyDescent="0.25">
      <c r="A30" s="15"/>
    </row>
    <row r="31" spans="1:12" x14ac:dyDescent="0.25">
      <c r="A3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0B7F-EB74-D44D-A244-03FD2FF74770}">
  <dimension ref="A1:O51"/>
  <sheetViews>
    <sheetView topLeftCell="B1" workbookViewId="0">
      <pane ySplit="1" topLeftCell="A2" activePane="bottomLeft" state="frozen"/>
      <selection pane="bottomLeft" activeCell="C26" sqref="C26"/>
    </sheetView>
  </sheetViews>
  <sheetFormatPr defaultColWidth="11" defaultRowHeight="15.75" x14ac:dyDescent="0.25"/>
  <cols>
    <col min="1" max="1" width="19.875" customWidth="1"/>
    <col min="6" max="9" width="10.875" style="9"/>
    <col min="10" max="10" width="13.625" style="9" customWidth="1"/>
    <col min="11" max="11" width="10.875" style="9"/>
    <col min="12" max="12" width="5.5" customWidth="1"/>
    <col min="13" max="13" width="52.875" style="27" customWidth="1"/>
    <col min="14" max="14" width="4.375" customWidth="1"/>
    <col min="15" max="15" width="21.5" customWidth="1"/>
  </cols>
  <sheetData>
    <row r="1" spans="1:15" s="29" customFormat="1" ht="31.5" x14ac:dyDescent="0.25">
      <c r="A1" s="29" t="s">
        <v>171</v>
      </c>
      <c r="B1" s="29" t="s">
        <v>170</v>
      </c>
      <c r="C1" s="29" t="s">
        <v>169</v>
      </c>
      <c r="D1" s="29" t="s">
        <v>168</v>
      </c>
      <c r="E1" s="29" t="s">
        <v>167</v>
      </c>
      <c r="F1" s="30" t="s">
        <v>172</v>
      </c>
      <c r="G1" s="26" t="s">
        <v>166</v>
      </c>
      <c r="H1" s="26" t="s">
        <v>20</v>
      </c>
      <c r="I1" s="26" t="s">
        <v>165</v>
      </c>
      <c r="J1" s="26" t="s">
        <v>164</v>
      </c>
      <c r="K1" s="30" t="s">
        <v>163</v>
      </c>
      <c r="M1" s="28"/>
    </row>
    <row r="2" spans="1:15" x14ac:dyDescent="0.25">
      <c r="A2" t="s">
        <v>162</v>
      </c>
      <c r="B2" t="s">
        <v>158</v>
      </c>
      <c r="C2" t="s">
        <v>101</v>
      </c>
      <c r="D2" t="s">
        <v>81</v>
      </c>
      <c r="E2" t="s">
        <v>86</v>
      </c>
      <c r="F2" s="9">
        <v>45</v>
      </c>
      <c r="G2" s="9">
        <v>33</v>
      </c>
      <c r="H2" s="9">
        <v>32</v>
      </c>
      <c r="I2" s="9">
        <v>65</v>
      </c>
      <c r="J2" s="9">
        <v>4</v>
      </c>
      <c r="K2" s="9">
        <v>24</v>
      </c>
      <c r="M2" s="28" t="s">
        <v>161</v>
      </c>
    </row>
    <row r="3" spans="1:15" ht="16.5" thickBot="1" x14ac:dyDescent="0.3">
      <c r="A3" t="s">
        <v>160</v>
      </c>
      <c r="B3" t="s">
        <v>78</v>
      </c>
      <c r="C3" t="s">
        <v>74</v>
      </c>
      <c r="D3" t="s">
        <v>81</v>
      </c>
      <c r="E3" t="s">
        <v>72</v>
      </c>
      <c r="F3" s="9">
        <v>47</v>
      </c>
      <c r="G3" s="9">
        <v>17</v>
      </c>
      <c r="H3" s="9">
        <v>47</v>
      </c>
      <c r="I3" s="9">
        <v>64</v>
      </c>
      <c r="J3" s="9">
        <v>19</v>
      </c>
      <c r="K3" s="9">
        <v>28</v>
      </c>
    </row>
    <row r="4" spans="1:15" ht="19.5" thickBot="1" x14ac:dyDescent="0.3">
      <c r="A4" t="s">
        <v>159</v>
      </c>
      <c r="B4" t="s">
        <v>158</v>
      </c>
      <c r="C4" t="s">
        <v>101</v>
      </c>
      <c r="D4" t="s">
        <v>81</v>
      </c>
      <c r="E4" t="s">
        <v>86</v>
      </c>
      <c r="F4" s="9">
        <v>44</v>
      </c>
      <c r="G4" s="9">
        <v>23</v>
      </c>
      <c r="H4" s="9">
        <v>40</v>
      </c>
      <c r="I4" s="9">
        <v>63</v>
      </c>
      <c r="J4" s="9">
        <v>7</v>
      </c>
      <c r="K4" s="9">
        <v>29</v>
      </c>
      <c r="M4" s="27" t="s">
        <v>157</v>
      </c>
      <c r="O4" s="31">
        <f>SUM(G2:G51)</f>
        <v>948</v>
      </c>
    </row>
    <row r="5" spans="1:15" ht="19.5" thickBot="1" x14ac:dyDescent="0.3">
      <c r="A5" t="s">
        <v>156</v>
      </c>
      <c r="B5" t="s">
        <v>106</v>
      </c>
      <c r="C5" t="s">
        <v>74</v>
      </c>
      <c r="D5" t="s">
        <v>81</v>
      </c>
      <c r="E5" t="s">
        <v>86</v>
      </c>
      <c r="F5" s="9">
        <v>43</v>
      </c>
      <c r="G5" s="9">
        <v>20</v>
      </c>
      <c r="H5" s="9">
        <v>42</v>
      </c>
      <c r="I5" s="9">
        <v>62</v>
      </c>
      <c r="J5" s="9">
        <v>21</v>
      </c>
      <c r="K5" s="9">
        <v>50</v>
      </c>
      <c r="O5" s="32"/>
    </row>
    <row r="6" spans="1:15" ht="19.5" thickBot="1" x14ac:dyDescent="0.3">
      <c r="A6" t="s">
        <v>155</v>
      </c>
      <c r="B6" t="s">
        <v>129</v>
      </c>
      <c r="C6" t="s">
        <v>74</v>
      </c>
      <c r="D6" t="s">
        <v>73</v>
      </c>
      <c r="E6" t="s">
        <v>72</v>
      </c>
      <c r="F6" s="9">
        <v>48</v>
      </c>
      <c r="G6" s="9">
        <v>29</v>
      </c>
      <c r="H6" s="9">
        <v>31</v>
      </c>
      <c r="I6" s="9">
        <v>60</v>
      </c>
      <c r="J6" s="9">
        <v>13</v>
      </c>
      <c r="K6" s="9">
        <v>6</v>
      </c>
      <c r="M6" s="27" t="s">
        <v>154</v>
      </c>
      <c r="O6" s="31">
        <f>SUM(H2:H51)</f>
        <v>1455</v>
      </c>
    </row>
    <row r="7" spans="1:15" ht="19.5" thickBot="1" x14ac:dyDescent="0.3">
      <c r="A7" t="s">
        <v>153</v>
      </c>
      <c r="B7" t="s">
        <v>141</v>
      </c>
      <c r="C7" t="s">
        <v>101</v>
      </c>
      <c r="D7" t="s">
        <v>81</v>
      </c>
      <c r="E7" t="s">
        <v>72</v>
      </c>
      <c r="F7" s="9">
        <v>45</v>
      </c>
      <c r="G7" s="9">
        <v>19</v>
      </c>
      <c r="H7" s="9">
        <v>39</v>
      </c>
      <c r="I7" s="9">
        <v>58</v>
      </c>
      <c r="J7" s="9">
        <v>36</v>
      </c>
      <c r="K7" s="9">
        <v>10</v>
      </c>
      <c r="O7" s="32"/>
    </row>
    <row r="8" spans="1:15" ht="19.5" thickBot="1" x14ac:dyDescent="0.3">
      <c r="A8" t="s">
        <v>152</v>
      </c>
      <c r="B8" t="s">
        <v>102</v>
      </c>
      <c r="C8" t="s">
        <v>101</v>
      </c>
      <c r="D8" t="s">
        <v>81</v>
      </c>
      <c r="E8" t="s">
        <v>86</v>
      </c>
      <c r="F8" s="9">
        <v>42</v>
      </c>
      <c r="G8" s="9">
        <v>32</v>
      </c>
      <c r="H8" s="9">
        <v>23</v>
      </c>
      <c r="I8" s="9">
        <v>55</v>
      </c>
      <c r="J8" s="9">
        <v>7</v>
      </c>
      <c r="K8" s="9">
        <v>10</v>
      </c>
      <c r="M8" s="27" t="s">
        <v>151</v>
      </c>
      <c r="O8" s="31">
        <f>SUM(I2:I51)</f>
        <v>2403</v>
      </c>
    </row>
    <row r="9" spans="1:15" ht="19.5" thickBot="1" x14ac:dyDescent="0.3">
      <c r="A9" t="s">
        <v>150</v>
      </c>
      <c r="B9" t="s">
        <v>106</v>
      </c>
      <c r="C9" t="s">
        <v>74</v>
      </c>
      <c r="D9" t="s">
        <v>81</v>
      </c>
      <c r="E9" t="s">
        <v>80</v>
      </c>
      <c r="F9" s="9">
        <v>43</v>
      </c>
      <c r="G9" s="9">
        <v>24</v>
      </c>
      <c r="H9" s="9">
        <v>31</v>
      </c>
      <c r="I9" s="9">
        <v>55</v>
      </c>
      <c r="J9" s="9">
        <v>28</v>
      </c>
      <c r="K9" s="9">
        <v>36</v>
      </c>
      <c r="O9" s="32"/>
    </row>
    <row r="10" spans="1:15" ht="32.25" thickBot="1" x14ac:dyDescent="0.3">
      <c r="A10" t="s">
        <v>149</v>
      </c>
      <c r="B10" t="s">
        <v>89</v>
      </c>
      <c r="C10" t="s">
        <v>74</v>
      </c>
      <c r="D10" t="s">
        <v>73</v>
      </c>
      <c r="E10" t="s">
        <v>86</v>
      </c>
      <c r="F10" s="9">
        <v>47</v>
      </c>
      <c r="G10" s="9">
        <v>22</v>
      </c>
      <c r="H10" s="9">
        <v>32</v>
      </c>
      <c r="I10" s="9">
        <v>54</v>
      </c>
      <c r="J10" s="9">
        <v>13</v>
      </c>
      <c r="K10" s="9">
        <v>14</v>
      </c>
      <c r="M10" s="27" t="s">
        <v>173</v>
      </c>
      <c r="O10" s="31">
        <f>SUM(K2:K51)/SUM(F2:F51)</f>
        <v>0.4846118511713367</v>
      </c>
    </row>
    <row r="11" spans="1:15" ht="19.5" thickBot="1" x14ac:dyDescent="0.3">
      <c r="A11" t="s">
        <v>148</v>
      </c>
      <c r="B11" t="s">
        <v>99</v>
      </c>
      <c r="C11" t="s">
        <v>74</v>
      </c>
      <c r="D11" t="s">
        <v>81</v>
      </c>
      <c r="E11" t="s">
        <v>72</v>
      </c>
      <c r="F11" s="9">
        <v>42</v>
      </c>
      <c r="G11" s="9">
        <v>20</v>
      </c>
      <c r="H11" s="9">
        <v>34</v>
      </c>
      <c r="I11" s="9">
        <v>54</v>
      </c>
      <c r="J11" s="9">
        <v>19</v>
      </c>
      <c r="K11" s="9">
        <v>18</v>
      </c>
      <c r="O11" s="32"/>
    </row>
    <row r="12" spans="1:15" ht="19.5" thickBot="1" x14ac:dyDescent="0.3">
      <c r="A12" t="s">
        <v>147</v>
      </c>
      <c r="B12" t="s">
        <v>120</v>
      </c>
      <c r="C12" t="s">
        <v>74</v>
      </c>
      <c r="D12" t="s">
        <v>73</v>
      </c>
      <c r="E12" t="s">
        <v>72</v>
      </c>
      <c r="F12" s="9">
        <v>42</v>
      </c>
      <c r="G12" s="9">
        <v>13</v>
      </c>
      <c r="H12" s="9">
        <v>39</v>
      </c>
      <c r="I12" s="9">
        <v>52</v>
      </c>
      <c r="J12" s="9">
        <v>1</v>
      </c>
      <c r="K12" s="9">
        <v>14</v>
      </c>
      <c r="M12" s="27" t="s">
        <v>146</v>
      </c>
      <c r="O12" s="31">
        <f>COUNTIF(C2:C51, "Canada")</f>
        <v>9</v>
      </c>
    </row>
    <row r="13" spans="1:15" ht="19.5" thickBot="1" x14ac:dyDescent="0.3">
      <c r="A13" t="s">
        <v>145</v>
      </c>
      <c r="B13" t="s">
        <v>144</v>
      </c>
      <c r="C13" t="s">
        <v>101</v>
      </c>
      <c r="D13" t="s">
        <v>81</v>
      </c>
      <c r="E13" t="s">
        <v>72</v>
      </c>
      <c r="F13" s="9">
        <v>45</v>
      </c>
      <c r="G13" s="9">
        <v>26</v>
      </c>
      <c r="H13" s="9">
        <v>24</v>
      </c>
      <c r="I13" s="9">
        <v>50</v>
      </c>
      <c r="J13" s="9">
        <v>-3</v>
      </c>
      <c r="K13" s="9">
        <v>2</v>
      </c>
      <c r="O13" s="32"/>
    </row>
    <row r="14" spans="1:15" ht="32.25" thickBot="1" x14ac:dyDescent="0.3">
      <c r="A14" t="s">
        <v>143</v>
      </c>
      <c r="B14" t="s">
        <v>95</v>
      </c>
      <c r="C14" t="s">
        <v>74</v>
      </c>
      <c r="D14" t="s">
        <v>81</v>
      </c>
      <c r="E14" t="s">
        <v>72</v>
      </c>
      <c r="F14" s="9">
        <v>43</v>
      </c>
      <c r="G14" s="9">
        <v>24</v>
      </c>
      <c r="H14" s="9">
        <v>26</v>
      </c>
      <c r="I14" s="9">
        <v>50</v>
      </c>
      <c r="J14" s="9">
        <v>10</v>
      </c>
      <c r="K14" s="9">
        <v>26</v>
      </c>
      <c r="M14" s="27" t="s">
        <v>174</v>
      </c>
      <c r="O14" s="31">
        <f>COUNTIFS(C2:C51, "USA",E2:E51,"Centre")</f>
        <v>13</v>
      </c>
    </row>
    <row r="15" spans="1:15" ht="19.5" thickBot="1" x14ac:dyDescent="0.3">
      <c r="A15" t="s">
        <v>142</v>
      </c>
      <c r="B15" t="s">
        <v>141</v>
      </c>
      <c r="C15" t="s">
        <v>101</v>
      </c>
      <c r="D15" t="s">
        <v>81</v>
      </c>
      <c r="E15" t="s">
        <v>72</v>
      </c>
      <c r="F15" s="9">
        <v>45</v>
      </c>
      <c r="G15" s="9">
        <v>21</v>
      </c>
      <c r="H15" s="9">
        <v>29</v>
      </c>
      <c r="I15" s="9">
        <v>50</v>
      </c>
      <c r="J15" s="9">
        <v>30</v>
      </c>
      <c r="K15" s="9">
        <v>32</v>
      </c>
      <c r="O15" s="32"/>
    </row>
    <row r="16" spans="1:15" ht="32.25" thickBot="1" x14ac:dyDescent="0.3">
      <c r="A16" t="s">
        <v>140</v>
      </c>
      <c r="B16" t="s">
        <v>91</v>
      </c>
      <c r="C16" t="s">
        <v>74</v>
      </c>
      <c r="D16" t="s">
        <v>81</v>
      </c>
      <c r="E16" t="s">
        <v>86</v>
      </c>
      <c r="F16" s="9">
        <v>44</v>
      </c>
      <c r="G16" s="9">
        <v>24</v>
      </c>
      <c r="H16" s="9">
        <v>25</v>
      </c>
      <c r="I16" s="9">
        <v>49</v>
      </c>
      <c r="J16" s="9">
        <v>7</v>
      </c>
      <c r="K16" s="9">
        <v>33</v>
      </c>
      <c r="M16" s="27" t="s">
        <v>139</v>
      </c>
      <c r="O16" s="31">
        <f>COUNTIFS(G2:G51,"&gt;=15",K2:K51,"&gt;=20")</f>
        <v>16</v>
      </c>
    </row>
    <row r="17" spans="1:15" ht="19.5" thickBot="1" x14ac:dyDescent="0.3">
      <c r="A17" t="s">
        <v>138</v>
      </c>
      <c r="B17" t="s">
        <v>117</v>
      </c>
      <c r="C17" t="s">
        <v>74</v>
      </c>
      <c r="D17" t="s">
        <v>81</v>
      </c>
      <c r="E17" t="s">
        <v>72</v>
      </c>
      <c r="F17" s="9">
        <v>39</v>
      </c>
      <c r="G17" s="9">
        <v>21</v>
      </c>
      <c r="H17" s="9">
        <v>28</v>
      </c>
      <c r="I17" s="9">
        <v>49</v>
      </c>
      <c r="J17" s="9">
        <v>-1</v>
      </c>
      <c r="K17" s="9">
        <v>67</v>
      </c>
      <c r="O17" s="32"/>
    </row>
    <row r="18" spans="1:15" ht="32.25" thickBot="1" x14ac:dyDescent="0.3">
      <c r="A18" t="s">
        <v>137</v>
      </c>
      <c r="B18" t="s">
        <v>120</v>
      </c>
      <c r="C18" t="s">
        <v>74</v>
      </c>
      <c r="D18" t="s">
        <v>73</v>
      </c>
      <c r="E18" t="s">
        <v>86</v>
      </c>
      <c r="F18" s="9">
        <v>47</v>
      </c>
      <c r="G18" s="9">
        <v>18</v>
      </c>
      <c r="H18" s="9">
        <v>31</v>
      </c>
      <c r="I18" s="9">
        <v>49</v>
      </c>
      <c r="J18" s="9">
        <v>14</v>
      </c>
      <c r="K18" s="9">
        <v>10</v>
      </c>
      <c r="M18" s="27" t="s">
        <v>175</v>
      </c>
      <c r="O18" s="31">
        <f>SUMIFS(H2:H51,C2:C51,"USA",E2:E51,"Centre")</f>
        <v>386</v>
      </c>
    </row>
    <row r="19" spans="1:15" ht="19.5" thickBot="1" x14ac:dyDescent="0.3">
      <c r="A19" t="s">
        <v>136</v>
      </c>
      <c r="B19" t="s">
        <v>106</v>
      </c>
      <c r="C19" t="s">
        <v>74</v>
      </c>
      <c r="D19" t="s">
        <v>81</v>
      </c>
      <c r="E19" t="s">
        <v>72</v>
      </c>
      <c r="F19" s="9">
        <v>38</v>
      </c>
      <c r="G19" s="9">
        <v>22</v>
      </c>
      <c r="H19" s="9">
        <v>26</v>
      </c>
      <c r="I19" s="9">
        <v>48</v>
      </c>
      <c r="J19" s="9">
        <v>23</v>
      </c>
      <c r="K19" s="9">
        <v>53</v>
      </c>
      <c r="O19" s="32"/>
    </row>
    <row r="20" spans="1:15" ht="19.5" thickBot="1" x14ac:dyDescent="0.3">
      <c r="A20" t="s">
        <v>135</v>
      </c>
      <c r="B20" t="s">
        <v>113</v>
      </c>
      <c r="C20" t="s">
        <v>74</v>
      </c>
      <c r="D20" t="s">
        <v>81</v>
      </c>
      <c r="E20" t="s">
        <v>86</v>
      </c>
      <c r="F20" s="9">
        <v>43</v>
      </c>
      <c r="G20" s="9">
        <v>21</v>
      </c>
      <c r="H20" s="9">
        <v>27</v>
      </c>
      <c r="I20" s="9">
        <v>48</v>
      </c>
      <c r="J20" s="9">
        <v>13</v>
      </c>
      <c r="K20" s="9">
        <v>18</v>
      </c>
      <c r="M20" s="27" t="s">
        <v>134</v>
      </c>
      <c r="O20" s="31">
        <f>COUNTIFS(E2:E51,"Left Wing",G2:G51,"&gt;20")</f>
        <v>9</v>
      </c>
    </row>
    <row r="21" spans="1:15" ht="19.5" thickBot="1" x14ac:dyDescent="0.3">
      <c r="A21" t="s">
        <v>133</v>
      </c>
      <c r="B21" t="s">
        <v>115</v>
      </c>
      <c r="C21" t="s">
        <v>74</v>
      </c>
      <c r="D21" t="s">
        <v>73</v>
      </c>
      <c r="E21" t="s">
        <v>86</v>
      </c>
      <c r="F21" s="9">
        <v>46</v>
      </c>
      <c r="G21" s="9">
        <v>19</v>
      </c>
      <c r="H21" s="9">
        <v>29</v>
      </c>
      <c r="I21" s="9">
        <v>48</v>
      </c>
      <c r="J21" s="9">
        <v>13</v>
      </c>
      <c r="K21" s="9">
        <v>10</v>
      </c>
      <c r="O21" s="32"/>
    </row>
    <row r="22" spans="1:15" ht="32.25" thickBot="1" x14ac:dyDescent="0.3">
      <c r="A22" t="s">
        <v>132</v>
      </c>
      <c r="B22" t="s">
        <v>131</v>
      </c>
      <c r="C22" t="s">
        <v>101</v>
      </c>
      <c r="D22" t="s">
        <v>81</v>
      </c>
      <c r="E22" t="s">
        <v>86</v>
      </c>
      <c r="F22" s="9">
        <v>47</v>
      </c>
      <c r="G22" s="9">
        <v>17</v>
      </c>
      <c r="H22" s="9">
        <v>31</v>
      </c>
      <c r="I22" s="9">
        <v>48</v>
      </c>
      <c r="J22" s="9">
        <v>4</v>
      </c>
      <c r="K22" s="9">
        <v>31</v>
      </c>
      <c r="M22" s="27" t="s">
        <v>176</v>
      </c>
      <c r="O22" s="31" cm="1">
        <f t="array" ref="O22">SUM(SUMIFS(I2:I51,E2:E51,{"Centre","Left Wing","Right Wing"}))</f>
        <v>2131</v>
      </c>
    </row>
    <row r="23" spans="1:15" ht="18.75" x14ac:dyDescent="0.25">
      <c r="A23" t="s">
        <v>130</v>
      </c>
      <c r="B23" t="s">
        <v>129</v>
      </c>
      <c r="C23" t="s">
        <v>74</v>
      </c>
      <c r="D23" t="s">
        <v>81</v>
      </c>
      <c r="E23" t="s">
        <v>86</v>
      </c>
      <c r="F23" s="9">
        <v>47</v>
      </c>
      <c r="G23" s="9">
        <v>15</v>
      </c>
      <c r="H23" s="9">
        <v>33</v>
      </c>
      <c r="I23" s="9">
        <v>48</v>
      </c>
      <c r="J23" s="9">
        <v>12</v>
      </c>
      <c r="K23" s="9">
        <v>18</v>
      </c>
      <c r="O23" s="33"/>
    </row>
    <row r="24" spans="1:15" ht="16.5" thickBot="1" x14ac:dyDescent="0.3">
      <c r="A24" t="s">
        <v>128</v>
      </c>
      <c r="B24" t="s">
        <v>89</v>
      </c>
      <c r="C24" t="s">
        <v>74</v>
      </c>
      <c r="D24" t="s">
        <v>81</v>
      </c>
      <c r="E24" t="s">
        <v>77</v>
      </c>
      <c r="F24" s="9">
        <v>48</v>
      </c>
      <c r="G24" s="9">
        <v>10</v>
      </c>
      <c r="H24" s="9">
        <v>38</v>
      </c>
      <c r="I24" s="9">
        <v>48</v>
      </c>
      <c r="J24" s="9">
        <v>15</v>
      </c>
      <c r="K24" s="9">
        <v>20</v>
      </c>
      <c r="O24" s="9"/>
    </row>
    <row r="25" spans="1:15" ht="16.5" thickBot="1" x14ac:dyDescent="0.3">
      <c r="A25" t="s">
        <v>127</v>
      </c>
      <c r="B25" t="s">
        <v>120</v>
      </c>
      <c r="C25" t="s">
        <v>74</v>
      </c>
      <c r="D25" t="s">
        <v>81</v>
      </c>
      <c r="E25" t="s">
        <v>72</v>
      </c>
      <c r="F25" s="9">
        <v>47</v>
      </c>
      <c r="G25" s="9">
        <v>33</v>
      </c>
      <c r="H25" s="9">
        <v>14</v>
      </c>
      <c r="I25" s="9">
        <v>47</v>
      </c>
      <c r="J25" s="9">
        <v>13</v>
      </c>
      <c r="K25" s="9">
        <v>16</v>
      </c>
      <c r="M25" s="27" t="s">
        <v>126</v>
      </c>
      <c r="O25" s="22" t="s">
        <v>125</v>
      </c>
    </row>
    <row r="26" spans="1:15" x14ac:dyDescent="0.25">
      <c r="A26" t="s">
        <v>124</v>
      </c>
      <c r="B26" t="s">
        <v>123</v>
      </c>
      <c r="C26" t="s">
        <v>74</v>
      </c>
      <c r="D26" t="s">
        <v>81</v>
      </c>
      <c r="E26" t="s">
        <v>80</v>
      </c>
      <c r="F26" s="9">
        <v>41</v>
      </c>
      <c r="G26" s="9">
        <v>21</v>
      </c>
      <c r="H26" s="9">
        <v>26</v>
      </c>
      <c r="I26" s="9">
        <v>47</v>
      </c>
      <c r="J26" s="9">
        <v>14</v>
      </c>
      <c r="K26" s="9">
        <v>12</v>
      </c>
    </row>
    <row r="27" spans="1:15" x14ac:dyDescent="0.25">
      <c r="A27" t="s">
        <v>122</v>
      </c>
      <c r="B27" t="s">
        <v>75</v>
      </c>
      <c r="C27" t="s">
        <v>74</v>
      </c>
      <c r="D27" t="s">
        <v>81</v>
      </c>
      <c r="E27" t="s">
        <v>77</v>
      </c>
      <c r="F27" s="9">
        <v>46</v>
      </c>
      <c r="G27" s="9">
        <v>13</v>
      </c>
      <c r="H27" s="9">
        <v>34</v>
      </c>
      <c r="I27" s="9">
        <v>47</v>
      </c>
      <c r="J27" s="9">
        <v>6</v>
      </c>
      <c r="K27" s="9">
        <v>30</v>
      </c>
    </row>
    <row r="28" spans="1:15" x14ac:dyDescent="0.25">
      <c r="A28" t="s">
        <v>121</v>
      </c>
      <c r="B28" t="s">
        <v>120</v>
      </c>
      <c r="C28" t="s">
        <v>74</v>
      </c>
      <c r="D28" t="s">
        <v>73</v>
      </c>
      <c r="E28" t="s">
        <v>77</v>
      </c>
      <c r="F28" s="9">
        <v>44</v>
      </c>
      <c r="G28" s="9">
        <v>7</v>
      </c>
      <c r="H28" s="9">
        <v>40</v>
      </c>
      <c r="I28" s="9">
        <v>47</v>
      </c>
      <c r="J28" s="9">
        <v>12</v>
      </c>
      <c r="K28" s="9">
        <v>14</v>
      </c>
    </row>
    <row r="29" spans="1:15" x14ac:dyDescent="0.25">
      <c r="A29" t="s">
        <v>119</v>
      </c>
      <c r="B29" t="s">
        <v>106</v>
      </c>
      <c r="C29" t="s">
        <v>74</v>
      </c>
      <c r="D29" t="s">
        <v>73</v>
      </c>
      <c r="E29" t="s">
        <v>77</v>
      </c>
      <c r="F29" s="9">
        <v>42</v>
      </c>
      <c r="G29" s="9">
        <v>18</v>
      </c>
      <c r="H29" s="9">
        <v>28</v>
      </c>
      <c r="I29" s="9">
        <v>46</v>
      </c>
      <c r="J29" s="9">
        <v>31</v>
      </c>
      <c r="K29" s="9">
        <v>8</v>
      </c>
    </row>
    <row r="30" spans="1:15" x14ac:dyDescent="0.25">
      <c r="A30" t="s">
        <v>118</v>
      </c>
      <c r="B30" t="s">
        <v>117</v>
      </c>
      <c r="C30" t="s">
        <v>74</v>
      </c>
      <c r="D30" t="s">
        <v>73</v>
      </c>
      <c r="E30" t="s">
        <v>80</v>
      </c>
      <c r="F30" s="9">
        <v>46</v>
      </c>
      <c r="G30" s="9">
        <v>24</v>
      </c>
      <c r="H30" s="9">
        <v>21</v>
      </c>
      <c r="I30" s="9">
        <v>45</v>
      </c>
      <c r="J30" s="9">
        <v>1</v>
      </c>
      <c r="K30" s="9">
        <v>14</v>
      </c>
    </row>
    <row r="31" spans="1:15" x14ac:dyDescent="0.25">
      <c r="A31" t="s">
        <v>116</v>
      </c>
      <c r="B31" t="s">
        <v>115</v>
      </c>
      <c r="C31" t="s">
        <v>74</v>
      </c>
      <c r="D31" t="s">
        <v>81</v>
      </c>
      <c r="E31" t="s">
        <v>72</v>
      </c>
      <c r="F31" s="9">
        <v>38</v>
      </c>
      <c r="G31" s="9">
        <v>20</v>
      </c>
      <c r="H31" s="9">
        <v>24</v>
      </c>
      <c r="I31" s="9">
        <v>44</v>
      </c>
      <c r="J31" s="9">
        <v>17</v>
      </c>
      <c r="K31" s="9">
        <v>14</v>
      </c>
    </row>
    <row r="32" spans="1:15" x14ac:dyDescent="0.25">
      <c r="A32" t="s">
        <v>114</v>
      </c>
      <c r="B32" t="s">
        <v>113</v>
      </c>
      <c r="C32" t="s">
        <v>74</v>
      </c>
      <c r="D32" t="s">
        <v>81</v>
      </c>
      <c r="E32" t="s">
        <v>80</v>
      </c>
      <c r="F32" s="9">
        <v>43</v>
      </c>
      <c r="G32" s="9">
        <v>20</v>
      </c>
      <c r="H32" s="9">
        <v>24</v>
      </c>
      <c r="I32" s="9">
        <v>44</v>
      </c>
      <c r="J32" s="9">
        <v>12</v>
      </c>
      <c r="K32" s="9">
        <v>51</v>
      </c>
    </row>
    <row r="33" spans="1:11" x14ac:dyDescent="0.25">
      <c r="A33" t="s">
        <v>112</v>
      </c>
      <c r="B33" t="s">
        <v>102</v>
      </c>
      <c r="C33" t="s">
        <v>101</v>
      </c>
      <c r="D33" t="s">
        <v>81</v>
      </c>
      <c r="E33" t="s">
        <v>86</v>
      </c>
      <c r="F33" s="9">
        <v>44</v>
      </c>
      <c r="G33" s="9">
        <v>17</v>
      </c>
      <c r="H33" s="9">
        <v>27</v>
      </c>
      <c r="I33" s="9">
        <v>44</v>
      </c>
      <c r="J33" s="9">
        <v>-2</v>
      </c>
      <c r="K33" s="9">
        <v>18</v>
      </c>
    </row>
    <row r="34" spans="1:11" x14ac:dyDescent="0.25">
      <c r="A34" t="s">
        <v>111</v>
      </c>
      <c r="B34" t="s">
        <v>78</v>
      </c>
      <c r="C34" t="s">
        <v>74</v>
      </c>
      <c r="D34" t="s">
        <v>73</v>
      </c>
      <c r="E34" t="s">
        <v>86</v>
      </c>
      <c r="F34" s="9">
        <v>44</v>
      </c>
      <c r="G34" s="9">
        <v>16</v>
      </c>
      <c r="H34" s="9">
        <v>28</v>
      </c>
      <c r="I34" s="9">
        <v>44</v>
      </c>
      <c r="J34" s="9">
        <v>18</v>
      </c>
      <c r="K34" s="9">
        <v>6</v>
      </c>
    </row>
    <row r="35" spans="1:11" x14ac:dyDescent="0.25">
      <c r="A35" t="s">
        <v>110</v>
      </c>
      <c r="B35" t="s">
        <v>95</v>
      </c>
      <c r="C35" t="s">
        <v>74</v>
      </c>
      <c r="D35" t="s">
        <v>81</v>
      </c>
      <c r="E35" t="s">
        <v>86</v>
      </c>
      <c r="F35" s="9">
        <v>37</v>
      </c>
      <c r="G35" s="9">
        <v>13</v>
      </c>
      <c r="H35" s="9">
        <v>31</v>
      </c>
      <c r="I35" s="9">
        <v>44</v>
      </c>
      <c r="J35" s="9">
        <v>12</v>
      </c>
      <c r="K35" s="9">
        <v>18</v>
      </c>
    </row>
    <row r="36" spans="1:11" x14ac:dyDescent="0.25">
      <c r="A36" t="s">
        <v>109</v>
      </c>
      <c r="B36" t="s">
        <v>108</v>
      </c>
      <c r="C36" t="s">
        <v>74</v>
      </c>
      <c r="D36" t="s">
        <v>81</v>
      </c>
      <c r="E36" t="s">
        <v>80</v>
      </c>
      <c r="F36" s="9">
        <v>44</v>
      </c>
      <c r="G36" s="9">
        <v>11</v>
      </c>
      <c r="H36" s="9">
        <v>33</v>
      </c>
      <c r="I36" s="9">
        <v>44</v>
      </c>
      <c r="J36" s="9">
        <v>-18</v>
      </c>
      <c r="K36" s="9">
        <v>10</v>
      </c>
    </row>
    <row r="37" spans="1:11" x14ac:dyDescent="0.25">
      <c r="A37" t="s">
        <v>107</v>
      </c>
      <c r="B37" t="s">
        <v>106</v>
      </c>
      <c r="C37" t="s">
        <v>74</v>
      </c>
      <c r="D37" t="s">
        <v>73</v>
      </c>
      <c r="E37" t="s">
        <v>86</v>
      </c>
      <c r="F37" s="9">
        <v>32</v>
      </c>
      <c r="G37" s="9">
        <v>9</v>
      </c>
      <c r="H37" s="9">
        <v>35</v>
      </c>
      <c r="I37" s="9">
        <v>44</v>
      </c>
      <c r="J37" s="9">
        <v>7</v>
      </c>
      <c r="K37" s="9">
        <v>14</v>
      </c>
    </row>
    <row r="38" spans="1:11" x14ac:dyDescent="0.25">
      <c r="A38" t="s">
        <v>105</v>
      </c>
      <c r="B38" t="s">
        <v>75</v>
      </c>
      <c r="C38" t="s">
        <v>74</v>
      </c>
      <c r="D38" t="s">
        <v>81</v>
      </c>
      <c r="E38" t="s">
        <v>86</v>
      </c>
      <c r="F38" s="9">
        <v>44</v>
      </c>
      <c r="G38" s="9">
        <v>23</v>
      </c>
      <c r="H38" s="9">
        <v>20</v>
      </c>
      <c r="I38" s="9">
        <v>43</v>
      </c>
      <c r="J38" s="9">
        <v>2</v>
      </c>
      <c r="K38" s="9">
        <v>16</v>
      </c>
    </row>
    <row r="39" spans="1:11" x14ac:dyDescent="0.25">
      <c r="A39" t="s">
        <v>104</v>
      </c>
      <c r="B39" t="s">
        <v>82</v>
      </c>
      <c r="C39" t="s">
        <v>74</v>
      </c>
      <c r="D39" t="s">
        <v>73</v>
      </c>
      <c r="E39" t="s">
        <v>86</v>
      </c>
      <c r="F39" s="9">
        <v>42</v>
      </c>
      <c r="G39" s="9">
        <v>18</v>
      </c>
      <c r="H39" s="9">
        <v>25</v>
      </c>
      <c r="I39" s="9">
        <v>43</v>
      </c>
      <c r="J39" s="9">
        <v>5</v>
      </c>
      <c r="K39" s="9">
        <v>10</v>
      </c>
    </row>
    <row r="40" spans="1:11" x14ac:dyDescent="0.25">
      <c r="A40" t="s">
        <v>103</v>
      </c>
      <c r="B40" t="s">
        <v>102</v>
      </c>
      <c r="C40" t="s">
        <v>101</v>
      </c>
      <c r="D40" t="s">
        <v>73</v>
      </c>
      <c r="E40" t="s">
        <v>80</v>
      </c>
      <c r="F40" s="9">
        <v>45</v>
      </c>
      <c r="G40" s="9">
        <v>17</v>
      </c>
      <c r="H40" s="9">
        <v>26</v>
      </c>
      <c r="I40" s="9">
        <v>43</v>
      </c>
      <c r="J40" s="9">
        <v>-4</v>
      </c>
      <c r="K40" s="9">
        <v>10</v>
      </c>
    </row>
    <row r="41" spans="1:11" x14ac:dyDescent="0.25">
      <c r="A41" t="s">
        <v>100</v>
      </c>
      <c r="B41" t="s">
        <v>99</v>
      </c>
      <c r="C41" t="s">
        <v>74</v>
      </c>
      <c r="D41" t="s">
        <v>81</v>
      </c>
      <c r="E41" t="s">
        <v>80</v>
      </c>
      <c r="F41" s="9">
        <v>37</v>
      </c>
      <c r="G41" s="9">
        <v>14</v>
      </c>
      <c r="H41" s="9">
        <v>29</v>
      </c>
      <c r="I41" s="9">
        <v>43</v>
      </c>
      <c r="J41" s="9">
        <v>21</v>
      </c>
      <c r="K41" s="9">
        <v>8</v>
      </c>
    </row>
    <row r="42" spans="1:11" x14ac:dyDescent="0.25">
      <c r="A42" t="s">
        <v>98</v>
      </c>
      <c r="B42" t="s">
        <v>97</v>
      </c>
      <c r="C42" t="s">
        <v>74</v>
      </c>
      <c r="D42" t="s">
        <v>81</v>
      </c>
      <c r="E42" t="s">
        <v>72</v>
      </c>
      <c r="F42" s="9">
        <v>45</v>
      </c>
      <c r="G42" s="9">
        <v>14</v>
      </c>
      <c r="H42" s="9">
        <v>29</v>
      </c>
      <c r="I42" s="9">
        <v>43</v>
      </c>
      <c r="J42" s="9">
        <v>-3</v>
      </c>
      <c r="K42" s="9">
        <v>16</v>
      </c>
    </row>
    <row r="43" spans="1:11" x14ac:dyDescent="0.25">
      <c r="A43" t="s">
        <v>96</v>
      </c>
      <c r="B43" t="s">
        <v>95</v>
      </c>
      <c r="C43" t="s">
        <v>74</v>
      </c>
      <c r="D43" t="s">
        <v>73</v>
      </c>
      <c r="E43" t="s">
        <v>77</v>
      </c>
      <c r="F43" s="9">
        <v>45</v>
      </c>
      <c r="G43" s="9">
        <v>5</v>
      </c>
      <c r="H43" s="9">
        <v>38</v>
      </c>
      <c r="I43" s="9">
        <v>43</v>
      </c>
      <c r="J43" s="9">
        <v>19</v>
      </c>
      <c r="K43" s="9">
        <v>26</v>
      </c>
    </row>
    <row r="44" spans="1:11" x14ac:dyDescent="0.25">
      <c r="A44" t="s">
        <v>94</v>
      </c>
      <c r="B44" t="s">
        <v>93</v>
      </c>
      <c r="C44" t="s">
        <v>74</v>
      </c>
      <c r="D44" t="s">
        <v>73</v>
      </c>
      <c r="E44" t="s">
        <v>80</v>
      </c>
      <c r="F44" s="9">
        <v>44</v>
      </c>
      <c r="G44" s="9">
        <v>25</v>
      </c>
      <c r="H44" s="9">
        <v>17</v>
      </c>
      <c r="I44" s="9">
        <v>42</v>
      </c>
      <c r="J44" s="9">
        <v>1</v>
      </c>
      <c r="K44" s="9">
        <v>14</v>
      </c>
    </row>
    <row r="45" spans="1:11" x14ac:dyDescent="0.25">
      <c r="A45" t="s">
        <v>92</v>
      </c>
      <c r="B45" t="s">
        <v>91</v>
      </c>
      <c r="C45" t="s">
        <v>74</v>
      </c>
      <c r="D45" t="s">
        <v>81</v>
      </c>
      <c r="E45" t="s">
        <v>72</v>
      </c>
      <c r="F45" s="9">
        <v>41</v>
      </c>
      <c r="G45" s="9">
        <v>23</v>
      </c>
      <c r="H45" s="9">
        <v>19</v>
      </c>
      <c r="I45" s="9">
        <v>42</v>
      </c>
      <c r="J45" s="9">
        <v>11</v>
      </c>
      <c r="K45" s="9">
        <v>39</v>
      </c>
    </row>
    <row r="46" spans="1:11" x14ac:dyDescent="0.25">
      <c r="A46" t="s">
        <v>90</v>
      </c>
      <c r="B46" t="s">
        <v>89</v>
      </c>
      <c r="C46" t="s">
        <v>74</v>
      </c>
      <c r="D46" t="s">
        <v>81</v>
      </c>
      <c r="E46" t="s">
        <v>72</v>
      </c>
      <c r="F46" s="9">
        <v>48</v>
      </c>
      <c r="G46" s="9">
        <v>15</v>
      </c>
      <c r="H46" s="9">
        <v>27</v>
      </c>
      <c r="I46" s="9">
        <v>42</v>
      </c>
      <c r="J46" s="9">
        <v>6</v>
      </c>
      <c r="K46" s="9">
        <v>42</v>
      </c>
    </row>
    <row r="47" spans="1:11" x14ac:dyDescent="0.25">
      <c r="A47" t="s">
        <v>88</v>
      </c>
      <c r="B47" t="s">
        <v>87</v>
      </c>
      <c r="C47" t="s">
        <v>74</v>
      </c>
      <c r="D47" t="s">
        <v>81</v>
      </c>
      <c r="E47" t="s">
        <v>86</v>
      </c>
      <c r="F47" s="9">
        <v>47</v>
      </c>
      <c r="G47" s="9">
        <v>14</v>
      </c>
      <c r="H47" s="9">
        <v>28</v>
      </c>
      <c r="I47" s="9">
        <v>42</v>
      </c>
      <c r="J47" s="9">
        <v>-5</v>
      </c>
      <c r="K47" s="9">
        <v>8</v>
      </c>
    </row>
    <row r="48" spans="1:11" x14ac:dyDescent="0.25">
      <c r="A48" t="s">
        <v>85</v>
      </c>
      <c r="B48" t="s">
        <v>84</v>
      </c>
      <c r="C48" t="s">
        <v>74</v>
      </c>
      <c r="D48" t="s">
        <v>81</v>
      </c>
      <c r="E48" t="s">
        <v>80</v>
      </c>
      <c r="F48" s="9">
        <v>48</v>
      </c>
      <c r="G48" s="9">
        <v>18</v>
      </c>
      <c r="H48" s="9">
        <v>23</v>
      </c>
      <c r="I48" s="9">
        <v>41</v>
      </c>
      <c r="J48" s="9">
        <v>-8</v>
      </c>
      <c r="K48" s="9">
        <v>26</v>
      </c>
    </row>
    <row r="49" spans="1:11" x14ac:dyDescent="0.25">
      <c r="A49" t="s">
        <v>83</v>
      </c>
      <c r="B49" t="s">
        <v>82</v>
      </c>
      <c r="C49" t="s">
        <v>74</v>
      </c>
      <c r="D49" t="s">
        <v>81</v>
      </c>
      <c r="E49" t="s">
        <v>80</v>
      </c>
      <c r="F49" s="9">
        <v>42</v>
      </c>
      <c r="G49" s="9">
        <v>16</v>
      </c>
      <c r="H49" s="9">
        <v>25</v>
      </c>
      <c r="I49" s="9">
        <v>41</v>
      </c>
      <c r="J49" s="9">
        <v>-3</v>
      </c>
      <c r="K49" s="9">
        <v>22</v>
      </c>
    </row>
    <row r="50" spans="1:11" x14ac:dyDescent="0.25">
      <c r="A50" t="s">
        <v>79</v>
      </c>
      <c r="B50" t="s">
        <v>78</v>
      </c>
      <c r="C50" t="s">
        <v>74</v>
      </c>
      <c r="D50" t="s">
        <v>73</v>
      </c>
      <c r="E50" t="s">
        <v>77</v>
      </c>
      <c r="F50" s="9">
        <v>46</v>
      </c>
      <c r="G50" s="9">
        <v>10</v>
      </c>
      <c r="H50" s="9">
        <v>31</v>
      </c>
      <c r="I50" s="9">
        <v>41</v>
      </c>
      <c r="J50" s="9">
        <v>29</v>
      </c>
      <c r="K50" s="9">
        <v>22</v>
      </c>
    </row>
    <row r="51" spans="1:11" x14ac:dyDescent="0.25">
      <c r="A51" t="s">
        <v>76</v>
      </c>
      <c r="B51" t="s">
        <v>75</v>
      </c>
      <c r="C51" t="s">
        <v>74</v>
      </c>
      <c r="D51" t="s">
        <v>73</v>
      </c>
      <c r="E51" t="s">
        <v>72</v>
      </c>
      <c r="F51" s="9">
        <v>35</v>
      </c>
      <c r="G51" s="9">
        <v>24</v>
      </c>
      <c r="H51" s="9">
        <v>16</v>
      </c>
      <c r="I51" s="9">
        <v>40</v>
      </c>
      <c r="J51" s="9">
        <v>6</v>
      </c>
      <c r="K51" s="9">
        <v>12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82C4-1794-8648-9327-E091F4BFD47E}">
  <dimension ref="A3:I20"/>
  <sheetViews>
    <sheetView workbookViewId="0">
      <selection activeCell="I21" sqref="I21"/>
    </sheetView>
  </sheetViews>
  <sheetFormatPr defaultColWidth="11" defaultRowHeight="15.75" x14ac:dyDescent="0.25"/>
  <sheetData>
    <row r="3" spans="1:9" ht="23.25" x14ac:dyDescent="0.35">
      <c r="B3" s="23" t="s">
        <v>177</v>
      </c>
      <c r="C3" s="24"/>
      <c r="D3" s="24"/>
      <c r="E3" s="24"/>
      <c r="F3" s="24"/>
      <c r="G3" s="24"/>
      <c r="H3" s="24"/>
      <c r="I3" s="24"/>
    </row>
    <row r="5" spans="1:9" x14ac:dyDescent="0.25">
      <c r="A5" t="s">
        <v>74</v>
      </c>
      <c r="B5">
        <f>SUMIFS('PT C - Top 50 NHL'!G2:G51,'PT C - Top 50 NHL'!C2:C51,"USA")</f>
        <v>743</v>
      </c>
    </row>
    <row r="6" spans="1:9" x14ac:dyDescent="0.25">
      <c r="A6" t="s">
        <v>101</v>
      </c>
      <c r="B6">
        <f>SUMIFS('PT C - Top 50 NHL'!G2:G51,'PT C - Top 50 NHL'!C2:C51,"Canada")</f>
        <v>205</v>
      </c>
      <c r="H6" t="s">
        <v>74</v>
      </c>
      <c r="I6">
        <f>COUNTIF('PT C - Top 50 NHL'!C2:C51,"USA")</f>
        <v>41</v>
      </c>
    </row>
    <row r="7" spans="1:9" x14ac:dyDescent="0.25">
      <c r="H7" t="s">
        <v>101</v>
      </c>
      <c r="I7">
        <f>COUNTIF('PT C - Top 50 NHL'!C2:C51, "Canada")</f>
        <v>9</v>
      </c>
    </row>
    <row r="17" spans="1:2" x14ac:dyDescent="0.25">
      <c r="A17" t="s">
        <v>72</v>
      </c>
      <c r="B17">
        <f>SUMIF('PT C - Top 50 NHL'!E2:E51, "Left Wing",'PT C - Top 50 NHL'!I2:I51)</f>
        <v>793</v>
      </c>
    </row>
    <row r="18" spans="1:2" x14ac:dyDescent="0.25">
      <c r="A18" t="s">
        <v>86</v>
      </c>
      <c r="B18">
        <f>SUMIF('PT C - Top 50 NHL'!E2:E51,"Centre",'PT C - Top 50 NHL'!I2:I51)</f>
        <v>893</v>
      </c>
    </row>
    <row r="19" spans="1:2" x14ac:dyDescent="0.25">
      <c r="A19" t="s">
        <v>80</v>
      </c>
      <c r="B19">
        <f>SUMIF('PT C - Top 50 NHL'!E2:E51, "Right Wing", 'PT C - Top 50 NHL'!I2:I51)</f>
        <v>445</v>
      </c>
    </row>
    <row r="20" spans="1:2" x14ac:dyDescent="0.25">
      <c r="A20" t="s">
        <v>77</v>
      </c>
      <c r="B20">
        <f>SUMIF('PT C - Top 50 NHL'!E2:E51, "Defense", 'PT C - Top 50 NHL'!I2:I51)</f>
        <v>272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 A - Loan Function</vt:lpstr>
      <vt:lpstr>PT B - MS</vt:lpstr>
      <vt:lpstr>PT B - Full Marks</vt:lpstr>
      <vt:lpstr>PT B - Class List</vt:lpstr>
      <vt:lpstr>PT C - Top 50 NHL</vt:lpstr>
      <vt:lpstr>PT C -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Bell</dc:creator>
  <cp:lastModifiedBy>Rohan Sethi</cp:lastModifiedBy>
  <dcterms:created xsi:type="dcterms:W3CDTF">2018-10-28T12:06:17Z</dcterms:created>
  <dcterms:modified xsi:type="dcterms:W3CDTF">2023-01-17T17:50:57Z</dcterms:modified>
</cp:coreProperties>
</file>