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77" i="2" l="1"/>
  <c r="J277" i="2"/>
  <c r="J278" i="2"/>
  <c r="K278" i="2"/>
  <c r="K74" i="2" l="1"/>
  <c r="K73" i="2"/>
  <c r="K72" i="2"/>
  <c r="K71" i="2"/>
  <c r="K70" i="2"/>
  <c r="J74" i="2"/>
  <c r="J73" i="2"/>
  <c r="J72" i="2"/>
  <c r="J71" i="2"/>
  <c r="J70" i="2"/>
  <c r="E243" i="2" l="1"/>
  <c r="D243" i="2"/>
  <c r="E242" i="2"/>
  <c r="E248" i="2" l="1"/>
  <c r="J273" i="2" l="1"/>
  <c r="I273" i="2"/>
  <c r="J272" i="2"/>
  <c r="I272" i="2"/>
  <c r="J271" i="2"/>
  <c r="I271" i="2"/>
  <c r="D273" i="2"/>
  <c r="F273" i="2"/>
  <c r="E273" i="2"/>
  <c r="F272" i="2"/>
  <c r="E272" i="2"/>
  <c r="F271" i="2"/>
  <c r="D255" i="2"/>
  <c r="E271" i="2"/>
  <c r="C265" i="2"/>
  <c r="D272" i="2"/>
  <c r="D271" i="2"/>
  <c r="K265" i="2"/>
  <c r="K255" i="2"/>
  <c r="F255" i="2"/>
  <c r="F265" i="2"/>
  <c r="E265" i="2"/>
  <c r="E255" i="2"/>
  <c r="D265" i="2"/>
  <c r="C255" i="2"/>
  <c r="M249" i="2" l="1"/>
  <c r="G249" i="2"/>
  <c r="E249" i="2"/>
  <c r="D249" i="2"/>
  <c r="M248" i="2"/>
  <c r="G248" i="2"/>
  <c r="D248" i="2"/>
  <c r="M247" i="2"/>
  <c r="G247" i="2"/>
  <c r="M244" i="2"/>
  <c r="G244" i="2"/>
  <c r="E244" i="2"/>
  <c r="D244" i="2"/>
  <c r="M243" i="2"/>
  <c r="G243" i="2"/>
  <c r="M242" i="2"/>
  <c r="G242" i="2"/>
  <c r="E238" i="2"/>
  <c r="D238" i="2"/>
  <c r="D237" i="2"/>
  <c r="D236" i="2"/>
  <c r="E232" i="2"/>
  <c r="D232" i="2"/>
  <c r="D231" i="2"/>
  <c r="D230" i="2"/>
  <c r="M226" i="2"/>
  <c r="J226" i="2"/>
  <c r="H226" i="2"/>
  <c r="K226" i="2" s="1"/>
  <c r="E226" i="2"/>
  <c r="D226" i="2"/>
  <c r="M225" i="2"/>
  <c r="J225" i="2"/>
  <c r="H225" i="2"/>
  <c r="D225" i="2"/>
  <c r="M224" i="2"/>
  <c r="J224" i="2"/>
  <c r="H224" i="2"/>
  <c r="D224" i="2"/>
  <c r="K224" i="2" l="1"/>
  <c r="K225" i="2"/>
  <c r="A210" i="2" l="1"/>
  <c r="A209" i="2"/>
  <c r="A208" i="2"/>
  <c r="C185" i="2" l="1"/>
  <c r="K199" i="2" l="1"/>
  <c r="F199" i="2"/>
  <c r="E199" i="2"/>
  <c r="D199" i="2"/>
  <c r="C199" i="2"/>
  <c r="J193" i="2"/>
  <c r="I193" i="2"/>
  <c r="J192" i="2"/>
  <c r="I192" i="2"/>
  <c r="J191" i="2"/>
  <c r="I191" i="2"/>
  <c r="F192" i="2"/>
  <c r="F193" i="2"/>
  <c r="E193" i="2"/>
  <c r="E192" i="2"/>
  <c r="D193" i="2"/>
  <c r="D192" i="2"/>
  <c r="F191" i="2"/>
  <c r="D185" i="2"/>
  <c r="E191" i="2"/>
  <c r="D191" i="2"/>
  <c r="K185" i="2"/>
  <c r="F185" i="2"/>
  <c r="E185" i="2"/>
  <c r="M106" i="2" l="1"/>
  <c r="K106" i="2"/>
  <c r="J106" i="2" l="1"/>
  <c r="F90" i="2" l="1"/>
  <c r="F89" i="2"/>
  <c r="M174" i="2" l="1"/>
  <c r="K174" i="2"/>
  <c r="H174" i="2"/>
  <c r="G174" i="2"/>
  <c r="M170" i="2"/>
  <c r="K170" i="2"/>
  <c r="H170" i="2"/>
  <c r="G170" i="2"/>
  <c r="M166" i="2"/>
  <c r="K166" i="2"/>
  <c r="H166" i="2"/>
  <c r="G166" i="2"/>
  <c r="M162" i="2"/>
  <c r="K162" i="2"/>
  <c r="H162" i="2"/>
  <c r="G162" i="2"/>
  <c r="M158" i="2"/>
  <c r="K158" i="2"/>
  <c r="H158" i="2"/>
  <c r="F158" i="2"/>
  <c r="G158" i="2" s="1"/>
  <c r="M154" i="2"/>
  <c r="K154" i="2"/>
  <c r="H154" i="2"/>
  <c r="G154" i="2"/>
  <c r="M150" i="2"/>
  <c r="K150" i="2"/>
  <c r="H150" i="2"/>
  <c r="G150" i="2"/>
  <c r="M146" i="2"/>
  <c r="K146" i="2"/>
  <c r="H146" i="2"/>
  <c r="G146" i="2"/>
  <c r="M140" i="2"/>
  <c r="K140" i="2"/>
  <c r="H140" i="2"/>
  <c r="M136" i="2"/>
  <c r="K136" i="2"/>
  <c r="H136" i="2"/>
  <c r="M132" i="2"/>
  <c r="K132" i="2"/>
  <c r="H132" i="2"/>
  <c r="K126" i="2"/>
  <c r="H126" i="2"/>
  <c r="G126" i="2"/>
  <c r="K122" i="2"/>
  <c r="H122" i="2"/>
  <c r="G122" i="2"/>
  <c r="M118" i="2"/>
  <c r="K118" i="2"/>
  <c r="H118" i="2"/>
  <c r="G118" i="2"/>
  <c r="M114" i="2"/>
  <c r="K114" i="2"/>
  <c r="G114" i="2"/>
  <c r="H106" i="2"/>
  <c r="G106" i="2"/>
  <c r="M102" i="2"/>
  <c r="K102" i="2"/>
  <c r="H102" i="2"/>
  <c r="G102" i="2"/>
  <c r="M98" i="2"/>
  <c r="K98" i="2"/>
  <c r="H98" i="2"/>
  <c r="G98" i="2"/>
  <c r="M94" i="2"/>
  <c r="K94" i="2"/>
  <c r="H94" i="2"/>
  <c r="G94" i="2"/>
  <c r="A271" i="2" l="1"/>
  <c r="L273" i="2"/>
  <c r="K273" i="2"/>
  <c r="H273" i="2"/>
  <c r="G273" i="2"/>
  <c r="L272" i="2"/>
  <c r="K272" i="2"/>
  <c r="H272" i="2"/>
  <c r="G272" i="2"/>
  <c r="L271" i="2"/>
  <c r="K271" i="2"/>
  <c r="H271" i="2"/>
  <c r="G271" i="2"/>
  <c r="J265" i="2"/>
  <c r="I265" i="2"/>
  <c r="H265" i="2"/>
  <c r="G265" i="2"/>
  <c r="J259" i="2"/>
  <c r="I199" i="2" l="1"/>
  <c r="H199" i="2"/>
  <c r="G199" i="2"/>
  <c r="J199" i="2" l="1"/>
  <c r="J255" i="2" l="1"/>
  <c r="I255" i="2"/>
  <c r="H255" i="2"/>
  <c r="G255" i="2"/>
  <c r="H215" i="2"/>
  <c r="D215" i="2"/>
  <c r="H214" i="2"/>
  <c r="D214" i="2"/>
  <c r="D221" i="2"/>
  <c r="D220" i="2"/>
  <c r="D218" i="2"/>
  <c r="D217" i="2"/>
  <c r="J185" i="2" l="1"/>
  <c r="I185" i="2"/>
  <c r="G185" i="2"/>
  <c r="L191" i="2"/>
  <c r="K191" i="2"/>
  <c r="G191" i="2"/>
  <c r="H191" i="2" l="1"/>
  <c r="H185" i="2"/>
  <c r="L192" i="2" l="1"/>
  <c r="K192" i="2"/>
  <c r="L193" i="2" l="1"/>
  <c r="K193" i="2"/>
  <c r="H193" i="2"/>
  <c r="G193" i="2"/>
  <c r="G192" i="2"/>
  <c r="A207" i="2" l="1"/>
  <c r="J203" i="2" l="1"/>
  <c r="H192" i="2" l="1"/>
  <c r="A191" i="2" l="1"/>
  <c r="H89" i="2" l="1"/>
  <c r="H90" i="2"/>
  <c r="C90" i="2" l="1"/>
  <c r="C89" i="2"/>
  <c r="H85" i="2"/>
  <c r="G85" i="2"/>
  <c r="B74" i="2" l="1"/>
  <c r="D74" i="2"/>
  <c r="D72" i="2"/>
  <c r="D73" i="2"/>
  <c r="B73" i="2"/>
  <c r="B72" i="2"/>
  <c r="D71" i="2" l="1"/>
  <c r="D70"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<sst xmlns="http://schemas.openxmlformats.org/spreadsheetml/2006/main" count="1658" uniqueCount="636">
  <si>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</si>
  <si>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</si>
  <si>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</si>
  <si>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</si>
  <si>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</si>
  <si>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</si>
  <si>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</si>
  <si>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</si>
  <si>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</si>
  <si>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</si>
  <si>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</si>
  <si>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</si>
  <si>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</si>
  <si>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</si>
  <si>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</si>
  <si>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</si>
  <si>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</si>
  <si>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</si>
  <si>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</si>
  <si>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</si>
  <si>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</si>
  <si>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</si>
  <si>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</si>
  <si>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</si>
  <si>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</si>
  <si>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</si>
  <si>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</si>
  <si>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</si>
  <si>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</si>
  <si>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</si>
  <si>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</si>
  <si>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</si>
  <si>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</si>
  <si>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</si>
  <si>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</si>
  <si>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</si>
  <si>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</si>
  <si>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</si>
  <si>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</si>
  <si>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</si>
  <si>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</si>
  <si>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</si>
  <si>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</si>
  <si>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</si>
  <si>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</si>
  <si>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</si>
  <si>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</si>
  <si>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</si>
  <si>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</si>
  <si>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</si>
  <si>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</si>
  <si>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</si>
  <si>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</si>
  <si>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</si>
  <si>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</si>
  <si>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</si>
  <si>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</si>
  <si>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</si>
  <si>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</si>
  <si>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</si>
  <si>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</si>
  <si>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</si>
  <si>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</si>
  <si>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</si>
  <si>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</si>
  <si>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</si>
  <si>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</si>
  <si>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</si>
  <si>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</si>
  <si>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</si>
  <si>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</si>
  <si>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</si>
  <si>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</si>
  <si>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</si>
  <si>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</si>
  <si>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</si>
  <si>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</si>
  <si>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</si>
  <si>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</si>
  <si>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</si>
  <si>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</si>
  <si>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</si>
  <si>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</si>
  <si>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</si>
  <si>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</si>
  <si>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</si>
  <si>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</si>
  <si>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</si>
  <si>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</si>
  <si>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</si>
  <si>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</si>
  <si>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</si>
  <si>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</si>
  <si>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</si>
  <si>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</si>
  <si>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</si>
  <si>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</si>
  <si>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</si>
  <si>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</si>
  <si>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</si>
  <si>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</si>
  <si>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</si>
  <si>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</si>
  <si>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</si>
  <si>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</si>
  <si>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</si>
  <si>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</si>
  <si>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</si>
  <si>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</si>
  <si>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</si>
  <si>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</si>
  <si>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</si>
  <si>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</si>
  <si>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</si>
  <si>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</si>
  <si>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</si>
  <si>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</si>
  <si>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</si>
  <si>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</si>
  <si>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</si>
  <si>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</si>
  <si>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</si>
  <si>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</si>
  <si>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</si>
  <si>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</si>
  <si>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</si>
  <si>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</si>
  <si>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</si>
  <si>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</si>
  <si>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</si>
  <si>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</si>
  <si>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</si>
  <si>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</si>
  <si>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</si>
  <si>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</si>
  <si>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</si>
  <si>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</si>
  <si>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</si>
  <si>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</si>
  <si>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</si>
  <si>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</si>
  <si>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</si>
  <si>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</si>
  <si>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</si>
  <si>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</si>
  <si>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</si>
  <si>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</si>
  <si>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</si>
  <si>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</si>
  <si>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</si>
  <si>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</si>
  <si>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</si>
  <si>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</si>
  <si>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</si>
  <si>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</si>
  <si>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</si>
  <si>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</si>
  <si>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</si>
  <si>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</si>
  <si>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</si>
  <si>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</si>
  <si>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</si>
  <si>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</si>
  <si>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</si>
  <si>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</si>
  <si>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</si>
  <si>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</si>
  <si>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</si>
  <si>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</si>
  <si>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</si>
  <si>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</si>
  <si>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</si>
  <si>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</si>
  <si>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</si>
  <si>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</si>
  <si>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</si>
  <si>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</si>
  <si>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</si>
  <si>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</si>
  <si>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</si>
  <si>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</si>
  <si>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</si>
  <si>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</si>
  <si>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</si>
  <si>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</si>
  <si>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</si>
  <si>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</si>
  <si>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</si>
  <si>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</si>
  <si>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</si>
  <si>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</si>
  <si>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</si>
  <si>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</si>
  <si>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</si>
  <si>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</si>
  <si>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</si>
  <si>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</si>
  <si>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</si>
  <si>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</si>
  <si>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</si>
  <si>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</si>
  <si>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</si>
  <si>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</si>
  <si>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</si>
  <si>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</si>
  <si>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</si>
  <si>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</si>
  <si>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</si>
  <si>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</si>
  <si>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</si>
  <si>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</si>
  <si>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</si>
  <si>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</si>
  <si>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</si>
  <si>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</si>
  <si>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</si>
  <si>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</si>
  <si>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</si>
  <si>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</si>
  <si>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</si>
  <si>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</si>
  <si>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</si>
  <si>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</si>
  <si>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</si>
  <si>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</si>
  <si>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</si>
  <si>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</si>
  <si>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</si>
  <si>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</si>
  <si>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</si>
  <si>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</si>
  <si>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</si>
  <si>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</si>
  <si>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</si>
  <si>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</si>
  <si>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</si>
  <si>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</si>
  <si>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</si>
  <si>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</si>
  <si>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</si>
  <si>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</si>
  <si>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</si>
  <si>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</si>
  <si>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</si>
  <si>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</si>
  <si>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</si>
  <si>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</si>
  <si>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</si>
  <si>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</si>
  <si>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</si>
  <si>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</si>
  <si>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</si>
  <si>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</si>
  <si>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</si>
  <si>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</si>
  <si>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</si>
  <si>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</si>
  <si>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</si>
  <si>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</si>
  <si>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</si>
  <si>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</si>
  <si>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</si>
  <si>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</si>
  <si>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</si>
  <si>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</si>
  <si>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</si>
  <si>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</si>
  <si>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</si>
  <si>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</si>
  <si>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</si>
  <si>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</si>
  <si>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</si>
  <si>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</si>
  <si>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</si>
  <si>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</si>
  <si>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</si>
  <si>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</si>
  <si>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</si>
  <si>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</si>
  <si>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</si>
  <si>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</si>
  <si>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</si>
  <si>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</si>
  <si>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</si>
  <si>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</si>
  <si>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</si>
  <si>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</si>
  <si>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</si>
  <si>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</si>
  <si>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</si>
  <si>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</si>
  <si>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</si>
  <si>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</si>
  <si>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</si>
  <si>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</si>
  <si>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</si>
  <si>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</si>
  <si>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</si>
  <si>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</si>
  <si>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</si>
  <si>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</si>
  <si>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</si>
  <si>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</si>
  <si>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</si>
  <si>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</si>
  <si>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</si>
  <si>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</si>
  <si>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</si>
  <si>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</si>
  <si>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</si>
  <si>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</si>
  <si>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</si>
  <si>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</si>
  <si>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</si>
  <si>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</si>
  <si>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</si>
  <si>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</si>
  <si>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</si>
  <si>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</si>
  <si>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</si>
  <si>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</si>
  <si>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</si>
  <si>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</si>
  <si>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</si>
  <si>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</si>
  <si>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</si>
  <si>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</si>
  <si>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</si>
  <si>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</si>
  <si>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</si>
  <si>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</si>
  <si>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</si>
  <si>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</si>
  <si>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</si>
  <si>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</si>
  <si>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</si>
  <si>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</si>
  <si>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</si>
  <si>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</si>
  <si>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</si>
  <si>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</si>
  <si>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</si>
  <si>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</si>
  <si>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</si>
  <si>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</si>
  <si>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</si>
  <si>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</si>
  <si>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</si>
  <si>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</si>
  <si>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</si>
  <si>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</si>
  <si>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</si>
  <si>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</si>
  <si>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</si>
  <si>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</si>
  <si>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</si>
  <si>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</si>
  <si>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</si>
  <si>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</si>
  <si>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</si>
  <si>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</si>
  <si>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</si>
  <si>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</si>
  <si>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</si>
  <si>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</si>
  <si>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</si>
  <si>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</si>
  <si>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</si>
  <si>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</si>
  <si>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</si>
  <si>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</si>
  <si>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</si>
  <si>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</si>
  <si>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</si>
  <si>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</si>
  <si>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</si>
  <si>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</si>
  <si>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</si>
  <si>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</si>
  <si>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</si>
  <si>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</si>
  <si>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</si>
  <si>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</si>
  <si>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</si>
  <si>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</si>
  <si>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</si>
  <si>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</si>
  <si>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</si>
  <si>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</si>
  <si>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</si>
  <si>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</si>
  <si>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</si>
  <si>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</si>
  <si>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</si>
  <si>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</si>
  <si>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</si>
  <si>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</si>
  <si>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</si>
  <si>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</si>
  <si>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</si>
  <si>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</si>
  <si>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</si>
  <si>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</si>
  <si>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</si>
  <si>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</si>
  <si>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</si>
  <si>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</si>
  <si>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</si>
  <si>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</si>
  <si>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</si>
  <si>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</si>
  <si>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</si>
  <si>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</si>
  <si>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</si>
  <si>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</si>
  <si>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</si>
  <si>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</si>
  <si>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</si>
  <si>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</si>
  <si>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</si>
  <si>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</si>
  <si>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</si>
  <si>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</si>
  <si>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</si>
  <si>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</si>
  <si>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</si>
  <si>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</si>
  <si>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</si>
  <si>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</si>
  <si>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</si>
  <si>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</si>
  <si>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</si>
  <si>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</si>
  <si>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</si>
  <si>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</si>
  <si>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</si>
  <si>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</si>
  <si>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Pricing &amp; Commitment - [ TC -&gt; TC_Deal_Creation_API_03]</t>
  </si>
  <si>
    <t>Original</t>
  </si>
  <si>
    <t>Recommended</t>
  </si>
  <si>
    <t>DE_AUT01,Corporate Banking</t>
  </si>
  <si>
    <t>DE_AUT02,Account Services</t>
  </si>
  <si>
    <t>Pending For Approval</t>
  </si>
  <si>
    <t>DE_AUTO3,Payment Services</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</si>
  <si>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</si>
  <si>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</si>
  <si>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</si>
  <si>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</si>
  <si>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</si>
  <si>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</si>
  <si>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</si>
  <si>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</si>
  <si>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</si>
  <si>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BANK_82_6_Test_43785</t>
  </si>
  <si>
    <t>BANK_82_6_Test_43785 desc</t>
  </si>
  <si>
    <t>BANK_82_6_Test_43785 desc ver</t>
  </si>
  <si>
    <t xml:space="preserve"> 24.33, 24.34,24.35(SREP)</t>
  </si>
  <si>
    <t>25.33, 25.34,25.35(SREP)</t>
  </si>
  <si>
    <t>20(FLAT),10/8(THRS),5(STEP),6(THRS),4/3(STEP)</t>
  </si>
  <si>
    <t>RPER</t>
  </si>
  <si>
    <t>3091575921</t>
  </si>
  <si>
    <t>Relationship Manager1</t>
  </si>
  <si>
    <t>Pricing &amp; Commitment - Override STEP Pricing</t>
  </si>
  <si>
    <t>[{"upperLimit":"1000.00","lowerLimit":"0.00","valueAmt":"11"},{"upperLimit":"5000.00","lowerLimit":"1000.00","valueAmt":"12"},{"upperLimit":"999999999999.99","lowerLimit":"5000.00","valueAmt":"13"}]</t>
  </si>
  <si>
    <t>4</t>
  </si>
  <si>
    <t>51.80</t>
  </si>
  <si>
    <t>52</t>
  </si>
  <si>
    <t xml:space="preserve">Regular
</t>
  </si>
  <si>
    <t>[{"upperLimit":"1000.00","lowerLimit":"0.00","valueAmt":"12"},{"upperLimit":"5000.00","lowerLimit":"1000.00","valueAmt":"13"},{"upperLimit":"999999999999.99","lowerLimit":"5000.00","valueAmt":"14"}]</t>
  </si>
  <si>
    <t>Pricing &amp; Commitment - [TC_PRICING_DEL_Test_43651]</t>
  </si>
  <si>
    <t>11</t>
  </si>
  <si>
    <t>Pricing &amp; Commitment - [TC_PRICING_UPD_Test_43698]</t>
  </si>
  <si>
    <t>3</t>
  </si>
  <si>
    <t xml:space="preserve"> </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</si>
  <si>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</si>
  <si>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BANK_82_EPER_001,IND</t>
  </si>
  <si>
    <t>Reg_BANK_82_EPER_001</t>
  </si>
  <si>
    <t>EAI_BANK_82_EPER_001</t>
  </si>
  <si>
    <t>External Account Identifier - EAI_BANK_82_EPER_001</t>
  </si>
  <si>
    <t>9805419578,BANK_82_EPER_001,IND,12-20-2022,United States Dollars,Contracted Deal-No</t>
  </si>
  <si>
    <t>{"C1-DealPriceAsgnCommitmentsREST":{"modelId":"1135615344","dealId":"7406392342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</si>
  <si>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</si>
  <si>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</si>
  <si>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UPD</t>
  </si>
  <si>
    <t>2022-11-11</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</si>
  <si>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-16","assignmentLevel":"Customer Price List"}]}}}</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</si>
  <si>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8898575584","valueAmt":"12","priceCompDesc":"FLAT","rcMapId":"1705351562","displaySw":"true","tieredFlag":"FLAT","priceCompSequenceNo":"10"},"paTypeFlag":"RGLR","priceItemDescription":"V1-Account Opening Fee","aggregateSw":"N","priceItemCode":"PI_021","priceCurrencyCode":"USD","priceAsgnId":"8890011168","pricingStatus":"PRPD","printIfZero":"Y","ignoreSw":"N","actionFlag":"OVRD","isEligible":"false","scheduleCode":"MONTHLY","rateSchedule":"DM-RT01","startDate":"2023-06-15","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</si>
  <si>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-05-16","assignmentLevel":"Customer Price List"}]}}}</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</si>
  <si>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8898575586","valueAmt":"17","priceCompDesc":"Price Per Transaction Step Tier 1","rcMapId":"2567418376","displaySw":"true","tieredFlag":"STEP","priceCompTier":{"tierSeqNum":"10","upperLimit":"1000.00","lowerLimit":"0.00","priceCriteria":"NBRTRAN"},"priceCompSequenceNo":"100"},{"priceCompId":"8898575587","valueAmt":"17","priceCompDesc":"Price Per Transaction Step Tier 2","rcMapId":"7769990702","displaySw":"true","tieredFlag":"STEP","priceCompTier":{"tierSeqNum":"10","upperLimit":"5000.00","lowerLimit":"1000.00","priceCriteria":"NBRTRAN"},"priceCompSequenceNo":"110"},{"priceCompId":"8898575588","valueAmt":"17","priceCompDesc":"Price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8890011170","pricingStatus":"PRPD","printIfZero":"Y","ignoreSw":"N","actionFlag":"OVRD","isEligible":"false","scheduleCode":"MONTHLY","rateSchedule":"DM-NBRST","startDate":"2023-06-15","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</si>
  <si>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-05-16","assignmentLevel":"Customer Price List"}]}}}</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</si>
  <si>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8898575592","valueAmt":"17","priceCompDesc":"Threshold price per transaction1","rcMapId":"1109655113","displaySw":"true","tieredFlag":"THRS","priceCompTier":{"tierSeqNum":"10","upperLimit":"1000.00","lowerLimit":"0.00","priceCriteria":"NBRTRAN"},"priceCompSequenceNo":"100"},{"priceCompId":"8898575593","valueAmt":"17","priceCompDesc":"Threshold price per transaction 2","rcMapId":"1109655113","displaySw":"true","tieredFlag":"THRS","priceCompTier":{"tierSeqNum":"10","upperLimit":"5000.00","lowerLimit":"1000.00","priceCriteria":"NBRTRAN"},"priceCompSequenceNo":"110"},{"priceCompId":"8898575594","valueAmt":"17","priceCompDesc":"Threshold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8890011172","pricingStatus":"PRPD","printIfZero":"Y","ignoreSw":"N","actionFlag":"OVRD","isEligible":"false","scheduleCode":"MONTHLY","rateSchedule":"DM-NBRTH","startDate":"2023-06-15","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</si>
  <si>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-16","assignmentLevel":"Customer Price List"}]}}}</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</si>
  <si>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8898575598","valueAmt":"10","priceCompDesc":"FLAT","rcMapId":"1705351562","displaySw":"true","tieredFlag":"FLAT","priceCompSequenceNo":"10"},"paTypeFlag":"RGLR","priceItemDescription":"V2-Monthly Acct Serv Fee","aggregateSw":"N","priceItemCode":"PI_022","priceCurrencyCode":"USD","priceAsgnId":"8890011174","pricingStatus":"PRPD","printIfZero":"Y","ignoreSw":"N","actionFlag":"OVRD","isEligible":"false","scheduleCode":"MONTHLY","rateSchedule":"DM-RT01","startDate":"2023-06-15","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</si>
  <si>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8898575576","valueAmt":"11","priceCompDesc":"Price per transaction - Step Tier 1","rcMapId":"2567418376","displaySw":"true","tieredFlag":"STEP","priceCompTier":{"tierSeqNum":"10","upperLimit":"1000.00","lowerLimit":"0.00","priceCriteria":"NBRTRAN"},"priceCompSequenceNo":"100"},{"priceCompId":"8898575577","valueAmt":"12","priceCompDesc":"Price per transaction - Step Tier 2","rcMapId":"7769990702","displaySw":"true","tieredFlag":"STEP","priceCompTier":{"tierSeqNum":"10","upperLimit":"5000.00","lowerLimit":"1000.00","priceCriteria":"NBRTRAN"},"priceCompSequenceNo":"110"},{"priceCompId":"8898575578","valueAmt":"13","priceCompDesc":"Price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8890011164","pricingStatus":"PRPD","printIfZero":"Y","ignoreSw":"N","actionFlag":"OVRD","isEligible":"false","scheduleCode":"MONTHLY","rateSchedule":"DM-NBRST","startDate":"2023-05-16","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</si>
  <si>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8898575600","valueAmt":"12","priceCompDesc":"Price per transaction - Step Tier 1","rcMapId":"2567418376","displaySw":"true","tieredFlag":"STEP","priceCompTier":{"tierSeqNum":"10","upperLimit":"1000.00","lowerLimit":"0.00","priceCriteria":"NBRTRAN"},"priceCompSequenceNo":"100"},{"priceCompId":"8898575601","valueAmt":"13","priceCompDesc":"Price per transaction - Step Tier 2","rcMapId":"7769990702","displaySw":"true","tieredFlag":"STEP","priceCompTier":{"tierSeqNum":"10","upperLimit":"5000.00","lowerLimit":"1000.00","priceCriteria":"NBRTRAN"},"priceCompSequenceNo":"110"},{"priceCompId":"8898575602","valueAmt":"14","priceCompDesc":"Price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8890011176","pricingStatus":"PRPD","printIfZero":"Y","ignoreSw":"N","actionFlag":"OVRD","isEligible":"false","scheduleCode":"MONTHLY","rateSchedule":"DM-NBRST","startDate":"2023-06-15","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</si>
  <si>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8898575579","valueAmt":"11","priceCompDesc":"Threshold price per transaction","rcMapId":"1109655113","displaySw":"true","tieredFlag":"THRS","priceCompTier":{"tierSeqNum":"10","upperLimit":"1000.00","lowerLimit":"0.00","priceCriteria":"NBRTRAN"},"priceCompSequenceNo":"100"},{"priceCompId":"8898575580","valueAmt":"12","priceCompDesc":"Threshold price per transaction","rcMapId":"1109655113","displaySw":"true","tieredFlag":"THRS","priceCompTier":{"tierSeqNum":"10","upperLimit":"5000.00","lowerLimit":"1000.00","priceCriteria":"NBRTRAN"},"priceCompSequenceNo":"110"},{"priceCompId":"8898575581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8890011165","pricingStatus":"PRPD","printIfZero":"Y","ignoreSw":"N","actionFlag":"OVRD","isEligible":"false","scheduleCode":"MONTHLY","rateSchedule":"DM-NBRTH","startDate":"2023-05-16","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</si>
  <si>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8898575606","valueAmt":"12","priceCompDesc":"Threshold price per transaction","rcMapId":"1109655113","displaySw":"true","tieredFlag":"THRS","priceCompTier":{"tierSeqNum":"10","upperLimit":"1000.00","lowerLimit":"0.00","priceCriteria":"NBRTRAN"},"priceCompSequenceNo":"100"},{"priceCompId":"8898575607","valueAmt":"13","priceCompDesc":"Threshold price per transaction","rcMapId":"1109655113","displaySw":"true","tieredFlag":"THRS","priceCompTier":{"tierSeqNum":"10","upperLimit":"5000.00","lowerLimit":"1000.00","priceCriteria":"NBRTRAN"},"priceCompSequenceNo":"110"},{"priceCompId":"8898575608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8890011178","pricingStatus":"PRPD","printIfZero":"Y","ignoreSw":"N","actionFlag":"OVRD","isEligible":"false","scheduleCode":"MONTHLY","rateSchedule":"DM-NBRTH","startDate":"2023-06-15","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</si>
  <si>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8898575583","valueAmt":"3","priceCompDesc":"FLAT","rcMapId":"1705351562","displaySw":"true","tieredFlag":"FLAT","priceCompSequenceNo":"10"},"parameterDetails":[{"parameterCode":"DM_CURRENCY","parameterValue":"INR"},{"parameterCode":"DM_TYPE","parameterValue":"BT"}],"paTypeFlag":"RGLR","priceItemDescription":"V8-Cheque Collections","endDate":"2023-06-14","aggregateSw":"Y","priceItemCode":"PI_028","priceCurrencyCode":"USD","priceAsgnId":"8890011167","pricingStatus":"PRPD","printIfZero":"Y","ignoreSw":"N","actionFlag":"UPD","isEligible":"false","scheduleCode":"MONTHLY","rateSchedule":"DM-RT01","startDate":"2022-11-11","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</si>
  <si>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8898575583","valueAmt":"2","priceCompDesc":"FLAT","rcMapId":"1705351562","displaySw":"true","tieredFlag":"FLAT","priceCompSequenceNo":"10"},"parameterDetails":[{"parameterCode":"DM_CURRENCY","parameterValue":"INR"},{"parameterCode":"DM_TYPE","parameterValue":"BT"}],"paTypeFlag":"RGLR","priceItemDescription":"V8-Cheque Collections","endDate":"2023-07-15","aggregateSw":"N","priceItemCode":"PI_028","priceCurrencyCode":"USD","priceAsgnId":"8890011167","pricingStatus":"PRPD","printIfZero":"Y","ignoreSw":"N","actionFlag":"OVRD","isEligible":"false","scheduleCode":"MONTHLY","rateSchedule":"DM-RT01","startDate":"2023-06-15","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</si>
  <si>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8898575582","valueAmt":"1","priceCompDesc":"FLAT","rcMapId":"1705351562","displaySw":"true","tieredFlag":"FLAT","priceCompSequenceNo":"10"},"paTypeFlag":"RGLR","priceItemDescription":"V8-Cheque Collections","aggregateSw":"Y","priceItemCode":"PI_028","priceCurrencyCode":"USD","priceAsgnId":"8890011166","pricingStatus":"PRPD","printIfZero":"Y","ignoreSw":"N","actionFlag":"UPD","isEligible":"false","scheduleCode":"MONTHLY","rateSchedule":"DM-RT01","startDate":"2022-11-11","assignmentLevel":"Customer Agreed"}]}}}</t>
  </si>
  <si>
    <t>{"C1-DealPriceAsgnCommitmentsREST":{"modelId":"2100390879","dealId":"2355269522","entityType":"PERS","entityId":"8797366188","pricingAndCommitmentsDetails":{"entityDivision":"IND","entityIdentifierType":"COREG","entityType":"PERS","entityId":"8797366188","entityIdentifierValue":"Reg_BANK_82_EPER_001","pricingDetails":[{"txnDailyRatingCrt":"DNRT","priceCompDetails":{"priceCompId":"8898575582","valueAmt":"2","priceCompDesc":"FLAT","rcMapId":"1705351562","displaySw":"true","tieredFlag":"FLAT","priceCompSequenceNo":"10"},"paTypeFlag":"RGLR","priceItemDescription":"V8-Cheque Collections","endDate":"2023-07-15","aggregateSw":"N","priceItemCode":"PI_028","priceCurrencyCode":"USD","priceAsgnId":"8890011166","pricingStatus":"PRPD","printIfZero":"Y","ignoreSw":"N","actionFlag":"OVRD","isEligible":"false","scheduleCode":"MONTHLY","rateSchedule":"DM-RT01","startDate":"2023-06-15","assignmentLevel":"Customer Agreed"}]}}}</t>
  </si>
  <si>
    <t>2131846854</t>
  </si>
  <si>
    <t>Action Flag</t>
  </si>
  <si>
    <t>Reference_Customer_001,IND</t>
  </si>
  <si>
    <t>2946045731</t>
  </si>
  <si>
    <t>EAI_Reference_Customer_001</t>
  </si>
  <si>
    <t>2946045584</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</si>
  <si>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-26","assignmentLevel":"Customer Price List"}]}}}</t>
  </si>
  <si>
    <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</si>
  <si>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1470016012","actionFlag":"OVRD","priceItemCode":"PI_021","priceItemDescription":"V1-Account Opening Fee","pricingStatus":"PRPD","priceCurrencyCode":"USD","rateSchedule":"DM-RT01","startDate":"2023-05-26","isEligible":"false","assignmentLevel":"Customer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</si>
  <si>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1478825784","valueAmt":"12","priceCompDesc":"FLAT","rcMapId":"1705351562","displaySw":"true","tieredFlag":"FLAT","priceCompSequenceNo":"10"},"paTypeFlag":"RGLR","priceItemDescription":"V1-Account Opening Fee","aggregateSw":"N","priceItemCode":"PI_021","priceCurrencyCode":"USD","priceAsgnId":"1470016012","pricingStatus":"PRPD","printIfZero":"Y","ignoreSw":"N","actionFlag":"OVRD","isEligible":"false","scheduleCode":"MONTHLY","rateSchedule":"DM-RT01","startDate":"2023-06-25","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</si>
  <si>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1470016013","actionFlag":"OVRD","priceItemCode":"PI_021","priceItemDescription":"V1-Account Opening Fee","pricingStatus":"PRPD","priceCurrencyCode":"USD","rateSchedule":"DM-RT01","startDate":"2023-06-25","isEligible":"false","assignmentLevel":"Customer Agreed","paTypeFlag":"RGLR","printIfZero":"Y","txnDailyRatingCrt":"DNRT","ignoreSw":"N","aggregateSw":"N","scheduleCode":"MONTHLY","priceCompDetails":{"priceCompId":"1478825784","priceCompDesc":"FLAT","valueAmt":"12","displaySw":"true","rcMapId":"1705351562","tieredFlag":"FLAT","priceCompSequenceNo":"10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</si>
  <si>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-05-26","assignmentLevel":"Customer Price List"}]}}}</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</si>
  <si>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1470016014","actionFlag":"OVRD","priceItemCode":"NPI_036","priceItemDescription":"Price Item NPI_036","pricingStatus":"PRPD","priceCurrencyCode":"USD","rateSchedule":"DM-NBRST","startDate":"2023-05-26","isEligible":"false","assignmentLevel":"Customer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</si>
  <si>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1478825786","valueAmt":"17","priceCompDesc":"Price Per Transaction Step Tier 1","rcMapId":"2567418376","displaySw":"true","tieredFlag":"STEP","priceCompTier":{"tierSeqNum":"10","upperLimit":"1000.00","lowerLimit":"0.00","priceCriteria":"NBRTRAN"},"priceCompSequenceNo":"100"},{"priceCompId":"1478825787","valueAmt":"17","priceCompDesc":"Price Per Transaction Step Tier 2","rcMapId":"7769990702","displaySw":"true","tieredFlag":"STEP","priceCompTier":{"tierSeqNum":"10","upperLimit":"5000.00","lowerLimit":"1000.00","priceCriteria":"NBRTRAN"},"priceCompSequenceNo":"110"},{"priceCompId":"1478825788","valueAmt":"17","priceCompDesc":"Price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1470016014","pricingStatus":"PRPD","printIfZero":"Y","ignoreSw":"N","actionFlag":"OVRD","isEligible":"false","scheduleCode":"MONTHLY","rateSchedule":"DM-NBRST","startDate":"2023-06-25","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</si>
  <si>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1470016015","actionFlag":"OVRD","priceItemCode":"NPI_036","priceItemDescription":"Price Item NPI_036","pricingStatus":"PRPD","priceCurrencyCode":"USD","rateSchedule":"DM-NBRST","startDate":"2023-06-25","isEligible":"false","assignmentLevel":"Customer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1478825786","priceCompDesc":"Price Per Transaction Step Tier 1","valueAmt":"17","displaySw":"true","rcMapId":"2567418376","tieredFlag":"STEP","priceCompSequenceNo":"100"},{"priceCompTier":{"upperLimit":"5000.00","lowerLimit":"1000.00","priceCriteria":"NBRTRAN","tierSeqNum":"10"},"priceCompId":"1478825787","priceCompDesc":"Price Per Transaction Step Tier 2","valueAmt":"17","displaySw":"true","rcMapId":"7769990702","tieredFlag":"STEP","priceCompSequenceNo":"110"},{"priceCompTier":{"upperLimit":"99999999.99","lowerLimit":"5000.00","priceCriteria":"NBRTRAN","tierSeqNum":"10"},"priceCompId":"1478825788","priceCompDesc":"Price Per Transaction Step Tier 3","valueAmt":"17","displaySw":"true","rcMapId":"4322456059","tieredFlag":"STEP","priceCompSequenceNo":"120"}]}}}}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</si>
  <si>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-05-26","assignmentLevel":"Customer Price List"}]}}}</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</si>
  <si>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1470016016","actionFlag":"OVRD","priceItemCode":"NPI_036","priceItemDescription":"Price Item NPI_036","pricingStatus":"PRPD","priceCurrencyCode":"USD","rateSchedule":"DM-NBRTH","startDate":"2023-05-26","isEligible":"false","assignmentLevel":"Customer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</si>
  <si>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1478825792","valueAmt":"17","priceCompDesc":"Threshold price per transaction1","rcMapId":"1109655113","displaySw":"true","tieredFlag":"THRS","priceCompTier":{"tierSeqNum":"10","upperLimit":"1000.00","lowerLimit":"0.00","priceCriteria":"NBRTRAN"},"priceCompSequenceNo":"100"},{"priceCompId":"1478825793","valueAmt":"17","priceCompDesc":"Threshold price per transaction 2","rcMapId":"1109655113","displaySw":"true","tieredFlag":"THRS","priceCompTier":{"tierSeqNum":"10","upperLimit":"5000.00","lowerLimit":"1000.00","priceCriteria":"NBRTRAN"},"priceCompSequenceNo":"110"},{"priceCompId":"1478825794","valueAmt":"17","priceCompDesc":"Threshold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1470016016","pricingStatus":"PRPD","printIfZero":"Y","ignoreSw":"N","actionFlag":"OVRD","isEligible":"false","scheduleCode":"MONTHLY","rateSchedule":"DM-NBRTH","startDate":"2023-06-25","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</si>
  <si>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1470016017","actionFlag":"OVRD","priceItemCode":"NPI_036","priceItemDescription":"Price Item NPI_036","pricingStatus":"PRPD","priceCurrencyCode":"USD","rateSchedule":"DM-NBRTH","startDate":"2023-06-25","isEligible":"false","assignmentLevel":"Customer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1478825792","priceCompDesc":"Threshold price per transaction1","valueAmt":"17","displaySw":"true","rcMapId":"1109655113","tieredFlag":"THRS","priceCompSequenceNo":"100"},{"priceCompTier":{"upperLimit":"5000.00","lowerLimit":"1000.00","priceCriteria":"NBRTRAN","tierSeqNum":"10"},"priceCompId":"1478825793","priceCompDesc":"Threshold price per transaction 2","valueAmt":"17","displaySw":"true","rcMapId":"1109655113","tieredFlag":"THRS","priceCompSequenceNo":"110"},{"priceCompTier":{"upperLimit":"99999999.99","lowerLimit":"5000.00","priceCriteria":"NBRTRAN","tierSeqNum":"10"},"priceCompId":"1478825794","priceCompDesc":"Threshold price per transaction 3","valueAmt":"17","displaySw":"true","rcMapId":"1109655113","tieredFlag":"THRS","priceCompSequenceNo":"120"}]}}}}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</si>
  <si>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-26","assignmentLevel":"Customer Price List"}]}}}</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</si>
  <si>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1470016018","actionFlag":"OVRD","priceItemCode":"PI_022","priceItemDescription":"V2-Monthly Acct Serv Fee","pricingStatus":"PRPD","priceCurrencyCode":"USD","rateSchedule":"DM-RT01","startDate":"2023-05-26","isEligible":"false","assignmentLevel":"Customer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</si>
  <si>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1478825798","valueAmt":"10","priceCompDesc":"FLAT","rcMapId":"1705351562","displaySw":"true","tieredFlag":"FLAT","priceCompSequenceNo":"10"},"paTypeFlag":"RGLR","priceItemDescription":"V2-Monthly Acct Serv Fee","aggregateSw":"N","priceItemCode":"PI_022","priceCurrencyCode":"USD","priceAsgnId":"1470016018","pricingStatus":"PRPD","printIfZero":"Y","ignoreSw":"N","actionFlag":"OVRD","isEligible":"false","scheduleCode":"MONTHLY","rateSchedule":"DM-RT01","startDate":"2023-06-25","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</si>
  <si>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1470016019","actionFlag":"OVRD","priceItemCode":"PI_022","priceItemDescription":"V2-Monthly Acct Serv Fee","pricingStatus":"PRPD","priceCurrencyCode":"USD","rateSchedule":"DM-RT01","startDate":"2023-06-25","isEligible":"false","assignmentLevel":"Customer Agreed","paTypeFlag":"RGLR","printIfZero":"Y","txnDailyRatingCrt":"DNRT","ignoreSw":"N","aggregateSw":"N","scheduleCode":"MONTHLY","priceCompDetails":{"priceCompId":"1478825798","priceCompDesc":"FLAT","valueAmt":"10","displaySw":"true","rcMapId":"1705351562","tieredFlag":"FLAT","priceCompSequenceNo":"10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</si>
  <si>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1478825776","valueAmt":"11","priceCompDesc":"Price per transaction - Step Tier 1","rcMapId":"2567418376","displaySw":"true","tieredFlag":"STEP","priceCompTier":{"tierSeqNum":"10","upperLimit":"1000.00","lowerLimit":"0.00","priceCriteria":"NBRTRAN"},"priceCompSequenceNo":"100"},{"priceCompId":"1478825777","valueAmt":"12","priceCompDesc":"Price per transaction - Step Tier 2","rcMapId":"7769990702","displaySw":"true","tieredFlag":"STEP","priceCompTier":{"tierSeqNum":"10","upperLimit":"5000.00","lowerLimit":"1000.00","priceCriteria":"NBRTRAN"},"priceCompSequenceNo":"110"},{"priceCompId":"1478825778","valueAmt":"13","priceCompDesc":"Price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1470016008","pricingStatus":"PRPD","printIfZero":"Y","ignoreSw":"N","actionFlag":"OVRD","isEligible":"false","scheduleCode":"MONTHLY","rateSchedule":"DM-NBRST","startDate":"2023-05-26","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</si>
  <si>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1470016020","actionFlag":"OVRD","priceItemCode":"PI_024","priceItemDescription":"V4-SEPA Transfers","pricingStatus":"PRPD","priceCurrencyCode":"USD","rateSchedule":"DM-NBRST","startDate":"2023-05-26","isEligible":"false","assignmentLevel":"Customer Agreed","paTypeFlag":"RGLR","printIfZero":"Y","txnDailyRatingCrt":"DNRT","ignoreSw":"N","aggregateSw":"Y","scheduleCode":"MONTHLY","priceCompDetails":[{"priceCompTier":{"upperLimit":"1000.00","lowerLimit":"0.00","priceCriteria":"NBRTRAN","tierSeqNum":"10"},"priceCompId":"1478825776","priceCompDesc":"Price per transaction - Step Tier 1","valueAmt":"11","displaySw":"true","rcMapId":"2567418376","tieredFlag":"STEP","priceCompSequenceNo":"100"},{"priceCompTier":{"upperLimit":"5000.00","lowerLimit":"1000.00","priceCriteria":"NBRTRAN","tierSeqNum":"10"},"priceCompId":"1478825777","priceCompDesc":"Price per transaction - Step Tier 2","valueAmt":"12","displaySw":"true","rcMapId":"7769990702","tieredFlag":"STEP","priceCompSequenceNo":"110"},{"priceCompTier":{"upperLimit":"999999999999.99","lowerLimit":"5000.00","priceCriteria":"NBRTRAN","tierSeqNum":"10"},"priceCompId":"1478825778","priceCompDesc":"Price per transaction - Step Tier 3","valueAmt":"13","displaySw":"true","rcMapId":"4322456059","tieredFlag":"STEP","priceCompSequenceNo":"120"}]}}}}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</si>
  <si>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1478825800","valueAmt":"12","priceCompDesc":"Price per transaction - Step Tier 1","rcMapId":"2567418376","displaySw":"true","tieredFlag":"STEP","priceCompTier":{"tierSeqNum":"10","upperLimit":"1000.00","lowerLimit":"0.00","priceCriteria":"NBRTRAN"},"priceCompSequenceNo":"100"},{"priceCompId":"1478825801","valueAmt":"13","priceCompDesc":"Price per transaction - Step Tier 2","rcMapId":"7769990702","displaySw":"true","tieredFlag":"STEP","priceCompTier":{"tierSeqNum":"10","upperLimit":"5000.00","lowerLimit":"1000.00","priceCriteria":"NBRTRAN"},"priceCompSequenceNo":"110"},{"priceCompId":"1478825802","valueAmt":"14","priceCompDesc":"Price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1470016020","pricingStatus":"PRPD","printIfZero":"Y","ignoreSw":"N","actionFlag":"OVRD","isEligible":"false","scheduleCode":"MONTHLY","rateSchedule":"DM-NBRST","startDate":"2023-06-25","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</si>
  <si>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1470016021","actionFlag":"OVRD","priceItemCode":"PI_024","priceItemDescription":"V4-SEPA Transfers","pricingStatus":"PRPD","priceCurrencyCode":"USD","rateSchedule":"DM-NBRST","startDate":"2023-06-25","isEligible":"false","assignmentLevel":"Customer Agreed","paTypeFlag":"RGLR","printIfZero":"Y","txnDailyRatingCrt":"DNRT","ignoreSw":"N","aggregateSw":"N","scheduleCode":"MONTHLY","priceCompDetails":[{"priceCompTier":{"upperLimit":"1000.00","lowerLimit":"0.00","priceCriteria":"NBRTRAN","tierSeqNum":"10"},"priceCompId":"1478825800","priceCompDesc":"Price per transaction - Step Tier 1","valueAmt":"12","displaySw":"true","rcMapId":"2567418376","tieredFlag":"STEP","priceCompSequenceNo":"100"},{"priceCompTier":{"upperLimit":"5000.00","lowerLimit":"1000.00","priceCriteria":"NBRTRAN","tierSeqNum":"10"},"priceCompId":"1478825801","priceCompDesc":"Price per transaction - Step Tier 2","valueAmt":"13","displaySw":"true","rcMapId":"7769990702","tieredFlag":"STEP","priceCompSequenceNo":"110"},{"priceCompTier":{"upperLimit":"999999999999.99","lowerLimit":"5000.00","priceCriteria":"NBRTRAN","tierSeqNum":"10"},"priceCompId":"1478825802","priceCompDesc":"Price per transaction - Step Tier 3","valueAmt":"14","displaySw":"true","rcMapId":"4322456059","tieredFlag":"STEP","priceCompSequenceNo":"120"}]}}}}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</si>
  <si>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1478825779","valueAmt":"11","priceCompDesc":"Threshold price per transaction","rcMapId":"1109655113","displaySw":"true","tieredFlag":"THRS","priceCompTier":{"tierSeqNum":"10","upperLimit":"1000.00","lowerLimit":"0.00","priceCriteria":"NBRTRAN"},"priceCompSequenceNo":"100"},{"priceCompId":"1478825780","valueAmt":"12","priceCompDesc":"Threshold price per transaction","rcMapId":"1109655113","displaySw":"true","tieredFlag":"THRS","priceCompTier":{"tierSeqNum":"10","upperLimit":"5000.00","lowerLimit":"1000.00","priceCriteria":"NBRTRAN"},"priceCompSequenceNo":"110"},{"priceCompId":"1478825781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1470016009","pricingStatus":"PRPD","printIfZero":"Y","ignoreSw":"N","actionFlag":"OVRD","isEligible":"false","scheduleCode":"MONTHLY","rateSchedule":"DM-NBRTH","startDate":"2023-05-26","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</si>
  <si>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1470016022","actionFlag":"OVRD","priceItemCode":"PI_025","priceItemDescription":"V5-Domestic Funds Transfer Fee","pricingStatus":"PRPD","priceCurrencyCode":"USD","rateSchedule":"DM-NBRTH","startDate":"2023-05-26","isEligible":"false","assignmentLevel":"Customer Agreed","paTypeFlag":"RGLR","printIfZero":"Y","txnDailyRatingCrt":"DNRT","ignoreSw":"N","aggregateSw":"Y","scheduleCode":"MONTHLY","priceCompDetails":[{"priceCompTier":{"upperLimit":"1000.00","lowerLimit":"0.00","priceCriteria":"NBRTRAN","tierSeqNum":"10"},"priceCompId":"1478825779","priceCompDesc":"Threshold price per transaction","valueAmt":"11","displaySw":"true","rcMapId":"1109655113","tieredFlag":"THRS","priceCompSequenceNo":"100"},{"priceCompTier":{"upperLimit":"5000.00","lowerLimit":"1000.00","priceCriteria":"NBRTRAN","tierSeqNum":"10"},"priceCompId":"1478825780","priceCompDesc":"Threshold price per transaction","valueAmt":"12","displaySw":"true","rcMapId":"1109655113","tieredFlag":"THRS","priceCompSequenceNo":"110"},{"priceCompTier":{"upperLimit":"999999999999.99","lowerLimit":"5000.00","priceCriteria":"NBRTRAN","tierSeqNum":"10"},"priceCompId":"1478825781","priceCompDesc":"Threshold price per transaction","valueAmt":"13","displaySw":"true","rcMapId":"1109655113","tieredFlag":"THRS","priceCompSequenceNo":"120"}]}}}}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</si>
  <si>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1478825806","valueAmt":"12","priceCompDesc":"Threshold price per transaction","rcMapId":"1109655113","displaySw":"true","tieredFlag":"THRS","priceCompTier":{"tierSeqNum":"10","upperLimit":"1000.00","lowerLimit":"0.00","priceCriteria":"NBRTRAN"},"priceCompSequenceNo":"100"},{"priceCompId":"1478825807","valueAmt":"13","priceCompDesc":"Threshold price per transaction","rcMapId":"1109655113","displaySw":"true","tieredFlag":"THRS","priceCompTier":{"tierSeqNum":"10","upperLimit":"5000.00","lowerLimit":"1000.00","priceCriteria":"NBRTRAN"},"priceCompSequenceNo":"110"},{"priceCompId":"1478825808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1470016022","pricingStatus":"PRPD","printIfZero":"Y","ignoreSw":"N","actionFlag":"OVRD","isEligible":"false","scheduleCode":"MONTHLY","rateSchedule":"DM-NBRTH","startDate":"2023-06-25","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</si>
  <si>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1470016023","actionFlag":"OVRD","priceItemCode":"PI_025","priceItemDescription":"V5-Domestic Funds Transfer Fee","pricingStatus":"PRPD","priceCurrencyCode":"USD","rateSchedule":"DM-NBRTH","startDate":"2023-06-25","isEligible":"false","assignmentLevel":"Customer Agreed","paTypeFlag":"RGLR","printIfZero":"Y","txnDailyRatingCrt":"DNRT","ignoreSw":"N","aggregateSw":"N","scheduleCode":"MONTHLY","priceCompDetails":[{"priceCompTier":{"upperLimit":"1000.00","lowerLimit":"0.00","priceCriteria":"NBRTRAN","tierSeqNum":"10"},"priceCompId":"1478825806","priceCompDesc":"Threshold price per transaction","valueAmt":"12","displaySw":"true","rcMapId":"1109655113","tieredFlag":"THRS","priceCompSequenceNo":"100"},{"priceCompTier":{"upperLimit":"5000.00","lowerLimit":"1000.00","priceCriteria":"NBRTRAN","tierSeqNum":"10"},"priceCompId":"1478825807","priceCompDesc":"Threshold price per transaction","valueAmt":"13","displaySw":"true","rcMapId":"1109655113","tieredFlag":"THRS","priceCompSequenceNo":"110"},{"priceCompTier":{"upperLimit":"999999999999.99","lowerLimit":"5000.00","priceCriteria":"NBRTRAN","tierSeqNum":"10"},"priceCompId":"1478825808","priceCompDesc":"Threshold price per transaction","valueAmt":"14","displaySw":"true","rcMapId":"1109655113","tieredFlag":"THRS","priceCompSequenceNo":"120"}]}}}}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</si>
  <si>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1478825783","valueAmt":"3","priceCompDesc":"FLAT","rcMapId":"1705351562","displaySw":"true","tieredFlag":"FLAT","priceCompSequenceNo":"10"},"parameterDetails":[{"parameterCode":"DM_CURRENCY","parameterValue":"INR"},{"parameterCode":"DM_TYPE","parameterValue":"BT"}],"paTypeFlag":"RGLR","priceItemDescription":"V8-Cheque Collections","endDate":"2023-06-24","aggregateSw":"Y","priceItemCode":"PI_028","priceCurrencyCode":"USD","priceAsgnId":"1470016011","pricingStatus":"PRPD","printIfZero":"Y","ignoreSw":"N","actionFlag":"UPD","isEligible":"false","scheduleCode":"MONTHLY","rateSchedule":"DM-RT01","startDate":"2022-11-11","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</si>
  <si>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1470016011","actionFlag":"UPD","priceItemCode":"PI_028","priceItemDescription":"V8-Cheque Collections","pricingStatus":"PRPD","priceCurrencyCode":"USD","rateSchedule":"DM-RT01","startDate":"2022-11-11","endDate":"2023-06-24","isEligible":"false","assignmentLevel":"Customer Agreed","paTypeFlag":"RGLR","printIfZero":"Y","parameterDetails":[{"parameterCode":"DM_CURRENCY","parameterValue":"INR"},{"parameterCode":"DM_TYPE","parameterValue":"BT"}],"txnDailyRatingCrt":"DNRT","ignoreSw":"N","aggregateSw":"Y","scheduleCode":"MONTHLY","priceCompDetails":{"priceCompId":"1478825783","priceCompDesc":"FLAT","valueAmt":"3","displaySw":"true","rcMapId":"1705351562","tieredFlag":"FLAT","priceCompSequenceNo":"10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</si>
  <si>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1478825783","valueAmt":"2","priceCompDesc":"FLAT","rcMapId":"1705351562","displaySw":"true","tieredFlag":"FLAT","priceCompSequenceNo":"10"},"parameterDetails":[{"parameterCode":"DM_CURRENCY","parameterValue":"INR"},{"parameterCode":"DM_TYPE","parameterValue":"BT"}],"paTypeFlag":"RGLR","priceItemDescription":"V8-Cheque Collections","endDate":"2023-07-25","aggregateSw":"N","priceItemCode":"PI_028","priceCurrencyCode":"USD","priceAsgnId":"1470016011","pricingStatus":"PRPD","printIfZero":"Y","ignoreSw":"N","actionFlag":"OVRD","isEligible":"false","scheduleCode":"MONTHLY","rateSchedule":"DM-RT01","startDate":"2023-06-25","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</si>
  <si>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1470016024","actionFlag":"OVRD","priceItemCode":"PI_028","priceItemDescription":"V8-Cheque Collections","pricingStatus":"PRPD","priceCurrencyCode":"USD","rateSchedule":"DM-RT01","startDate":"2023-06-25","endDate":"2023-07-25","isEligible":"false","assignmentLevel":"Customer Agreed","paTypeFlag":"RGLR","printIfZero":"Y","parameterDetails":[{"parameterCode":"DM_CURRENCY","parameterValue":"INR"},{"parameterCode":"DM_TYPE","parameterValue":"BT"}],"txnDailyRatingCrt":"DNRT","ignoreSw":"N","aggregateSw":"N","scheduleCode":"MONTHLY","priceCompDetails":{"priceCompId":"1478825783","priceCompDesc":"FLAT","valueAmt":"2","displaySw":"true","rcMapId":"1705351562","tieredFlag":"FLAT","priceCompSequenceNo":"10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</si>
  <si>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1478825782","valueAmt":"1","priceCompDesc":"FLAT","rcMapId":"1705351562","displaySw":"true","tieredFlag":"FLAT","priceCompSequenceNo":"10"},"paTypeFlag":"RGLR","priceItemDescription":"V8-Cheque Collections","aggregateSw":"Y","priceItemCode":"PI_028","priceCurrencyCode":"USD","priceAsgnId":"1470016010","pricingStatus":"PRPD","printIfZero":"Y","ignoreSw":"N","actionFlag":"UPD","isEligible":"false","scheduleCode":"MONTHLY","rateSchedule":"DM-RT01","startDate":"2022-11-11","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</si>
  <si>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1470016010","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1478825782","priceCompDesc":"FLAT","valueAmt":"1","displaySw":"true","rcMapId":"1705351562","tieredFlag":"FLAT","priceCompSequenceNo":"10"}}}}}</t>
  </si>
  <si>
    <t>{"C1-DealPriceAsgnCommitmentsREST":{"modelId":"9591009324","dealId":"9835218587","entityType":"PERS","entityId":"8797366188","pricingAndCommitmentsDetails":{"entityDivision":"IND","entityIdentifierType":"COREG","entityType":"PERS","entityId":"8797366188","entityIdentifierValue":"Reg_BANK_82_EPER_001","pricingDetails":[{"txnDailyRatingCrt":"DNRT","priceCompDetails":{"priceCompId":"1478825782","valueAmt":"2","priceCompDesc":"FLAT","rcMapId":"1705351562","displaySw":"true","tieredFlag":"FLAT","priceCompSequenceNo":"10"},"paTypeFlag":"RGLR","priceItemDescription":"V8-Cheque Collections","endDate":"2023-07-25","aggregateSw":"N","priceItemCode":"PI_028","priceCurrencyCode":"USD","priceAsgnId":"1470016010","pricingStatus":"PRPD","printIfZero":"Y","ignoreSw":"N","actionFlag":"OVRD","isEligible":"false","scheduleCode":"MONTHLY","rateSchedule":"DM-RT01","startDate":"2023-06-25","assignmentLevel":"Customer Agreed"}]}}}</t>
  </si>
  <si>
    <t>{"C1-DealPriceAsgnCommitmentsREST":{"dealId":"9835218587","modelId":"9591009324","entityId":"8797366188","entityType":"PERS","pricingAndCommitmentsDetails":{"entityId":"8797366188","entityType":"PERS","entityIdentifierValue":"Reg_BANK_82_EPER_001","entityIdentifierType":"COREG","entityDivision":"IND","pricingDetails":{"priceAsgnId":"1470016025","actionFlag":"OVRD","priceItemCode":"PI_028","priceItemDescription":"V8-Cheque Collections","pricingStatus":"PRPD","priceCurrencyCode":"USD","rateSchedule":"DM-RT01","startDate":"2023-06-25","endDate":"2023-07-25","isEligible":"false","assignmentLevel":"Customer Agreed","paTypeFlag":"RGLR","printIfZero":"Y","txnDailyRatingCrt":"DNRT","ignoreSw":"N","aggregateSw":"N","scheduleCode":"MONTHLY","priceCompDetails":{"priceCompId":"1478825782","priceCompDesc":"FLAT","valueAmt":"2","displaySw":"true","rcMapId":"1705351562","tieredFlag":"FLAT","priceCompSequenceNo":"10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</si>
  <si>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-29","assignmentLevel":"Customer Price List"}]}}}</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</si>
  <si>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4770015846","actionFlag":"OVRD","priceItemCode":"PI_021","priceItemDescription":"V1-Account Opening Fee","pricingStatus":"PRPD","priceCurrencyCode":"USD","rateSchedule":"DM-RT01","startDate":"2023-06-29","isEligible":"false","assignmentLevel":"Customer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</si>
  <si>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4778602841","valueAmt":"12","priceCompDesc":"FLAT","rcMapId":"1705351562","displaySw":"true","tieredFlag":"FLAT","priceCompSequenceNo":"10"},"paTypeFlag":"RGLR","priceItemDescription":"V1-Account Opening Fee","aggregateSw":"N","priceItemCode":"PI_021","priceCurrencyCode":"USD","priceAsgnId":"4770015846","pricingStatus":"PRPD","printIfZero":"Y","ignoreSw":"N","actionFlag":"OVRD","isEligible":"false","scheduleCode":"MONTHLY","rateSchedule":"DM-RT01","startDate":"2023-07-29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</si>
  <si>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4770015847","actionFlag":"OVRD","priceItemCode":"PI_021","priceItemDescription":"V1-Account Opening Fee","pricingStatus":"PRPD","priceCurrencyCode":"USD","rateSchedule":"DM-RT01","startDate":"2023-07-29","isEligible":"false","assignmentLevel":"Customer Agreed","paTypeFlag":"RGLR","printIfZero":"Y","txnDailyRatingCrt":"DNRT","ignoreSw":"N","aggregateSw":"N","scheduleCode":"MONTHLY","priceCompDetails":{"priceCompId":"4778602841","priceCompDesc":"FLAT","valueAmt":"12","displaySw":"true","rcMapId":"1705351562","tieredFlag":"FLAT","priceCompSequenceNo":"10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</si>
  <si>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-06-29","assignmentLevel":"Customer Price List"}]}}}</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</si>
  <si>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4770015848","actionFlag":"OVRD","priceItemCode":"NPI_036","priceItemDescription":"Price Item NPI_036","pricingStatus":"PRPD","priceCurrencyCode":"USD","rateSchedule":"DM-NBRST","startDate":"2023-06-29","isEligible":"false","assignmentLevel":"Customer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</si>
  <si>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4778602843","valueAmt":"17","priceCompDesc":"Price Per Transaction Step Tier 1","rcMapId":"2567418376","displaySw":"true","tieredFlag":"STEP","priceCompTier":{"tierSeqNum":"10","upperLimit":"1000.00","lowerLimit":"0.00","priceCriteria":"NBRTRAN"},"priceCompSequenceNo":"100"},{"priceCompId":"4778602844","valueAmt":"17","priceCompDesc":"Price Per Transaction Step Tier 2","rcMapId":"7769990702","displaySw":"true","tieredFlag":"STEP","priceCompTier":{"tierSeqNum":"10","upperLimit":"5000.00","lowerLimit":"1000.00","priceCriteria":"NBRTRAN"},"priceCompSequenceNo":"110"},{"priceCompId":"4778602845","valueAmt":"17","priceCompDesc":"Price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4770015848","pricingStatus":"PRPD","printIfZero":"Y","ignoreSw":"N","actionFlag":"OVRD","isEligible":"false","scheduleCode":"MONTHLY","rateSchedule":"DM-NBRST","startDate":"2023-07-29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</si>
  <si>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4770015849","actionFlag":"OVRD","priceItemCode":"NPI_036","priceItemDescription":"Price Item NPI_036","pricingStatus":"PRPD","priceCurrencyCode":"USD","rateSchedule":"DM-NBRST","startDate":"2023-07-29","isEligible":"false","assignmentLevel":"Customer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4778602843","priceCompDesc":"Price Per Transaction Step Tier 1","valueAmt":"17","displaySw":"true","rcMapId":"2567418376","tieredFlag":"STEP","priceCompSequenceNo":"100"},{"priceCompTier":{"upperLimit":"5000.00","lowerLimit":"1000.00","priceCriteria":"NBRTRAN","tierSeqNum":"10"},"priceCompId":"4778602844","priceCompDesc":"Price Per Transaction Step Tier 2","valueAmt":"17","displaySw":"true","rcMapId":"7769990702","tieredFlag":"STEP","priceCompSequenceNo":"110"},{"priceCompTier":{"upperLimit":"99999999.99","lowerLimit":"5000.00","priceCriteria":"NBRTRAN","tierSeqNum":"10"},"priceCompId":"4778602845","priceCompDesc":"Price Per Transaction Step Tier 3","valueAmt":"17","displaySw":"true","rcMapId":"4322456059","tieredFlag":"STEP","priceCompSequenceNo":"120"}]}}}}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</si>
  <si>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-06-29","assignmentLevel":"Customer Price List"}]}}}</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</si>
  <si>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4770015850","actionFlag":"OVRD","priceItemCode":"NPI_036","priceItemDescription":"Price Item NPI_036","pricingStatus":"PRPD","priceCurrencyCode":"USD","rateSchedule":"DM-NBRTH","startDate":"2023-06-29","isEligible":"false","assignmentLevel":"Customer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</si>
  <si>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4778602849","valueAmt":"17","priceCompDesc":"Threshold price per transaction1","rcMapId":"1109655113","displaySw":"true","tieredFlag":"THRS","priceCompTier":{"tierSeqNum":"10","upperLimit":"1000.00","lowerLimit":"0.00","priceCriteria":"NBRTRAN"},"priceCompSequenceNo":"100"},{"priceCompId":"4778602850","valueAmt":"17","priceCompDesc":"Threshold price per transaction 2","rcMapId":"1109655113","displaySw":"true","tieredFlag":"THRS","priceCompTier":{"tierSeqNum":"10","upperLimit":"5000.00","lowerLimit":"1000.00","priceCriteria":"NBRTRAN"},"priceCompSequenceNo":"110"},{"priceCompId":"4778602851","valueAmt":"17","priceCompDesc":"Threshold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4770015850","pricingStatus":"PRPD","printIfZero":"Y","ignoreSw":"N","actionFlag":"OVRD","isEligible":"false","scheduleCode":"MONTHLY","rateSchedule":"DM-NBRTH","startDate":"2023-07-29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</si>
  <si>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4770015851","actionFlag":"OVRD","priceItemCode":"NPI_036","priceItemDescription":"Price Item NPI_036","pricingStatus":"PRPD","priceCurrencyCode":"USD","rateSchedule":"DM-NBRTH","startDate":"2023-07-29","isEligible":"false","assignmentLevel":"Customer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4778602849","priceCompDesc":"Threshold price per transaction1","valueAmt":"17","displaySw":"true","rcMapId":"1109655113","tieredFlag":"THRS","priceCompSequenceNo":"100"},{"priceCompTier":{"upperLimit":"5000.00","lowerLimit":"1000.00","priceCriteria":"NBRTRAN","tierSeqNum":"10"},"priceCompId":"4778602850","priceCompDesc":"Threshold price per transaction 2","valueAmt":"17","displaySw":"true","rcMapId":"1109655113","tieredFlag":"THRS","priceCompSequenceNo":"110"},{"priceCompTier":{"upperLimit":"99999999.99","lowerLimit":"5000.00","priceCriteria":"NBRTRAN","tierSeqNum":"10"},"priceCompId":"4778602851","priceCompDesc":"Threshold price per transaction 3","valueAmt":"17","displaySw":"true","rcMapId":"1109655113","tieredFlag":"THRS","priceCompSequenceNo":"120"}]}}}}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</si>
  <si>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-06-29","assignmentLevel":"Customer Price List"}]}}}</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</si>
  <si>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4770015852","actionFlag":"OVRD","priceItemCode":"PI_022","priceItemDescription":"V2-Monthly Acct Serv Fee","pricingStatus":"PRPD","priceCurrencyCode":"USD","rateSchedule":"DM-RT01","startDate":"2023-06-29","isEligible":"false","assignmentLevel":"Customer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</si>
  <si>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4778602855","valueAmt":"10","priceCompDesc":"FLAT","rcMapId":"1705351562","displaySw":"true","tieredFlag":"FLAT","priceCompSequenceNo":"10"},"paTypeFlag":"RGLR","priceItemDescription":"V2-Monthly Acct Serv Fee","aggregateSw":"N","priceItemCode":"PI_022","priceCurrencyCode":"USD","priceAsgnId":"4770015852","pricingStatus":"PRPD","printIfZero":"Y","ignoreSw":"N","actionFlag":"OVRD","isEligible":"false","scheduleCode":"MONTHLY","rateSchedule":"DM-RT01","startDate":"2023-07-29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</si>
  <si>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4770015853","actionFlag":"OVRD","priceItemCode":"PI_022","priceItemDescription":"V2-Monthly Acct Serv Fee","pricingStatus":"PRPD","priceCurrencyCode":"USD","rateSchedule":"DM-RT01","startDate":"2023-07-29","isEligible":"false","assignmentLevel":"Customer Agreed","paTypeFlag":"RGLR","printIfZero":"Y","txnDailyRatingCrt":"DNRT","ignoreSw":"N","aggregateSw":"N","scheduleCode":"MONTHLY","priceCompDetails":{"priceCompId":"4778602855","priceCompDesc":"FLAT","valueAmt":"10","displaySw":"true","rcMapId":"1705351562","tieredFlag":"FLAT","priceCompSequenceNo":"10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</si>
  <si>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4778602817","valueAmt":"11","priceCompDesc":"Price per transaction - Step Tier 1","rcMapId":"2567418376","displaySw":"true","tieredFlag":"STEP","priceCompTier":{"tierSeqNum":"10","upperLimit":"1000.00","lowerLimit":"0.00","priceCriteria":"NBRTRAN"},"priceCompSequenceNo":"100"},{"priceCompId":"4778602818","valueAmt":"12","priceCompDesc":"Price per transaction - Step Tier 2","rcMapId":"7769990702","displaySw":"true","tieredFlag":"STEP","priceCompTier":{"tierSeqNum":"10","upperLimit":"5000.00","lowerLimit":"1000.00","priceCriteria":"NBRTRAN"},"priceCompSequenceNo":"110"},{"priceCompId":"4778602819","valueAmt":"13","priceCompDesc":"Price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4770015834","pricingStatus":"PRPD","printIfZero":"Y","ignoreSw":"N","actionFlag":"OVRD","isEligible":"false","scheduleCode":"MONTHLY","rateSchedule":"DM-NBRST","startDate":"2023-06-29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</si>
  <si>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4770015854","actionFlag":"OVRD","priceItemCode":"PI_024","priceItemDescription":"V4-SEPA Transfers","pricingStatus":"PRPD","priceCurrencyCode":"USD","rateSchedule":"DM-NBRST","startDate":"2023-06-29","isEligible":"false","assignmentLevel":"Customer Agreed","paTypeFlag":"RGLR","printIfZero":"Y","txnDailyRatingCrt":"DNRT","ignoreSw":"N","aggregateSw":"Y","scheduleCode":"MONTHLY","priceCompDetails":[{"priceCompTier":{"upperLimit":"1000.00","lowerLimit":"0.00","priceCriteria":"NBRTRAN","tierSeqNum":"10"},"priceCompId":"4778602817","priceCompDesc":"Price per transaction - Step Tier 1","valueAmt":"11","displaySw":"true","rcMapId":"2567418376","tieredFlag":"STEP","priceCompSequenceNo":"100"},{"priceCompTier":{"upperLimit":"5000.00","lowerLimit":"1000.00","priceCriteria":"NBRTRAN","tierSeqNum":"10"},"priceCompId":"4778602818","priceCompDesc":"Price per transaction - Step Tier 2","valueAmt":"12","displaySw":"true","rcMapId":"7769990702","tieredFlag":"STEP","priceCompSequenceNo":"110"},{"priceCompTier":{"upperLimit":"999999999999.99","lowerLimit":"5000.00","priceCriteria":"NBRTRAN","tierSeqNum":"10"},"priceCompId":"4778602819","priceCompDesc":"Price per transaction - Step Tier 3","valueAmt":"13","displaySw":"true","rcMapId":"4322456059","tieredFlag":"STEP","priceCompSequenceNo":"120"}]}}}}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</si>
  <si>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4778602857","valueAmt":"12","priceCompDesc":"Price per transaction - Step Tier 1","rcMapId":"2567418376","displaySw":"true","tieredFlag":"STEP","priceCompTier":{"tierSeqNum":"10","upperLimit":"1000.00","lowerLimit":"0.00","priceCriteria":"NBRTRAN"},"priceCompSequenceNo":"100"},{"priceCompId":"4778602858","valueAmt":"13","priceCompDesc":"Price per transaction - Step Tier 2","rcMapId":"7769990702","displaySw":"true","tieredFlag":"STEP","priceCompTier":{"tierSeqNum":"10","upperLimit":"5000.00","lowerLimit":"1000.00","priceCriteria":"NBRTRAN"},"priceCompSequenceNo":"110"},{"priceCompId":"4778602859","valueAmt":"14","priceCompDesc":"Price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4770015854","pricingStatus":"PRPD","printIfZero":"Y","ignoreSw":"N","actionFlag":"OVRD","isEligible":"false","scheduleCode":"MONTHLY","rateSchedule":"DM-NBRST","startDate":"2023-07-29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</si>
  <si>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4770015855","actionFlag":"OVRD","priceItemCode":"PI_024","priceItemDescription":"V4-SEPA Transfers","pricingStatus":"PRPD","priceCurrencyCode":"USD","rateSchedule":"DM-NBRST","startDate":"2023-07-29","isEligible":"false","assignmentLevel":"Customer Agreed","paTypeFlag":"RGLR","printIfZero":"Y","txnDailyRatingCrt":"DNRT","ignoreSw":"N","aggregateSw":"N","scheduleCode":"MONTHLY","priceCompDetails":[{"priceCompTier":{"upperLimit":"1000.00","lowerLimit":"0.00","priceCriteria":"NBRTRAN","tierSeqNum":"10"},"priceCompId":"4778602857","priceCompDesc":"Price per transaction - Step Tier 1","valueAmt":"12","displaySw":"true","rcMapId":"2567418376","tieredFlag":"STEP","priceCompSequenceNo":"100"},{"priceCompTier":{"upperLimit":"5000.00","lowerLimit":"1000.00","priceCriteria":"NBRTRAN","tierSeqNum":"10"},"priceCompId":"4778602858","priceCompDesc":"Price per transaction - Step Tier 2","valueAmt":"13","displaySw":"true","rcMapId":"7769990702","tieredFlag":"STEP","priceCompSequenceNo":"110"},{"priceCompTier":{"upperLimit":"999999999999.99","lowerLimit":"5000.00","priceCriteria":"NBRTRAN","tierSeqNum":"10"},"priceCompId":"4778602859","priceCompDesc":"Price per transaction - Step Tier 3","valueAmt":"14","displaySw":"true","rcMapId":"4322456059","tieredFlag":"STEP","priceCompSequenceNo":"120"}]}}}}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</si>
  <si>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4778602820","valueAmt":"11","priceCompDesc":"Threshold price per transaction","rcMapId":"1109655113","displaySw":"true","tieredFlag":"THRS","priceCompTier":{"tierSeqNum":"10","upperLimit":"1000.00","lowerLimit":"0.00","priceCriteria":"NBRTRAN"},"priceCompSequenceNo":"100"},{"priceCompId":"4778602821","valueAmt":"12","priceCompDesc":"Threshold price per transaction","rcMapId":"1109655113","displaySw":"true","tieredFlag":"THRS","priceCompTier":{"tierSeqNum":"10","upperLimit":"5000.00","lowerLimit":"1000.00","priceCriteria":"NBRTRAN"},"priceCompSequenceNo":"110"},{"priceCompId":"4778602822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4770015835","pricingStatus":"PRPD","printIfZero":"Y","ignoreSw":"N","actionFlag":"OVRD","isEligible":"false","scheduleCode":"MONTHLY","rateSchedule":"DM-NBRTH","startDate":"2023-06-29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</si>
  <si>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4770015856","actionFlag":"OVRD","priceItemCode":"PI_025","priceItemDescription":"V5-Domestic Funds Transfer Fee","pricingStatus":"PRPD","priceCurrencyCode":"USD","rateSchedule":"DM-NBRTH","startDate":"2023-06-29","isEligible":"false","assignmentLevel":"Customer Agreed","paTypeFlag":"RGLR","printIfZero":"Y","txnDailyRatingCrt":"DNRT","ignoreSw":"N","aggregateSw":"Y","scheduleCode":"MONTHLY","priceCompDetails":[{"priceCompTier":{"upperLimit":"1000.00","lowerLimit":"0.00","priceCriteria":"NBRTRAN","tierSeqNum":"10"},"priceCompId":"4778602820","priceCompDesc":"Threshold price per transaction","valueAmt":"11","displaySw":"true","rcMapId":"1109655113","tieredFlag":"THRS","priceCompSequenceNo":"100"},{"priceCompTier":{"upperLimit":"5000.00","lowerLimit":"1000.00","priceCriteria":"NBRTRAN","tierSeqNum":"10"},"priceCompId":"4778602821","priceCompDesc":"Threshold price per transaction","valueAmt":"12","displaySw":"true","rcMapId":"1109655113","tieredFlag":"THRS","priceCompSequenceNo":"110"},{"priceCompTier":{"upperLimit":"999999999999.99","lowerLimit":"5000.00","priceCriteria":"NBRTRAN","tierSeqNum":"10"},"priceCompId":"4778602822","priceCompDesc":"Threshold price per transaction","valueAmt":"13","displaySw":"true","rcMapId":"1109655113","tieredFlag":"THRS","priceCompSequenceNo":"120"}]}}}}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</si>
  <si>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4778602863","valueAmt":"12","priceCompDesc":"Threshold price per transaction","rcMapId":"1109655113","displaySw":"true","tieredFlag":"THRS","priceCompTier":{"tierSeqNum":"10","upperLimit":"1000.00","lowerLimit":"0.00","priceCriteria":"NBRTRAN"},"priceCompSequenceNo":"100"},{"priceCompId":"4778602864","valueAmt":"13","priceCompDesc":"Threshold price per transaction","rcMapId":"1109655113","displaySw":"true","tieredFlag":"THRS","priceCompTier":{"tierSeqNum":"10","upperLimit":"5000.00","lowerLimit":"1000.00","priceCriteria":"NBRTRAN"},"priceCompSequenceNo":"110"},{"priceCompId":"4778602865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4770015856","pricingStatus":"PRPD","printIfZero":"Y","ignoreSw":"N","actionFlag":"OVRD","isEligible":"false","scheduleCode":"MONTHLY","rateSchedule":"DM-NBRTH","startDate":"2023-07-29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</si>
  <si>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4770015857","actionFlag":"OVRD","priceItemCode":"PI_025","priceItemDescription":"V5-Domestic Funds Transfer Fee","pricingStatus":"PRPD","priceCurrencyCode":"USD","rateSchedule":"DM-NBRTH","startDate":"2023-07-29","isEligible":"false","assignmentLevel":"Customer Agreed","paTypeFlag":"RGLR","printIfZero":"Y","txnDailyRatingCrt":"DNRT","ignoreSw":"N","aggregateSw":"N","scheduleCode":"MONTHLY","priceCompDetails":[{"priceCompTier":{"upperLimit":"1000.00","lowerLimit":"0.00","priceCriteria":"NBRTRAN","tierSeqNum":"10"},"priceCompId":"4778602863","priceCompDesc":"Threshold price per transaction","valueAmt":"12","displaySw":"true","rcMapId":"1109655113","tieredFlag":"THRS","priceCompSequenceNo":"100"},{"priceCompTier":{"upperLimit":"5000.00","lowerLimit":"1000.00","priceCriteria":"NBRTRAN","tierSeqNum":"10"},"priceCompId":"4778602864","priceCompDesc":"Threshold price per transaction","valueAmt":"13","displaySw":"true","rcMapId":"1109655113","tieredFlag":"THRS","priceCompSequenceNo":"110"},{"priceCompTier":{"upperLimit":"999999999999.99","lowerLimit":"5000.00","priceCriteria":"NBRTRAN","tierSeqNum":"10"},"priceCompId":"4778602865","priceCompDesc":"Threshold price per transaction","valueAmt":"14","displaySw":"true","rcMapId":"1109655113","tieredFlag":"THRS","priceCompSequenceNo":"120"}]}}}}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</si>
  <si>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4778602824","valueAmt":"3","priceCompDesc":"FLAT","rcMapId":"1705351562","displaySw":"true","tieredFlag":"FLAT","priceCompSequenceNo":"10"},"parameterDetails":[{"parameterCode":"DM_CURRENCY","parameterValue":"INR"},{"parameterCode":"DM_TYPE","parameterValue":"BT"}],"paTypeFlag":"RGLR","priceItemDescription":"V8-Cheque Collections","endDate":"2023-07-28","aggregateSw":"Y","priceItemCode":"PI_028","priceCurrencyCode":"USD","priceAsgnId":"4770015837","pricingStatus":"PRPD","printIfZero":"Y","ignoreSw":"N","actionFlag":"UPD","isEligible":"false","scheduleCode":"MONTHLY","rateSchedule":"DM-RT01","startDate":"2022-11-11","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</si>
  <si>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4770015837","actionFlag":"UPD","priceItemCode":"PI_028","priceItemDescription":"V8-Cheque Collections","pricingStatus":"PRPD","priceCurrencyCode":"USD","rateSchedule":"DM-RT01","startDate":"2022-11-11","endDate":"2023-07-28","isEligible":"false","assignmentLevel":"Customer Agreed","paTypeFlag":"RGLR","printIfZero":"Y","parameterDetails":[{"parameterCode":"DM_CURRENCY","parameterValue":"INR"},{"parameterCode":"DM_TYPE","parameterValue":"BT"}],"txnDailyRatingCrt":"DNRT","ignoreSw":"N","aggregateSw":"Y","scheduleCode":"MONTHLY","priceCompDetails":{"priceCompId":"4778602824","priceCompDesc":"FLAT","valueAmt":"3","displaySw":"true","rcMapId":"1705351562","tieredFlag":"FLAT","priceCompSequenceNo":"10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</si>
  <si>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4778602824","valueAmt":"2","priceCompDesc":"FLAT","rcMapId":"1705351562","displaySw":"true","tieredFlag":"FLAT","priceCompSequenceNo":"10"},"parameterDetails":[{"parameterCode":"DM_CURRENCY","parameterValue":"INR"},{"parameterCode":"DM_TYPE","parameterValue":"BT"}],"paTypeFlag":"RGLR","priceItemDescription":"V8-Cheque Collections","endDate":"2023-08-28","aggregateSw":"N","priceItemCode":"PI_028","priceCurrencyCode":"USD","priceAsgnId":"4770015837","pricingStatus":"PRPD","printIfZero":"Y","ignoreSw":"N","actionFlag":"OVRD","isEligible":"false","scheduleCode":"MONTHLY","rateSchedule":"DM-RT01","startDate":"2023-07-29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</si>
  <si>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4770015858","actionFlag":"OVRD","priceItemCode":"PI_028","priceItemDescription":"V8-Cheque Collections","pricingStatus":"PRPD","priceCurrencyCode":"USD","rateSchedule":"DM-RT01","startDate":"2023-07-29","endDate":"2023-08-28","isEligible":"false","assignmentLevel":"Customer Agreed","paTypeFlag":"RGLR","printIfZero":"Y","parameterDetails":[{"parameterCode":"DM_CURRENCY","parameterValue":"INR"},{"parameterCode":"DM_TYPE","parameterValue":"BT"}],"txnDailyRatingCrt":"DNRT","ignoreSw":"N","aggregateSw":"N","scheduleCode":"MONTHLY","priceCompDetails":{"priceCompId":"4778602824","priceCompDesc":"FLAT","valueAmt":"2","displaySw":"true","rcMapId":"1705351562","tieredFlag":"FLAT","priceCompSequenceNo":"10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</si>
  <si>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4778602823","valueAmt":"1","priceCompDesc":"FLAT","rcMapId":"1705351562","displaySw":"true","tieredFlag":"FLAT","priceCompSequenceNo":"10"},"paTypeFlag":"RGLR","priceItemDescription":"V8-Cheque Collections","aggregateSw":"Y","priceItemCode":"PI_028","priceCurrencyCode":"USD","priceAsgnId":"4770015836","pricingStatus":"PRPD","printIfZero":"Y","ignoreSw":"N","actionFlag":"UPD","isEligible":"false","scheduleCode":"MONTHLY","rateSchedule":"DM-RT01","startDate":"2022-11-11","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</si>
  <si>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4770015836","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4778602823","priceCompDesc":"FLAT","valueAmt":"1","displaySw":"true","rcMapId":"1705351562","tieredFlag":"FLAT","priceCompSequenceNo":"10"}}}}}</t>
  </si>
  <si>
    <t>{"C1-DealPriceAsgnCommitmentsREST":{"modelId":"5380780439","dealId":"6503472635","entityType":"PERS","entityId":"8797366188","pricingAndCommitmentsDetails":{"entityDivision":"IND","entityIdentifierType":"COREG","entityType":"PERS","entityId":"8797366188","entityIdentifierValue":"Reg_BANK_82_EPER_001","pricingDetails":[{"txnDailyRatingCrt":"DNRT","priceCompDetails":{"priceCompId":"4778602823","valueAmt":"2","priceCompDesc":"FLAT","rcMapId":"1705351562","displaySw":"true","tieredFlag":"FLAT","priceCompSequenceNo":"10"},"paTypeFlag":"RGLR","priceItemDescription":"V8-Cheque Collections","endDate":"2023-08-28","aggregateSw":"N","priceItemCode":"PI_028","priceCurrencyCode":"USD","priceAsgnId":"4770015836","pricingStatus":"PRPD","printIfZero":"Y","ignoreSw":"N","actionFlag":"OVRD","isEligible":"false","scheduleCode":"MONTHLY","rateSchedule":"DM-RT01","startDate":"2023-07-29","assignmentLevel":"Customer Agreed"}]}}}</t>
  </si>
  <si>
    <t>{"C1-DealPriceAsgnCommitmentsREST":{"dealId":"6503472635","modelId":"5380780439","entityId":"8797366188","entityType":"PERS","pricingAndCommitmentsDetails":{"entityId":"8797366188","entityType":"PERS","entityIdentifierValue":"Reg_BANK_82_EPER_001","entityIdentifierType":"COREG","entityDivision":"IND","pricingDetails":{"priceAsgnId":"4770015859","actionFlag":"OVRD","priceItemCode":"PI_028","priceItemDescription":"V8-Cheque Collections","pricingStatus":"PRPD","priceCurrencyCode":"USD","rateSchedule":"DM-RT01","startDate":"2023-07-29","endDate":"2023-08-28","isEligible":"false","assignmentLevel":"Customer Agreed","paTypeFlag":"RGLR","printIfZero":"Y","txnDailyRatingCrt":"DNRT","ignoreSw":"N","aggregateSw":"N","scheduleCode":"MONTHLY","priceCompDetails":{"priceCompId":"4778602823","priceCompDesc":"FLAT","valueAmt":"2","displaySw":"true","rcMapId":"1705351562","tieredFlag":"FLAT","priceCompSequenceNo":"10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</si>
  <si>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-29","assignmentLevel":"Customer Price List"}]}}}</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</si>
  <si>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6900014178","actionFlag":"OVRD","priceItemCode":"PI_021","priceItemDescription":"V1-Account Opening Fee","pricingStatus":"PRPD","priceCurrencyCode":"USD","rateSchedule":"DM-RT01","startDate":"2023-06-29","isEligible":"false","assignmentLevel":"Customer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</si>
  <si>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6908600258","valueAmt":"12","priceCompDesc":"FLAT","rcMapId":"1705351562","displaySw":"true","tieredFlag":"FLAT","priceCompSequenceNo":"10"},"paTypeFlag":"RGLR","priceItemDescription":"V1-Account Opening Fee","aggregateSw":"N","priceItemCode":"PI_021","priceCurrencyCode":"USD","priceAsgnId":"6900014178","pricingStatus":"PRPD","printIfZero":"Y","ignoreSw":"N","actionFlag":"OVRD","isEligible":"false","scheduleCode":"MONTHLY","rateSchedule":"DM-RT01","startDate":"2023-07-29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</si>
  <si>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6900014179","actionFlag":"OVRD","priceItemCode":"PI_021","priceItemDescription":"V1-Account Opening Fee","pricingStatus":"PRPD","priceCurrencyCode":"USD","rateSchedule":"DM-RT01","startDate":"2023-07-29","isEligible":"false","assignmentLevel":"Customer Agreed","paTypeFlag":"RGLR","printIfZero":"Y","txnDailyRatingCrt":"DNRT","ignoreSw":"N","aggregateSw":"N","scheduleCode":"MONTHLY","priceCompDetails":{"priceCompId":"6908600258","priceCompDesc":"FLAT","valueAmt":"12","displaySw":"true","rcMapId":"1705351562","tieredFlag":"FLAT","priceCompSequenceNo":"10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</si>
  <si>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-06-29","assignmentLevel":"Customer Price List"}]}}}</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</si>
  <si>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6900014180","actionFlag":"OVRD","priceItemCode":"NPI_036","priceItemDescription":"Price Item NPI_036","pricingStatus":"PRPD","priceCurrencyCode":"USD","rateSchedule":"DM-NBRST","startDate":"2023-06-29","isEligible":"false","assignmentLevel":"Customer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</si>
  <si>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6908600260","valueAmt":"17","priceCompDesc":"Price Per Transaction Step Tier 1","rcMapId":"2567418376","displaySw":"true","tieredFlag":"STEP","priceCompTier":{"tierSeqNum":"10","upperLimit":"1000.00","lowerLimit":"0.00","priceCriteria":"NBRTRAN"},"priceCompSequenceNo":"100"},{"priceCompId":"6908600261","valueAmt":"17","priceCompDesc":"Price Per Transaction Step Tier 2","rcMapId":"7769990702","displaySw":"true","tieredFlag":"STEP","priceCompTier":{"tierSeqNum":"10","upperLimit":"5000.00","lowerLimit":"1000.00","priceCriteria":"NBRTRAN"},"priceCompSequenceNo":"110"},{"priceCompId":"6908600262","valueAmt":"17","priceCompDesc":"Price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6900014180","pricingStatus":"PRPD","printIfZero":"Y","ignoreSw":"N","actionFlag":"OVRD","isEligible":"false","scheduleCode":"MONTHLY","rateSchedule":"DM-NBRST","startDate":"2023-07-29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</si>
  <si>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6900014181","actionFlag":"OVRD","priceItemCode":"NPI_036","priceItemDescription":"Price Item NPI_036","pricingStatus":"PRPD","priceCurrencyCode":"USD","rateSchedule":"DM-NBRST","startDate":"2023-07-29","isEligible":"false","assignmentLevel":"Customer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6908600260","priceCompDesc":"Price Per Transaction Step Tier 1","valueAmt":"17","displaySw":"true","rcMapId":"2567418376","tieredFlag":"STEP","priceCompSequenceNo":"100"},{"priceCompTier":{"upperLimit":"5000.00","lowerLimit":"1000.00","priceCriteria":"NBRTRAN","tierSeqNum":"10"},"priceCompId":"6908600261","priceCompDesc":"Price Per Transaction Step Tier 2","valueAmt":"17","displaySw":"true","rcMapId":"7769990702","tieredFlag":"STEP","priceCompSequenceNo":"110"},{"priceCompTier":{"upperLimit":"99999999.99","lowerLimit":"5000.00","priceCriteria":"NBRTRAN","tierSeqNum":"10"},"priceCompId":"6908600262","priceCompDesc":"Price Per Transaction Step Tier 3","valueAmt":"17","displaySw":"true","rcMapId":"4322456059","tieredFlag":"STEP","priceCompSequenceNo":"120"}]}}}}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</si>
  <si>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-06-29","assignmentLevel":"Customer Price List"}]}}}</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</si>
  <si>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6900014182","actionFlag":"OVRD","priceItemCode":"NPI_036","priceItemDescription":"Price Item NPI_036","pricingStatus":"PRPD","priceCurrencyCode":"USD","rateSchedule":"DM-NBRTH","startDate":"2023-06-29","isEligible":"false","assignmentLevel":"Customer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</si>
  <si>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6908600266","valueAmt":"17","priceCompDesc":"Threshold price per transaction1","rcMapId":"1109655113","displaySw":"true","tieredFlag":"THRS","priceCompTier":{"tierSeqNum":"10","upperLimit":"1000.00","lowerLimit":"0.00","priceCriteria":"NBRTRAN"},"priceCompSequenceNo":"100"},{"priceCompId":"6908600267","valueAmt":"17","priceCompDesc":"Threshold price per transaction 2","rcMapId":"1109655113","displaySw":"true","tieredFlag":"THRS","priceCompTier":{"tierSeqNum":"10","upperLimit":"5000.00","lowerLimit":"1000.00","priceCriteria":"NBRTRAN"},"priceCompSequenceNo":"110"},{"priceCompId":"6908600268","valueAmt":"17","priceCompDesc":"Threshold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6900014182","pricingStatus":"PRPD","printIfZero":"Y","ignoreSw":"N","actionFlag":"OVRD","isEligible":"false","scheduleCode":"MONTHLY","rateSchedule":"DM-NBRTH","startDate":"2023-07-29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</si>
  <si>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6900014183","actionFlag":"OVRD","priceItemCode":"NPI_036","priceItemDescription":"Price Item NPI_036","pricingStatus":"PRPD","priceCurrencyCode":"USD","rateSchedule":"DM-NBRTH","startDate":"2023-07-29","isEligible":"false","assignmentLevel":"Customer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6908600266","priceCompDesc":"Threshold price per transaction1","valueAmt":"17","displaySw":"true","rcMapId":"1109655113","tieredFlag":"THRS","priceCompSequenceNo":"100"},{"priceCompTier":{"upperLimit":"5000.00","lowerLimit":"1000.00","priceCriteria":"NBRTRAN","tierSeqNum":"10"},"priceCompId":"6908600267","priceCompDesc":"Threshold price per transaction 2","valueAmt":"17","displaySw":"true","rcMapId":"1109655113","tieredFlag":"THRS","priceCompSequenceNo":"110"},{"priceCompTier":{"upperLimit":"99999999.99","lowerLimit":"5000.00","priceCriteria":"NBRTRAN","tierSeqNum":"10"},"priceCompId":"6908600268","priceCompDesc":"Threshold price per transaction 3","valueAmt":"17","displaySw":"true","rcMapId":"1109655113","tieredFlag":"THRS","priceCompSequenceNo":"120"}]}}}}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</si>
  <si>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-06-29","assignmentLevel":"Customer Price List"}]}}}</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</si>
  <si>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6900014184","actionFlag":"OVRD","priceItemCode":"PI_022","priceItemDescription":"V2-Monthly Acct Serv Fee","pricingStatus":"PRPD","priceCurrencyCode":"USD","rateSchedule":"DM-RT01","startDate":"2023-06-29","isEligible":"false","assignmentLevel":"Customer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</si>
  <si>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6908600272","valueAmt":"10","priceCompDesc":"FLAT","rcMapId":"1705351562","displaySw":"true","tieredFlag":"FLAT","priceCompSequenceNo":"10"},"paTypeFlag":"RGLR","priceItemDescription":"V2-Monthly Acct Serv Fee","aggregateSw":"N","priceItemCode":"PI_022","priceCurrencyCode":"USD","priceAsgnId":"6900014184","pricingStatus":"PRPD","printIfZero":"Y","ignoreSw":"N","actionFlag":"OVRD","isEligible":"false","scheduleCode":"MONTHLY","rateSchedule":"DM-RT01","startDate":"2023-07-29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</si>
  <si>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6900014185","actionFlag":"OVRD","priceItemCode":"PI_022","priceItemDescription":"V2-Monthly Acct Serv Fee","pricingStatus":"PRPD","priceCurrencyCode":"USD","rateSchedule":"DM-RT01","startDate":"2023-07-29","isEligible":"false","assignmentLevel":"Customer Agreed","paTypeFlag":"RGLR","printIfZero":"Y","txnDailyRatingCrt":"DNRT","ignoreSw":"N","aggregateSw":"N","scheduleCode":"MONTHLY","priceCompDetails":{"priceCompId":"6908600272","priceCompDesc":"FLAT","valueAmt":"10","displaySw":"true","rcMapId":"1705351562","tieredFlag":"FLAT","priceCompSequenceNo":"10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</si>
  <si>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6908600202","valueAmt":"11","priceCompDesc":"Price per transaction - Step Tier 1","rcMapId":"2567418376","displaySw":"true","tieredFlag":"STEP","priceCompTier":{"tierSeqNum":"10","upperLimit":"1000.00","lowerLimit":"0.00","priceCriteria":"NBRTRAN"},"priceCompSequenceNo":"100"},{"priceCompId":"6908600203","valueAmt":"12","priceCompDesc":"Price per transaction - Step Tier 2","rcMapId":"7769990702","displaySw":"true","tieredFlag":"STEP","priceCompTier":{"tierSeqNum":"10","upperLimit":"5000.00","lowerLimit":"1000.00","priceCriteria":"NBRTRAN"},"priceCompSequenceNo":"110"},{"priceCompId":"6908600204","valueAmt":"13","priceCompDesc":"Price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6900014150","pricingStatus":"PRPD","printIfZero":"Y","ignoreSw":"N","actionFlag":"OVRD","isEligible":"false","scheduleCode":"MONTHLY","rateSchedule":"DM-NBRST","startDate":"2023-06-29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</si>
  <si>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6900014186","actionFlag":"OVRD","priceItemCode":"PI_024","priceItemDescription":"V4-SEPA Transfers","pricingStatus":"PRPD","priceCurrencyCode":"USD","rateSchedule":"DM-NBRST","startDate":"2023-06-29","isEligible":"false","assignmentLevel":"Customer Agreed","paTypeFlag":"RGLR","printIfZero":"Y","txnDailyRatingCrt":"DNRT","ignoreSw":"N","aggregateSw":"Y","scheduleCode":"MONTHLY","priceCompDetails":[{"priceCompTier":{"upperLimit":"1000.00","lowerLimit":"0.00","priceCriteria":"NBRTRAN","tierSeqNum":"10"},"priceCompId":"6908600202","priceCompDesc":"Price per transaction - Step Tier 1","valueAmt":"11","displaySw":"true","rcMapId":"2567418376","tieredFlag":"STEP","priceCompSequenceNo":"100"},{"priceCompTier":{"upperLimit":"5000.00","lowerLimit":"1000.00","priceCriteria":"NBRTRAN","tierSeqNum":"10"},"priceCompId":"6908600203","priceCompDesc":"Price per transaction - Step Tier 2","valueAmt":"12","displaySw":"true","rcMapId":"7769990702","tieredFlag":"STEP","priceCompSequenceNo":"110"},{"priceCompTier":{"upperLimit":"999999999999.99","lowerLimit":"5000.00","priceCriteria":"NBRTRAN","tierSeqNum":"10"},"priceCompId":"6908600204","priceCompDesc":"Price per transaction - Step Tier 3","valueAmt":"13","displaySw":"true","rcMapId":"4322456059","tieredFlag":"STEP","priceCompSequenceNo":"120"}]}}}}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</si>
  <si>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6908600274","valueAmt":"12","priceCompDesc":"Price per transaction - Step Tier 1","rcMapId":"2567418376","displaySw":"true","tieredFlag":"STEP","priceCompTier":{"tierSeqNum":"10","upperLimit":"1000.00","lowerLimit":"0.00","priceCriteria":"NBRTRAN"},"priceCompSequenceNo":"100"},{"priceCompId":"6908600275","valueAmt":"13","priceCompDesc":"Price per transaction - Step Tier 2","rcMapId":"7769990702","displaySw":"true","tieredFlag":"STEP","priceCompTier":{"tierSeqNum":"10","upperLimit":"5000.00","lowerLimit":"1000.00","priceCriteria":"NBRTRAN"},"priceCompSequenceNo":"110"},{"priceCompId":"6908600276","valueAmt":"14","priceCompDesc":"Price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6900014186","pricingStatus":"PRPD","printIfZero":"Y","ignoreSw":"N","actionFlag":"OVRD","isEligible":"false","scheduleCode":"MONTHLY","rateSchedule":"DM-NBRST","startDate":"2023-07-29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</si>
  <si>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6900014187","actionFlag":"OVRD","priceItemCode":"PI_024","priceItemDescription":"V4-SEPA Transfers","pricingStatus":"PRPD","priceCurrencyCode":"USD","rateSchedule":"DM-NBRST","startDate":"2023-07-29","isEligible":"false","assignmentLevel":"Customer Agreed","paTypeFlag":"RGLR","printIfZero":"Y","txnDailyRatingCrt":"DNRT","ignoreSw":"N","aggregateSw":"N","scheduleCode":"MONTHLY","priceCompDetails":[{"priceCompTier":{"upperLimit":"1000.00","lowerLimit":"0.00","priceCriteria":"NBRTRAN","tierSeqNum":"10"},"priceCompId":"6908600274","priceCompDesc":"Price per transaction - Step Tier 1","valueAmt":"12","displaySw":"true","rcMapId":"2567418376","tieredFlag":"STEP","priceCompSequenceNo":"100"},{"priceCompTier":{"upperLimit":"5000.00","lowerLimit":"1000.00","priceCriteria":"NBRTRAN","tierSeqNum":"10"},"priceCompId":"6908600275","priceCompDesc":"Price per transaction - Step Tier 2","valueAmt":"13","displaySw":"true","rcMapId":"7769990702","tieredFlag":"STEP","priceCompSequenceNo":"110"},{"priceCompTier":{"upperLimit":"999999999999.99","lowerLimit":"5000.00","priceCriteria":"NBRTRAN","tierSeqNum":"10"},"priceCompId":"6908600276","priceCompDesc":"Price per transaction - Step Tier 3","valueAmt":"14","displaySw":"true","rcMapId":"4322456059","tieredFlag":"STEP","priceCompSequenceNo":"120"}]}}}}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</si>
  <si>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6908600205","valueAmt":"11","priceCompDesc":"Threshold price per transaction","rcMapId":"1109655113","displaySw":"true","tieredFlag":"THRS","priceCompTier":{"tierSeqNum":"10","upperLimit":"1000.00","lowerLimit":"0.00","priceCriteria":"NBRTRAN"},"priceCompSequenceNo":"100"},{"priceCompId":"6908600206","valueAmt":"12","priceCompDesc":"Threshold price per transaction","rcMapId":"1109655113","displaySw":"true","tieredFlag":"THRS","priceCompTier":{"tierSeqNum":"10","upperLimit":"5000.00","lowerLimit":"1000.00","priceCriteria":"NBRTRAN"},"priceCompSequenceNo":"110"},{"priceCompId":"6908600207","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6900014151","pricingStatus":"PRPD","printIfZero":"Y","ignoreSw":"N","actionFlag":"OVRD","isEligible":"false","scheduleCode":"MONTHLY","rateSchedule":"DM-NBRTH","startDate":"2023-06-29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</si>
  <si>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6900014188","actionFlag":"OVRD","priceItemCode":"PI_025","priceItemDescription":"V5-Domestic Funds Transfer Fee","pricingStatus":"PRPD","priceCurrencyCode":"USD","rateSchedule":"DM-NBRTH","startDate":"2023-06-29","isEligible":"false","assignmentLevel":"Customer Agreed","paTypeFlag":"RGLR","printIfZero":"Y","txnDailyRatingCrt":"DNRT","ignoreSw":"N","aggregateSw":"Y","scheduleCode":"MONTHLY","priceCompDetails":[{"priceCompTier":{"upperLimit":"1000.00","lowerLimit":"0.00","priceCriteria":"NBRTRAN","tierSeqNum":"10"},"priceCompId":"6908600205","priceCompDesc":"Threshold price per transaction","valueAmt":"11","displaySw":"true","rcMapId":"1109655113","tieredFlag":"THRS","priceCompSequenceNo":"100"},{"priceCompTier":{"upperLimit":"5000.00","lowerLimit":"1000.00","priceCriteria":"NBRTRAN","tierSeqNum":"10"},"priceCompId":"6908600206","priceCompDesc":"Threshold price per transaction","valueAmt":"12","displaySw":"true","rcMapId":"1109655113","tieredFlag":"THRS","priceCompSequenceNo":"110"},{"priceCompTier":{"upperLimit":"999999999999.99","lowerLimit":"5000.00","priceCriteria":"NBRTRAN","tierSeqNum":"10"},"priceCompId":"6908600207","priceCompDesc":"Threshold price per transaction","valueAmt":"13","displaySw":"true","rcMapId":"1109655113","tieredFlag":"THRS","priceCompSequenceNo":"120"}]}}}}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</si>
  <si>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6908600280","valueAmt":"12","priceCompDesc":"Threshold price per transaction","rcMapId":"1109655113","displaySw":"true","tieredFlag":"THRS","priceCompTier":{"tierSeqNum":"10","upperLimit":"1000.00","lowerLimit":"0.00","priceCriteria":"NBRTRAN"},"priceCompSequenceNo":"100"},{"priceCompId":"6908600281","valueAmt":"13","priceCompDesc":"Threshold price per transaction","rcMapId":"1109655113","displaySw":"true","tieredFlag":"THRS","priceCompTier":{"tierSeqNum":"10","upperLimit":"5000.00","lowerLimit":"1000.00","priceCriteria":"NBRTRAN"},"priceCompSequenceNo":"110"},{"priceCompId":"6908600282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6900014188","pricingStatus":"PRPD","printIfZero":"Y","ignoreSw":"N","actionFlag":"OVRD","isEligible":"false","scheduleCode":"MONTHLY","rateSchedule":"DM-NBRTH","startDate":"2023-07-29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</si>
  <si>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6900014189","actionFlag":"OVRD","priceItemCode":"PI_025","priceItemDescription":"V5-Domestic Funds Transfer Fee","pricingStatus":"PRPD","priceCurrencyCode":"USD","rateSchedule":"DM-NBRTH","startDate":"2023-07-29","isEligible":"false","assignmentLevel":"Customer Agreed","paTypeFlag":"RGLR","printIfZero":"Y","txnDailyRatingCrt":"DNRT","ignoreSw":"N","aggregateSw":"N","scheduleCode":"MONTHLY","priceCompDetails":[{"priceCompTier":{"upperLimit":"1000.00","lowerLimit":"0.00","priceCriteria":"NBRTRAN","tierSeqNum":"10"},"priceCompId":"6908600280","priceCompDesc":"Threshold price per transaction","valueAmt":"12","displaySw":"true","rcMapId":"1109655113","tieredFlag":"THRS","priceCompSequenceNo":"100"},{"priceCompTier":{"upperLimit":"5000.00","lowerLimit":"1000.00","priceCriteria":"NBRTRAN","tierSeqNum":"10"},"priceCompId":"6908600281","priceCompDesc":"Threshold price per transaction","valueAmt":"13","displaySw":"true","rcMapId":"1109655113","tieredFlag":"THRS","priceCompSequenceNo":"110"},{"priceCompTier":{"upperLimit":"999999999999.99","lowerLimit":"5000.00","priceCriteria":"NBRTRAN","tierSeqNum":"10"},"priceCompId":"6908600282","priceCompDesc":"Threshold price per transaction","valueAmt":"14","displaySw":"true","rcMapId":"1109655113","tieredFlag":"THRS","priceCompSequenceNo":"120"}]}}}}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</si>
  <si>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6908600209","valueAmt":"3","priceCompDesc":"FLAT","rcMapId":"1705351562","displaySw":"true","tieredFlag":"FLAT","priceCompSequenceNo":"10"},"parameterDetails":[{"parameterCode":"DM_CURRENCY","parameterValue":"INR"},{"parameterCode":"DM_TYPE","parameterValue":"BT"}],"paTypeFlag":"RGLR","priceItemDescription":"V8-Cheque Collections","endDate":"2023-07-28","aggregateSw":"Y","priceItemCode":"PI_028","priceCurrencyCode":"USD","priceAsgnId":"6900014153","pricingStatus":"PRPD","printIfZero":"Y","ignoreSw":"N","actionFlag":"UPD","isEligible":"false","scheduleCode":"MONTHLY","rateSchedule":"DM-RT01","startDate":"2022-11-11","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</si>
  <si>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6900014153","actionFlag":"UPD","priceItemCode":"PI_028","priceItemDescription":"V8-Cheque Collections","pricingStatus":"PRPD","priceCurrencyCode":"USD","rateSchedule":"DM-RT01","startDate":"2022-11-11","endDate":"2023-07-28","isEligible":"false","assignmentLevel":"Customer Agreed","paTypeFlag":"RGLR","printIfZero":"Y","parameterDetails":[{"parameterCode":"DM_CURRENCY","parameterValue":"INR"},{"parameterCode":"DM_TYPE","parameterValue":"BT"}],"txnDailyRatingCrt":"DNRT","ignoreSw":"N","aggregateSw":"Y","scheduleCode":"MONTHLY","priceCompDetails":{"priceCompId":"6908600209","priceCompDesc":"FLAT","valueAmt":"3","displaySw":"true","rcMapId":"1705351562","tieredFlag":"FLAT","priceCompSequenceNo":"10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</si>
  <si>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6908600209","valueAmt":"2","priceCompDesc":"FLAT","rcMapId":"1705351562","displaySw":"true","tieredFlag":"FLAT","priceCompSequenceNo":"10"},"parameterDetails":[{"parameterCode":"DM_CURRENCY","parameterValue":"INR"},{"parameterCode":"DM_TYPE","parameterValue":"BT"}],"paTypeFlag":"RGLR","priceItemDescription":"V8-Cheque Collections","endDate":"2023-08-28","aggregateSw":"N","priceItemCode":"PI_028","priceCurrencyCode":"USD","priceAsgnId":"6900014153","pricingStatus":"PRPD","printIfZero":"Y","ignoreSw":"N","actionFlag":"OVRD","isEligible":"false","scheduleCode":"MONTHLY","rateSchedule":"DM-RT01","startDate":"2023-07-29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</si>
  <si>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6900014190","actionFlag":"OVRD","priceItemCode":"PI_028","priceItemDescription":"V8-Cheque Collections","pricingStatus":"PRPD","priceCurrencyCode":"USD","rateSchedule":"DM-RT01","startDate":"2023-07-29","endDate":"2023-08-28","isEligible":"false","assignmentLevel":"Customer Agreed","paTypeFlag":"RGLR","printIfZero":"Y","parameterDetails":[{"parameterCode":"DM_CURRENCY","parameterValue":"INR"},{"parameterCode":"DM_TYPE","parameterValue":"BT"}],"txnDailyRatingCrt":"DNRT","ignoreSw":"N","aggregateSw":"N","scheduleCode":"MONTHLY","priceCompDetails":{"priceCompId":"6908600209","priceCompDesc":"FLAT","valueAmt":"2","displaySw":"true","rcMapId":"1705351562","tieredFlag":"FLAT","priceCompSequenceNo":"10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</si>
  <si>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6908600208","valueAmt":"1","priceCompDesc":"FLAT","rcMapId":"1705351562","displaySw":"true","tieredFlag":"FLAT","priceCompSequenceNo":"10"},"paTypeFlag":"RGLR","priceItemDescription":"V8-Cheque Collections","aggregateSw":"Y","priceItemCode":"PI_028","priceCurrencyCode":"USD","priceAsgnId":"6900014152","pricingStatus":"PRPD","printIfZero":"Y","ignoreSw":"N","actionFlag":"UPD","isEligible":"false","scheduleCode":"MONTHLY","rateSchedule":"DM-RT01","startDate":"2022-11-11","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</si>
  <si>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6900014152","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6908600208","priceCompDesc":"FLAT","valueAmt":"1","displaySw":"true","rcMapId":"1705351562","tieredFlag":"FLAT","priceCompSequenceNo":"10"}}}}}</t>
  </si>
  <si>
    <t>{"C1-DealPriceAsgnCommitmentsREST":{"modelId":"6801529579","dealId":"8206671923","entityType":"PERS","entityId":"8797366188","pricingAndCommitmentsDetails":{"entityDivision":"IND","entityIdentifierType":"COREG","entityType":"PERS","entityId":"8797366188","entityIdentifierValue":"Reg_BANK_82_EPER_001","pricingDetails":[{"txnDailyRatingCrt":"DNRT","priceCompDetails":{"priceCompId":"6908600208","valueAmt":"2","priceCompDesc":"FLAT","rcMapId":"1705351562","displaySw":"true","tieredFlag":"FLAT","priceCompSequenceNo":"10"},"paTypeFlag":"RGLR","priceItemDescription":"V8-Cheque Collections","endDate":"2023-08-28","aggregateSw":"N","priceItemCode":"PI_028","priceCurrencyCode":"USD","priceAsgnId":"6900014152","pricingStatus":"PRPD","printIfZero":"Y","ignoreSw":"N","actionFlag":"OVRD","isEligible":"false","scheduleCode":"MONTHLY","rateSchedule":"DM-RT01","startDate":"2023-07-29","assignmentLevel":"Customer Agreed"}]}}}</t>
  </si>
  <si>
    <t>{"C1-DealPriceAsgnCommitmentsREST":{"dealId":"8206671923","modelId":"6801529579","entityId":"8797366188","entityType":"PERS","pricingAndCommitmentsDetails":{"entityId":"8797366188","entityType":"PERS","entityIdentifierValue":"Reg_BANK_82_EPER_001","entityIdentifierType":"COREG","entityDivision":"IND","pricingDetails":{"priceAsgnId":"6900014191","actionFlag":"OVRD","priceItemCode":"PI_028","priceItemDescription":"V8-Cheque Collections","pricingStatus":"PRPD","priceCurrencyCode":"USD","rateSchedule":"DM-RT01","startDate":"2023-07-29","endDate":"2023-08-28","isEligible":"false","assignmentLevel":"Customer Agreed","paTypeFlag":"RGLR","printIfZero":"Y","txnDailyRatingCrt":"DNRT","ignoreSw":"N","aggregateSw":"N","scheduleCode":"MONTHLY","priceCompDetails":{"priceCompId":"6908600208","priceCompDesc":"FLAT","valueAmt":"2","displaySw":"true","rcMapId":"1705351562","tieredFlag":"FLAT","priceCompSequenceNo":"10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</si>
  <si>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</si>
  <si>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8773985230","modelId":"4643724070","entityId":"8797366188","entityType":"PERS","pricingAndCommitmentsDetails":{"entityId":"8797366188","entityType":"PERS","entityIdentifierValue":"Reg_BANK_82_EPER_001","entityIdentifierType":"COREG","entityDivision":"IND","pricingDetails":{"priceAsgnId":"1360014394","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</si>
  <si>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1368600648","valueAmt":"12","priceCompDesc":"FLAT","rcMapId":"1705351562","displaySw":"true","tieredFlag":"FLAT","priceCompSequenceNo":"10"},"paTypeFlag":"RGLR","priceItemDescription":"V1-Account Opening Fee","aggregateSw":"N","priceItemCode":"PI_021","priceCurrencyCode":"USD","priceAsgnId":"1360014394","pricingStatus":"PRPD","printIfZero":"Y","ignoreSw":"N","actionFlag":"OVRD","isEligible":"false","scheduleCode":"MONTHLY","rateSchedule":"DM-RT01","startDate":"2023-09-01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</si>
  <si>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1360014395","actionFlag":"OVRD","priceItemCode":"PI_021","priceItemDescription":"V1-Account Opening Fee","pricingStatus":"PRPD","priceCurrencyCode":"USD","rateSchedule":"DM-RT01","startDate":"2023-09-01","isEligible":"false","assignmentLevel":"Customer Agreed","paTypeFlag":"RGLR","printIfZero":"Y","txnDailyRatingCrt":"DNRT","ignoreSw":"N","aggregateSw":"N","scheduleCode":"MONTHLY","priceCompDetails":{"priceCompId":"1368600648","priceCompDesc":"FLAT","valueAmt":"12","displaySw":"true","rcMapId":"1705351562","tieredFlag":"FLAT","priceCompSequenceNo":"10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</si>
  <si>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-02","assignmentLevel":"Customer Price List"}]}}}</t>
  </si>
  <si>
    <t>{"C1-DealPriceAsgnCommitmentsREST":{"dealId":"8773985230","modelId":"4643724070","entityId":"8797366188","entityType":"PERS","pricingAndCommitmentsDetails":{"entityId":"8797366188","entityType":"PERS","entityIdentifierValue":"Reg_BANK_82_EPER_001","entityIdentifierType":"COREG","entityDivision":"IND","pricingDetails":{"priceAsgnId":"1360014396","actionFlag":"OVRD","priceItemCode":"NPI_036","priceItemDescription":"Price Item NPI_036","pricingStatus":"PRPD","priceCurrencyCode":"USD","rateSchedule":"DM-NBRST","startDate":"2023-08-02","isEligible":"false","assignmentLevel":"Customer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</si>
  <si>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1368600650","valueAmt":"17","priceCompDesc":"Price Per Transaction Step Tier 1","rcMapId":"2567418376","displaySw":"true","tieredFlag":"STEP","priceCompTier":{"tierSeqNum":"10","upperLimit":"1000.00","lowerLimit":"0.00","priceCriteria":"NBRTRAN"},"priceCompSequenceNo":"100"},{"priceCompId":"1368600651","valueAmt":"17","priceCompDesc":"Price Per Transaction Step Tier 2","rcMapId":"7769990702","displaySw":"true","tieredFlag":"STEP","priceCompTier":{"tierSeqNum":"10","upperLimit":"5000.00","lowerLimit":"1000.00","priceCriteria":"NBRTRAN"},"priceCompSequenceNo":"110"},{"priceCompId":"1368600652","valueAmt":"17","priceCompDesc":"Price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1360014396","pricingStatus":"PRPD","printIfZero":"Y","ignoreSw":"N","actionFlag":"OVRD","isEligible":"false","scheduleCode":"MONTHLY","rateSchedule":"DM-NBRST","startDate":"2023-09-01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</si>
  <si>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1360014397","actionFlag":"OVRD","priceItemCode":"NPI_036","priceItemDescription":"Price Item NPI_036","pricingStatus":"PRPD","priceCurrencyCode":"USD","rateSchedule":"DM-NBRST","startDate":"2023-09-01","isEligible":"false","assignmentLevel":"Customer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1368600650","priceCompDesc":"Price Per Transaction Step Tier 1","valueAmt":"17","displaySw":"true","rcMapId":"2567418376","tieredFlag":"STEP","priceCompSequenceNo":"100"},{"priceCompTier":{"upperLimit":"5000.00","lowerLimit":"1000.00","priceCriteria":"NBRTRAN","tierSeqNum":"10"},"priceCompId":"1368600651","priceCompDesc":"Price Per Transaction Step Tier 2","valueAmt":"17","displaySw":"true","rcMapId":"7769990702","tieredFlag":"STEP","priceCompSequenceNo":"110"},{"priceCompTier":{"upperLimit":"99999999.99","lowerLimit":"5000.00","priceCriteria":"NBRTRAN","tierSeqNum":"10"},"priceCompId":"1368600652","priceCompDesc":"Price Per Transaction Step Tier 3","valueAmt":"17","displaySw":"true","rcMapId":"4322456059","tieredFlag":"STEP","priceCompSequenceNo":"120"}]}}}}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</si>
  <si>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-02","assignmentLevel":"Customer Price List"}]}}}</t>
  </si>
  <si>
    <t>{"C1-DealPriceAsgnCommitmentsREST":{"dealId":"8773985230","modelId":"4643724070","entityId":"8797366188","entityType":"PERS","pricingAndCommitmentsDetails":{"entityId":"8797366188","entityType":"PERS","entityIdentifierValue":"Reg_BANK_82_EPER_001","entityIdentifierType":"COREG","entityDivision":"IND","pricingDetails":{"priceAsgnId":"1360014398","actionFlag":"OVRD","priceItemCode":"NPI_036","priceItemDescription":"Price Item NPI_036","pricingStatus":"PRPD","priceCurrencyCode":"USD","rateSchedule":"DM-NBRTH","startDate":"2023-08-02","isEligible":"false","assignmentLevel":"Customer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</si>
  <si>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1368600656","valueAmt":"17","priceCompDesc":"Threshold price per transaction1","rcMapId":"1109655113","displaySw":"true","tieredFlag":"THRS","priceCompTier":{"tierSeqNum":"10","upperLimit":"1000.00","lowerLimit":"0.00","priceCriteria":"NBRTRAN"},"priceCompSequenceNo":"100"},{"priceCompId":"1368600657","valueAmt":"17","priceCompDesc":"Threshold price per transaction 2","rcMapId":"1109655113","displaySw":"true","tieredFlag":"THRS","priceCompTier":{"tierSeqNum":"10","upperLimit":"5000.00","lowerLimit":"1000.00","priceCriteria":"NBRTRAN"},"priceCompSequenceNo":"110"},{"priceCompId":"1368600658","valueAmt":"17","priceCompDesc":"Threshold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1360014398","pricingStatus":"PRPD","printIfZero":"Y","ignoreSw":"N","actionFlag":"OVRD","isEligible":"false","scheduleCode":"MONTHLY","rateSchedule":"DM-NBRTH","startDate":"2023-09-01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</si>
  <si>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1360014399","actionFlag":"OVRD","priceItemCode":"NPI_036","priceItemDescription":"Price Item NPI_036","pricingStatus":"PRPD","priceCurrencyCode":"USD","rateSchedule":"DM-NBRTH","startDate":"2023-09-01","isEligible":"false","assignmentLevel":"Customer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1368600656","priceCompDesc":"Threshold price per transaction1","valueAmt":"17","displaySw":"true","rcMapId":"1109655113","tieredFlag":"THRS","priceCompSequenceNo":"100"},{"priceCompTier":{"upperLimit":"5000.00","lowerLimit":"1000.00","priceCriteria":"NBRTRAN","tierSeqNum":"10"},"priceCompId":"1368600657","priceCompDesc":"Threshold price per transaction 2","valueAmt":"17","displaySw":"true","rcMapId":"1109655113","tieredFlag":"THRS","priceCompSequenceNo":"110"},{"priceCompTier":{"upperLimit":"99999999.99","lowerLimit":"5000.00","priceCriteria":"NBRTRAN","tierSeqNum":"10"},"priceCompId":"1368600658","priceCompDesc":"Threshold price per transaction 3","valueAmt":"17","displaySw":"true","rcMapId":"1109655113","tieredFlag":"THRS","priceCompSequenceNo":"120"}]}}}}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</si>
  <si>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Customer Price List"}]}}}</t>
  </si>
  <si>
    <t>{"C1-DealPriceAsgnCommitmentsREST":{"dealId":"8773985230","modelId":"4643724070","entityId":"8797366188","entityType":"PERS","pricingAndCommitmentsDetails":{"entityId":"8797366188","entityType":"PERS","entityIdentifierValue":"Reg_BANK_82_EPER_001","entityIdentifierType":"COREG","entityDivision":"IND","pricingDetails":{"priceAsgnId":"1360014400","actionFlag":"OVRD","priceItemCode":"PI_022","priceItemDescription":"V2-Monthly Acct Serv Fee","pricingStatus":"PRPD","priceCurrencyCode":"USD","rateSchedule":"DM-RT01","startDate":"2023-08-02","isEligible":"false","assignmentLevel":"Customer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</si>
  <si>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1368600662","valueAmt":"10","priceCompDesc":"FLAT","rcMapId":"1705351562","displaySw":"true","tieredFlag":"FLAT","priceCompSequenceNo":"10"},"paTypeFlag":"RGLR","priceItemDescription":"V2-Monthly Acct Serv Fee","aggregateSw":"N","priceItemCode":"PI_022","priceCurrencyCode":"USD","priceAsgnId":"1360014400","pricingStatus":"PRPD","printIfZero":"Y","ignoreSw":"N","actionFlag":"OVRD","isEligible":"false","scheduleCode":"MONTHLY","rateSchedule":"DM-RT01","startDate":"2023-09-01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</si>
  <si>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1360014401","actionFlag":"OVRD","priceItemCode":"PI_022","priceItemDescription":"V2-Monthly Acct Serv Fee","pricingStatus":"PRPD","priceCurrencyCode":"USD","rateSchedule":"DM-RT01","startDate":"2023-09-01","isEligible":"false","assignmentLevel":"Customer Agreed","paTypeFlag":"RGLR","printIfZero":"Y","txnDailyRatingCrt":"DNRT","ignoreSw":"N","aggregateSw":"N","scheduleCode":"MONTHLY","priceCompDetails":{"priceCompId":"1368600662","priceCompDesc":"FLAT","valueAmt":"10","displaySw":"true","rcMapId":"1705351562","tieredFlag":"FLAT","priceCompSequenceNo":"10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</si>
  <si>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1368600640","valueAmt":"11","priceCompDesc":"Price per transaction - Step Tier 1","rcMapId":"2567418376","displaySw":"true","tieredFlag":"STEP","priceCompTier":{"tierSeqNum":"10","upperLimit":"1000.00","lowerLimit":"0.00","priceCriteria":"NBRTRAN"},"priceCompSequenceNo":"100"},{"priceCompId":"1368600641","valueAmt":"12","priceCompDesc":"Price per transaction - Step Tier 2","rcMapId":"7769990702","displaySw":"true","tieredFlag":"STEP","priceCompTier":{"tierSeqNum":"10","upperLimit":"5000.00","lowerLimit":"1000.00","priceCriteria":"NBRTRAN"},"priceCompSequenceNo":"110"},{"priceCompId":"1368600642","valueAmt":"13","priceCompDesc":"Price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1360014390","pricingStatus":"PRPD","printIfZero":"Y","ignoreSw":"N","actionFlag":"OVRD","isEligible":"false","scheduleCode":"MONTHLY","rateSchedule":"DM-NBRST","startDate":"2023-08-02","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</si>
  <si>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1360014402","actionFlag":"OVRD","priceItemCode":"PI_024","priceItemDescription":"V4-SEPA Transfers","pricingStatus":"PRPD","priceCurrencyCode":"USD","rateSchedule":"DM-NBRST","startDate":"2023-08-02","isEligible":"false","assignmentLevel":"Customer Agreed","paTypeFlag":"RGLR","printIfZero":"Y","txnDailyRatingCrt":"DNRT","ignoreSw":"N","aggregateSw":"Y","scheduleCode":"MONTHLY","priceCompDetails":[{"priceCompTier":{"upperLimit":"1000.00","lowerLimit":"0.00","priceCriteria":"NBRTRAN","tierSeqNum":"10"},"priceCompId":"1368600640","priceCompDesc":"Price per transaction - Step Tier 1","valueAmt":"11","displaySw":"true","rcMapId":"2567418376","tieredFlag":"STEP","priceCompSequenceNo":"100"},{"priceCompTier":{"upperLimit":"5000.00","lowerLimit":"1000.00","priceCriteria":"NBRTRAN","tierSeqNum":"10"},"priceCompId":"1368600641","priceCompDesc":"Price per transaction - Step Tier 2","valueAmt":"12","displaySw":"true","rcMapId":"7769990702","tieredFlag":"STEP","priceCompSequenceNo":"110"},{"priceCompTier":{"upperLimit":"999999999999.99","lowerLimit":"5000.00","priceCriteria":"NBRTRAN","tierSeqNum":"10"},"priceCompId":"1368600642","priceCompDesc":"Price per transaction - Step Tier 3","valueAmt":"13","displaySw":"true","rcMapId":"4322456059","tieredFlag":"STEP","priceCompSequenceNo":"120"}]}}}}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</si>
  <si>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1368600664","valueAmt":"12","priceCompDesc":"Price per transaction - Step Tier 1","rcMapId":"2567418376","displaySw":"true","tieredFlag":"STEP","priceCompTier":{"tierSeqNum":"10","upperLimit":"1000.00","lowerLimit":"0.00","priceCriteria":"NBRTRAN"},"priceCompSequenceNo":"100"},{"priceCompId":"1368600665","valueAmt":"13","priceCompDesc":"Price per transaction - Step Tier 2","rcMapId":"7769990702","displaySw":"true","tieredFlag":"STEP","priceCompTier":{"tierSeqNum":"10","upperLimit":"5000.00","lowerLimit":"1000.00","priceCriteria":"NBRTRAN"},"priceCompSequenceNo":"110"},{"priceCompId":"1368600666","valueAmt":"14","priceCompDesc":"Price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1360014402","pricingStatus":"PRPD","printIfZero":"Y","ignoreSw":"N","actionFlag":"OVRD","isEligible":"false","scheduleCode":"MONTHLY","rateSchedule":"DM-NBRST","startDate":"2023-09-01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</si>
  <si>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1360014403","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1368600664","priceCompDesc":"Price per transaction - Step Tier 1","valueAmt":"12","displaySw":"true","rcMapId":"2567418376","tieredFlag":"STEP","priceCompSequenceNo":"100"},{"priceCompTier":{"upperLimit":"5000.00","lowerLimit":"1000.00","priceCriteria":"NBRTRAN","tierSeqNum":"10"},"priceCompId":"1368600665","priceCompDesc":"Price per transaction - Step Tier 2","valueAmt":"13","displaySw":"true","rcMapId":"7769990702","tieredFlag":"STEP","priceCompSequenceNo":"110"},{"priceCompTier":{"upperLimit":"999999999999.99","lowerLimit":"5000.00","priceCriteria":"NBRTRAN","tierSeqNum":"10"},"priceCompId":"1368600666","priceCompDesc":"Price per transaction - Step Tier 3","valueAmt":"14","displaySw":"true","rcMapId":"4322456059","tieredFlag":"STEP","priceCompSequenceNo":"120"}]}}}}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</si>
  <si>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1368600643","valueAmt":"11","priceCompDesc":"Threshold price per transaction","rcMapId":"1109655113","displaySw":"true","tieredFlag":"THRS","priceCompTier":{"tierSeqNum":"10","upperLimit":"1000.00","lowerLimit":"0.00","priceCriteria":"NBRTRAN"},"priceCompSequenceNo":"100"},{"priceCompId":"1368600644","valueAmt":"12","priceCompDesc":"Threshold price per transaction","rcMapId":"1109655113","displaySw":"true","tieredFlag":"THRS","priceCompTier":{"tierSeqNum":"10","upperLimit":"5000.00","lowerLimit":"1000.00","priceCriteria":"NBRTRAN"},"priceCompSequenceNo":"110"},{"priceCompId":"1368600645","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1360014391","pricingStatus":"PRPD","printIfZero":"Y","ignoreSw":"N","actionFlag":"OVRD","isEligible":"false","scheduleCode":"MONTHLY","rateSchedule":"DM-NBRTH","startDate":"2023-08-02","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</si>
  <si>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1360014404","actionFlag":"OVRD","priceItemCode":"PI_025","priceItemDescription":"V5-Domestic Funds Transfer Fee","pricingStatus":"PRPD","priceCurrencyCode":"USD","rateSchedule":"DM-NBRTH","startDate":"2023-08-02","isEligible":"false","assignmentLevel":"Customer Agreed","paTypeFlag":"RGLR","printIfZero":"Y","txnDailyRatingCrt":"DNRT","ignoreSw":"N","aggregateSw":"Y","scheduleCode":"MONTHLY","priceCompDetails":[{"priceCompTier":{"upperLimit":"1000.00","lowerLimit":"0.00","priceCriteria":"NBRTRAN","tierSeqNum":"10"},"priceCompId":"1368600643","priceCompDesc":"Threshold price per transaction","valueAmt":"11","displaySw":"true","rcMapId":"1109655113","tieredFlag":"THRS","priceCompSequenceNo":"100"},{"priceCompTier":{"upperLimit":"5000.00","lowerLimit":"1000.00","priceCriteria":"NBRTRAN","tierSeqNum":"10"},"priceCompId":"1368600644","priceCompDesc":"Threshold price per transaction","valueAmt":"12","displaySw":"true","rcMapId":"1109655113","tieredFlag":"THRS","priceCompSequenceNo":"110"},{"priceCompTier":{"upperLimit":"999999999999.99","lowerLimit":"5000.00","priceCriteria":"NBRTRAN","tierSeqNum":"10"},"priceCompId":"1368600645","priceCompDesc":"Threshold price per transaction","valueAmt":"13","displaySw":"true","rcMapId":"1109655113","tieredFlag":"THRS","priceCompSequenceNo":"120"}]}}}}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</si>
  <si>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1368600670","valueAmt":"12","priceCompDesc":"Threshold price per transaction","rcMapId":"1109655113","displaySw":"true","tieredFlag":"THRS","priceCompTier":{"tierSeqNum":"10","upperLimit":"1000.00","lowerLimit":"0.00","priceCriteria":"NBRTRAN"},"priceCompSequenceNo":"100"},{"priceCompId":"1368600671","valueAmt":"13","priceCompDesc":"Threshold price per transaction","rcMapId":"1109655113","displaySw":"true","tieredFlag":"THRS","priceCompTier":{"tierSeqNum":"10","upperLimit":"5000.00","lowerLimit":"1000.00","priceCriteria":"NBRTRAN"},"priceCompSequenceNo":"110"},{"priceCompId":"1368600672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1360014404","pricingStatus":"PRPD","printIfZero":"Y","ignoreSw":"N","actionFlag":"OVRD","isEligible":"false","scheduleCode":"MONTHLY","rateSchedule":"DM-NBRTH","startDate":"2023-09-01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</si>
  <si>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1360014405","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1368600670","priceCompDesc":"Threshold price per transaction","valueAmt":"12","displaySw":"true","rcMapId":"1109655113","tieredFlag":"THRS","priceCompSequenceNo":"100"},{"priceCompTier":{"upperLimit":"5000.00","lowerLimit":"1000.00","priceCriteria":"NBRTRAN","tierSeqNum":"10"},"priceCompId":"1368600671","priceCompDesc":"Threshold price per transaction","valueAmt":"13","displaySw":"true","rcMapId":"1109655113","tieredFlag":"THRS","priceCompSequenceNo":"110"},{"priceCompTier":{"upperLimit":"999999999999.99","lowerLimit":"5000.00","priceCriteria":"NBRTRAN","tierSeqNum":"10"},"priceCompId":"1368600672","priceCompDesc":"Threshold price per transaction","valueAmt":"14","displaySw":"true","rcMapId":"1109655113","tieredFlag":"THRS","priceCompSequenceNo":"120"}]}}}}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</si>
  <si>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1368600647","valueAmt":"3","priceCompDesc":"FLAT","rcMapId":"1705351562","displaySw":"true","tieredFlag":"FLAT","priceCompSequenceNo":"10"},"parameterDetails":[{"parameterCode":"DM_CURRENCY","parameterValue":"INR"},{"parameterCode":"DM_TYPE","parameterValue":"BT"}],"paTypeFlag":"RGLR","priceItemDescription":"V8-Cheque Collections","endDate":"2023-08-31","aggregateSw":"Y","priceItemCode":"PI_028","priceCurrencyCode":"USD","priceAsgnId":"1360014393","pricingStatus":"PRPD","printIfZero":"Y","ignoreSw":"N","actionFlag":"UPD","isEligible":"false","scheduleCode":"MONTHLY","rateSchedule":"DM-RT01","startDate":"2022-11-11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</si>
  <si>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1360014393","actionFlag":"UPD","priceItemCode":"PI_028","priceItemDescription":"V8-Cheque Collections","pricingStatus":"PRPD","priceCurrencyCode":"USD","rateSchedule":"DM-RT01","startDate":"2022-11-11","endDate":"2023-08-31","isEligible":"false","assignmentLevel":"Customer Agreed","paTypeFlag":"RGLR","printIfZero":"Y","parameterDetails":[{"parameterCode":"DM_CURRENCY","parameterValue":"INR"},{"parameterCode":"DM_TYPE","parameterValue":"BT"}],"txnDailyRatingCrt":"DNRT","ignoreSw":"N","aggregateSw":"Y","scheduleCode":"MONTHLY","priceCompDetails":{"priceCompId":"1368600647","priceCompDesc":"FLAT","valueAmt":"3","displaySw":"true","rcMapId":"1705351562","tieredFlag":"FLAT","priceCompSequenceNo":"10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</si>
  <si>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1368600647","valueAmt":"2","priceCompDesc":"FLAT","rcMapId":"1705351562","displaySw":"true","tieredFlag":"FLAT","priceCompSequenceNo":"10"},"parameterDetails":[{"parameterCode":"DM_CURRENCY","parameterValue":"INR"},{"parameterCode":"DM_TYPE","parameterValue":"BT"}],"paTypeFlag":"RGLR","priceItemDescription":"V8-Cheque Collections","endDate":"2023-10-01","aggregateSw":"N","priceItemCode":"PI_028","priceCurrencyCode":"USD","priceAsgnId":"1360014393","pricingStatus":"PRPD","printIfZero":"Y","ignoreSw":"N","actionFlag":"OVRD","isEligible":"false","scheduleCode":"MONTHLY","rateSchedule":"DM-RT01","startDate":"2023-09-01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</si>
  <si>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1360014406","actionFlag":"OVRD","priceItemCode":"PI_028","priceItemDescription":"V8-Cheque Collections","pricingStatus":"PRPD","priceCurrencyCode":"USD","rateSchedule":"DM-RT01","startDate":"2023-09-01","endDate":"2023-10-01","isEligible":"false","assignmentLevel":"Customer Agreed","paTypeFlag":"RGLR","printIfZero":"Y","parameterDetails":[{"parameterCode":"DM_CURRENCY","parameterValue":"INR"},{"parameterCode":"DM_TYPE","parameterValue":"BT"}],"txnDailyRatingCrt":"DNRT","ignoreSw":"N","aggregateSw":"N","scheduleCode":"MONTHLY","priceCompDetails":{"priceCompId":"1368600647","priceCompDesc":"FLAT","valueAmt":"2","displaySw":"true","rcMapId":"1705351562","tieredFlag":"FLAT","priceCompSequenceNo":"10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</si>
  <si>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1368600646","valueAmt":"1","priceCompDesc":"FLAT","rcMapId":"1705351562","displaySw":"true","tieredFlag":"FLAT","priceCompSequenceNo":"10"},"paTypeFlag":"RGLR","priceItemDescription":"V8-Cheque Collections","aggregateSw":"Y","priceItemCode":"PI_028","priceCurrencyCode":"USD","priceAsgnId":"1360014392","pricingStatus":"PRPD","printIfZero":"Y","ignoreSw":"N","actionFlag":"UPD","isEligible":"false","scheduleCode":"MONTHLY","rateSchedule":"DM-RT01","startDate":"2022-11-11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</si>
  <si>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1360014392","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1368600646","priceCompDesc":"FLAT","valueAmt":"1","displaySw":"true","rcMapId":"1705351562","tieredFlag":"FLAT","priceCompSequenceNo":"10"}}}}}</t>
  </si>
  <si>
    <t>{"C1-DealPriceAsgnCommitmentsREST":{"modelId":"4643724070","dealId":"8773985230","entityType":"PERS","entityId":"8797366188","pricingAndCommitmentsDetails":{"entityDivision":"IND","entityIdentifierType":"COREG","entityType":"PERS","entityId":"8797366188","entityIdentifierValue":"Reg_BANK_82_EPER_001","pricingDetails":[{"txnDailyRatingCrt":"DNRT","priceCompDetails":{"priceCompId":"1368600646","valueAmt":"2","priceCompDesc":"FLAT","rcMapId":"1705351562","displaySw":"true","tieredFlag":"FLAT","priceCompSequenceNo":"10"},"paTypeFlag":"RGLR","priceItemDescription":"V8-Cheque Collections","endDate":"2023-10-01","aggregateSw":"N","priceItemCode":"PI_028","priceCurrencyCode":"USD","priceAsgnId":"1360014392","pricingStatus":"PRPD","printIfZero":"Y","ignoreSw":"N","actionFlag":"OVRD","isEligible":"false","scheduleCode":"MONTHLY","rateSchedule":"DM-RT01","startDate":"2023-09-01","assignmentLevel":"Customer Agreed"}]}}}</t>
  </si>
  <si>
    <t>{"C1-DealPriceAsgnCommitmentsREST":{"dealId":"8773985230","modelId":"4643724070","entityId":"8797366188","entityType":"PERS","pricingAndCommitmentsDetails":{"entityId":"8797366188","entityType":"PERS","entityIdentifierValue":"Reg_BANK_82_EPER_001","entityIdentifierType":"COREG","entityDivision":"IND","pricingDetails":{"priceAsgnId":"1360014407","actionFlag":"OVRD","priceItemCode":"PI_028","priceItemDescription":"V8-Cheque Collections","pricingStatus":"PRPD","priceCurrencyCode":"USD","rateSchedule":"DM-RT01","startDate":"2023-09-01","endDate":"2023-10-01","isEligible":"false","assignmentLevel":"Customer Agreed","paTypeFlag":"RGLR","printIfZero":"Y","txnDailyRatingCrt":"DNRT","ignoreSw":"N","aggregateSw":"N","scheduleCode":"MONTHLY","priceCompDetails":{"priceCompId":"1368600646","priceCompDesc":"FLAT","valueAmt":"2","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</si>
</sst>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12" fillId="0" borderId="0"/>
    <xf numFmtId="44" fontId="14" fillId="0" borderId="0" applyFont="0" applyFill="0" applyBorder="0" applyAlignment="0" applyProtection="0"/>
  </cellStyleXfs>
  <cellXfs count="17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0" fillId="19" borderId="1" xfId="0" applyNumberFormat="1" applyFill="1" applyBorder="1" applyAlignment="1">
      <alignment horizontal="left" vertical="top"/>
    </xf>
    <xf numFmtId="0" fontId="0" fillId="19"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left" vertical="top"/>
    </xf>
    <xf numFmtId="0" fontId="11" fillId="21" borderId="0" xfId="0" applyFont="1"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164" fontId="0" fillId="5" borderId="1" xfId="0" applyNumberFormat="1" applyFill="1" applyBorder="1" applyAlignment="1">
      <alignment horizontal="left" vertical="top"/>
    </xf>
    <xf numFmtId="2" fontId="0" fillId="19"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3" fontId="0" fillId="19" borderId="1" xfId="0" applyNumberFormat="1" applyFill="1" applyBorder="1" applyAlignment="1">
      <alignment horizontal="left" vertical="top"/>
    </xf>
    <xf numFmtId="3" fontId="0" fillId="5" borderId="1" xfId="0" applyNumberFormat="1" applyFill="1" applyBorder="1" applyAlignment="1">
      <alignment horizontal="left" vertical="top"/>
    </xf>
    <xf numFmtId="3" fontId="11" fillId="21" borderId="1" xfId="0" applyNumberFormat="1" applyFont="1" applyFill="1" applyBorder="1" applyAlignment="1">
      <alignment horizontal="left" vertical="top"/>
    </xf>
    <xf numFmtId="3" fontId="11" fillId="22" borderId="1" xfId="0" applyNumberFormat="1" applyFont="1" applyFill="1" applyBorder="1" applyAlignment="1">
      <alignment horizontal="left" vertical="top"/>
    </xf>
    <xf numFmtId="4" fontId="0" fillId="19" borderId="1" xfId="0" applyNumberFormat="1"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11" fillId="13" borderId="0" xfId="0" applyFont="1" applyFill="1" applyBorder="1" applyAlignment="1">
      <alignment horizontal="left" vertical="top"/>
    </xf>
    <xf numFmtId="49" fontId="0" fillId="15" borderId="1" xfId="0" applyNumberFormat="1" applyFill="1" applyBorder="1" applyAlignment="1">
      <alignment horizontal="left" vertical="top" wrapText="1"/>
    </xf>
    <xf numFmtId="0" fontId="0" fillId="0" borderId="0" xfId="0" applyAlignment="1"/>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8" borderId="0" xfId="0" applyFont="1" applyFill="1" applyAlignment="1">
      <alignment horizontal="left"/>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3" borderId="6" xfId="0" applyFont="1" applyFill="1" applyBorder="1" applyAlignment="1">
      <alignment horizontal="center" vertical="top"/>
    </xf>
    <xf numFmtId="0" fontId="11" fillId="15" borderId="6" xfId="0" applyFont="1" applyFill="1" applyBorder="1" applyAlignment="1">
      <alignment horizontal="center"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78"/>
  <sheetViews>
    <sheetView tabSelected="1" topLeftCell="F249" zoomScale="56" zoomScaleNormal="56" workbookViewId="0">
      <selection activeCell="M264" sqref="M264"/>
    </sheetView>
  </sheetViews>
  <sheetFormatPr defaultRowHeight="14.5" x14ac:dyDescent="0.35"/>
  <cols>
    <col min="1" max="1" customWidth="true" width="24.6328125" collapsed="true"/>
    <col min="2" max="2" customWidth="true" width="39.0" collapsed="true"/>
    <col min="3" max="16" customWidth="true" width="24.63281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475</v>
      </c>
      <c r="D4" s="28" t="s">
        <v>139</v>
      </c>
      <c r="E4" s="28" t="s">
        <v>140</v>
      </c>
      <c r="F4" s="28"/>
      <c r="G4" s="28"/>
      <c r="H4" s="28"/>
      <c r="I4" s="28" t="s">
        <v>141</v>
      </c>
      <c r="J4" s="28" t="s">
        <v>476</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156</v>
      </c>
      <c r="E10" s="28" t="s">
        <v>157</v>
      </c>
      <c r="F10" s="28" t="s">
        <v>158</v>
      </c>
      <c r="G10" s="28" t="s">
        <v>159</v>
      </c>
      <c r="H10" s="28" t="s">
        <v>160</v>
      </c>
      <c r="I10" s="28" t="s">
        <v>161</v>
      </c>
      <c r="J10" s="28" t="s">
        <v>477</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
        <v>501</v>
      </c>
      <c r="C16" s="30">
        <v>2131846279</v>
      </c>
      <c r="D16" s="31" t="s">
        <v>157</v>
      </c>
      <c r="E16" s="32" t="s">
        <v>170</v>
      </c>
      <c r="F16" s="31" t="s">
        <v>158</v>
      </c>
      <c r="G16" s="32"/>
      <c r="H16" s="31" t="s">
        <v>171</v>
      </c>
      <c r="I16" s="14"/>
    </row>
    <row r="18" spans="1:117" ht="18.5" x14ac:dyDescent="0.35">
      <c r="A18" s="163" t="s">
        <v>178</v>
      </c>
      <c r="B18" s="163"/>
      <c r="C18" s="163"/>
    </row>
    <row r="19" spans="1:117" ht="15.5"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64" t="s">
        <v>186</v>
      </c>
      <c r="B23" s="165"/>
      <c r="C23" s="165"/>
      <c r="D23" s="165"/>
      <c r="E23" s="165"/>
      <c r="F23" s="165"/>
      <c r="G23" s="165"/>
      <c r="H23" s="165"/>
      <c r="I23" s="165"/>
      <c r="J23" s="165"/>
      <c r="K23" s="165"/>
      <c r="L23" s="165"/>
      <c r="M23" s="165"/>
      <c r="N23" s="165"/>
      <c r="O23" s="165"/>
      <c r="P23" s="165"/>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32" t="s">
        <v>265</v>
      </c>
      <c r="B58" s="133"/>
      <c r="C58" s="133"/>
      <c r="D58" s="134"/>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132" t="s">
        <v>258</v>
      </c>
      <c r="B62" s="133"/>
      <c r="C62" s="133"/>
      <c r="D62" s="134"/>
    </row>
    <row r="63" spans="1:117" ht="15.5" x14ac:dyDescent="0.35">
      <c r="A63" s="26" t="s">
        <v>259</v>
      </c>
      <c r="B63" s="27" t="s">
        <v>260</v>
      </c>
      <c r="C63" s="27" t="s">
        <v>246</v>
      </c>
      <c r="D63" s="26" t="s">
        <v>261</v>
      </c>
      <c r="E63" s="26" t="s">
        <v>193</v>
      </c>
      <c r="F63" s="25" t="s">
        <v>172</v>
      </c>
      <c r="G63" s="25"/>
    </row>
    <row r="64" spans="1:117" x14ac:dyDescent="0.35">
      <c r="A64" s="31" t="s">
        <v>262</v>
      </c>
      <c r="B64" s="28" t="s">
        <v>475</v>
      </c>
      <c r="C64" s="31" t="s">
        <v>177</v>
      </c>
      <c r="D64" s="31" t="s">
        <v>201</v>
      </c>
      <c r="E64" s="31" t="s">
        <v>263</v>
      </c>
      <c r="F64" s="31" t="s">
        <v>174</v>
      </c>
      <c r="G64" s="31"/>
    </row>
    <row r="65" spans="1:14" x14ac:dyDescent="0.35">
      <c r="A65" s="31" t="s">
        <v>262</v>
      </c>
      <c r="B65" s="28" t="s">
        <v>475</v>
      </c>
      <c r="C65" s="31" t="s">
        <v>254</v>
      </c>
      <c r="D65" s="31" t="s">
        <v>201</v>
      </c>
      <c r="E65" s="31" t="s">
        <v>264</v>
      </c>
      <c r="F65" s="31" t="s">
        <v>174</v>
      </c>
      <c r="G65" s="31"/>
    </row>
    <row r="66" spans="1:14" x14ac:dyDescent="0.35">
      <c r="A66" s="31" t="s">
        <v>262</v>
      </c>
      <c r="B66" s="28" t="s">
        <v>475</v>
      </c>
      <c r="C66" s="31" t="s">
        <v>253</v>
      </c>
      <c r="D66" s="31" t="s">
        <v>201</v>
      </c>
      <c r="E66" s="31" t="s">
        <v>264</v>
      </c>
      <c r="F66" s="31" t="s">
        <v>174</v>
      </c>
      <c r="G66" s="31"/>
    </row>
    <row r="68" spans="1:14" ht="18.5" x14ac:dyDescent="0.35">
      <c r="A68" s="132" t="s">
        <v>243</v>
      </c>
      <c r="B68" s="133"/>
      <c r="C68" s="133"/>
      <c r="D68" s="133"/>
      <c r="E68" s="133"/>
      <c r="F68" s="133"/>
      <c r="G68" s="133"/>
      <c r="H68" s="133"/>
      <c r="I68" s="134"/>
    </row>
    <row r="69" spans="1:14" ht="15.5" x14ac:dyDescent="0.35">
      <c r="A69" s="25" t="s">
        <v>131</v>
      </c>
      <c r="B69" s="25" t="s">
        <v>147</v>
      </c>
      <c r="C69" s="25" t="s">
        <v>244</v>
      </c>
      <c r="D69" s="25" t="s">
        <v>245</v>
      </c>
      <c r="E69" s="25" t="s">
        <v>246</v>
      </c>
      <c r="F69" s="25" t="s">
        <v>269</v>
      </c>
      <c r="G69" s="25" t="s">
        <v>271</v>
      </c>
      <c r="H69" s="25" t="s">
        <v>270</v>
      </c>
      <c r="I69" s="25" t="s">
        <v>272</v>
      </c>
      <c r="J69" s="25" t="s">
        <v>247</v>
      </c>
      <c r="K69" s="25" t="s">
        <v>248</v>
      </c>
      <c r="L69" s="25" t="s">
        <v>249</v>
      </c>
      <c r="M69" s="25" t="s">
        <v>250</v>
      </c>
      <c r="N69" s="25" t="s">
        <v>251</v>
      </c>
    </row>
    <row r="70" spans="1:14" x14ac:dyDescent="0.35">
      <c r="A70" s="28" t="s">
        <v>475</v>
      </c>
      <c r="B70" s="28">
        <f>C10</f>
        <v>2131846854</v>
      </c>
      <c r="C70" s="28" t="s">
        <v>477</v>
      </c>
      <c r="D70" s="30">
        <f>C16</f>
        <v>2131846279</v>
      </c>
      <c r="E70" s="31" t="s">
        <v>177</v>
      </c>
      <c r="F70" s="31"/>
      <c r="G70" s="31"/>
      <c r="H70" s="31"/>
      <c r="I70" s="31"/>
      <c r="J70" s="42" t="str">
        <f ca="1">TEXT(TODAY()-60,"DD-MMM-YY")</f>
        <v>27-Mar-23</v>
      </c>
      <c r="K70" s="42" t="str">
        <f ca="1">TEXT(TODAY()-30,"DD-MMM-YY")</f>
        <v>26-Apr-23</v>
      </c>
      <c r="L70" s="32" t="s">
        <v>174</v>
      </c>
      <c r="M70" s="32">
        <v>12</v>
      </c>
      <c r="N70" s="40">
        <v>213369761535</v>
      </c>
    </row>
    <row r="71" spans="1:14" x14ac:dyDescent="0.35">
      <c r="A71" s="28" t="s">
        <v>475</v>
      </c>
      <c r="B71" s="28">
        <f>C10</f>
        <v>2131846854</v>
      </c>
      <c r="C71" s="28" t="s">
        <v>477</v>
      </c>
      <c r="D71" s="30">
        <f>C16</f>
        <v>2131846279</v>
      </c>
      <c r="E71" s="31" t="s">
        <v>177</v>
      </c>
      <c r="F71" s="31"/>
      <c r="G71" s="31"/>
      <c r="H71" s="31"/>
      <c r="I71" s="31"/>
      <c r="J71" s="42" t="str">
        <f ca="1">TEXT(TODAY()-90,"DD-MMM-YY")</f>
        <v>25-Feb-23</v>
      </c>
      <c r="K71" s="42" t="str">
        <f ca="1">TEXT(TODAY()-61,"DD-MMM-YY")</f>
        <v>26-Mar-23</v>
      </c>
      <c r="L71" s="32" t="s">
        <v>174</v>
      </c>
      <c r="M71" s="32">
        <v>13</v>
      </c>
      <c r="N71" s="40">
        <v>213580453001</v>
      </c>
    </row>
    <row r="72" spans="1:14" x14ac:dyDescent="0.35">
      <c r="A72" s="28" t="s">
        <v>475</v>
      </c>
      <c r="B72" s="28">
        <f>C10</f>
        <v>2131846854</v>
      </c>
      <c r="C72" s="28" t="s">
        <v>477</v>
      </c>
      <c r="D72" s="30">
        <f>C16</f>
        <v>2131846279</v>
      </c>
      <c r="E72" s="31" t="s">
        <v>254</v>
      </c>
      <c r="F72" s="31"/>
      <c r="G72" s="31"/>
      <c r="H72" s="31"/>
      <c r="I72" s="31"/>
      <c r="J72" s="42" t="str">
        <f ca="1">TEXT(TODAY()-120,"DD-MMM-YY")</f>
        <v>26-Jan-23</v>
      </c>
      <c r="K72" s="42" t="str">
        <f ca="1">TEXT(TODAY()-91,"DD-MMM-YY")</f>
        <v>24-Feb-23</v>
      </c>
      <c r="L72" s="32" t="s">
        <v>174</v>
      </c>
      <c r="M72" s="32">
        <v>6</v>
      </c>
      <c r="N72" s="40">
        <v>213850234916</v>
      </c>
    </row>
    <row r="73" spans="1:14" x14ac:dyDescent="0.35">
      <c r="A73" s="28" t="s">
        <v>475</v>
      </c>
      <c r="B73" s="28">
        <f>C10</f>
        <v>2131846854</v>
      </c>
      <c r="C73" s="28" t="s">
        <v>477</v>
      </c>
      <c r="D73" s="30">
        <f>C16</f>
        <v>2131846279</v>
      </c>
      <c r="E73" s="31" t="s">
        <v>253</v>
      </c>
      <c r="F73" s="31" t="s">
        <v>266</v>
      </c>
      <c r="G73" s="31" t="s">
        <v>157</v>
      </c>
      <c r="H73" s="31" t="s">
        <v>267</v>
      </c>
      <c r="I73" s="31" t="s">
        <v>268</v>
      </c>
      <c r="J73" s="42" t="str">
        <f ca="1">TEXT(TODAY()-150,"DD-MMM-YY")</f>
        <v>27-Dec-22</v>
      </c>
      <c r="K73" s="42" t="str">
        <f ca="1">TEXT(TODAY()-121,"DD-MMM-YY")</f>
        <v>25-Jan-23</v>
      </c>
      <c r="L73" s="32" t="s">
        <v>174</v>
      </c>
      <c r="M73" s="32">
        <v>7</v>
      </c>
      <c r="N73" s="40">
        <v>213585924038</v>
      </c>
    </row>
    <row r="74" spans="1:14" x14ac:dyDescent="0.35">
      <c r="A74" s="28" t="s">
        <v>475</v>
      </c>
      <c r="B74" s="41">
        <f>C10</f>
        <v>2131846854</v>
      </c>
      <c r="C74" s="28" t="s">
        <v>477</v>
      </c>
      <c r="D74" s="30">
        <f>C16</f>
        <v>2131846279</v>
      </c>
      <c r="E74" s="31" t="s">
        <v>253</v>
      </c>
      <c r="F74" s="31" t="s">
        <v>266</v>
      </c>
      <c r="G74" s="31" t="s">
        <v>157</v>
      </c>
      <c r="H74" s="31" t="s">
        <v>267</v>
      </c>
      <c r="I74" s="31" t="s">
        <v>273</v>
      </c>
      <c r="J74" s="42" t="str">
        <f ca="1">TEXT(TODAY()-180,"DD-MMM-YY")</f>
        <v>27-Nov-22</v>
      </c>
      <c r="K74" s="42" t="str">
        <f ca="1">TEXT(TODAY()-151,"DD-MMM-YY")</f>
        <v>26-Dec-22</v>
      </c>
      <c r="L74" s="32" t="s">
        <v>174</v>
      </c>
      <c r="M74" s="32">
        <v>10</v>
      </c>
      <c r="N74" s="40">
        <v>213407537000</v>
      </c>
    </row>
    <row r="76" spans="1:14" ht="50.4" customHeight="1" x14ac:dyDescent="0.35">
      <c r="A76" s="166" t="s">
        <v>274</v>
      </c>
      <c r="B76" s="166"/>
      <c r="C76" s="166"/>
      <c r="D76" s="166"/>
      <c r="E76" s="166"/>
      <c r="F76" s="166"/>
      <c r="G76" s="166"/>
      <c r="H76" s="166"/>
      <c r="I76" s="166"/>
      <c r="J76" s="166"/>
      <c r="K76" s="166"/>
    </row>
    <row r="78" spans="1:14" ht="16.75" customHeight="1" x14ac:dyDescent="0.35">
      <c r="A78" s="167" t="s">
        <v>275</v>
      </c>
      <c r="B78" s="167"/>
      <c r="C78" s="167"/>
      <c r="D78" s="167"/>
    </row>
    <row r="79" spans="1:14" x14ac:dyDescent="0.35">
      <c r="A79" s="43" t="s">
        <v>276</v>
      </c>
      <c r="B79" s="43" t="s">
        <v>277</v>
      </c>
      <c r="C79" s="43" t="s">
        <v>130</v>
      </c>
      <c r="D79" s="43" t="s">
        <v>278</v>
      </c>
    </row>
    <row r="80" spans="1:14" x14ac:dyDescent="0.35">
      <c r="A80" s="32" t="s">
        <v>279</v>
      </c>
      <c r="B80" s="28">
        <v>8797366188</v>
      </c>
      <c r="C80" s="44" t="s">
        <v>280</v>
      </c>
      <c r="D80" s="28" t="s">
        <v>475</v>
      </c>
    </row>
    <row r="82" spans="1:78" x14ac:dyDescent="0.35">
      <c r="A82" s="45" t="s">
        <v>281</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282</v>
      </c>
      <c r="B83" s="47" t="s">
        <v>283</v>
      </c>
      <c r="C83" s="47" t="s">
        <v>284</v>
      </c>
      <c r="D83" s="47" t="s">
        <v>285</v>
      </c>
      <c r="E83" s="47" t="s">
        <v>286</v>
      </c>
      <c r="F83" s="47" t="s">
        <v>287</v>
      </c>
      <c r="G83" s="47" t="s">
        <v>288</v>
      </c>
      <c r="H83" s="47" t="s">
        <v>289</v>
      </c>
      <c r="I83" s="47" t="s">
        <v>290</v>
      </c>
      <c r="J83" s="47" t="s">
        <v>291</v>
      </c>
      <c r="K83" s="47" t="s">
        <v>292</v>
      </c>
      <c r="L83" s="47" t="s">
        <v>293</v>
      </c>
      <c r="M83" s="47" t="s">
        <v>294</v>
      </c>
      <c r="N83" s="47" t="s">
        <v>295</v>
      </c>
      <c r="O83" s="47" t="s">
        <v>296</v>
      </c>
      <c r="P83" s="47" t="s">
        <v>297</v>
      </c>
      <c r="Q83" s="47" t="s">
        <v>298</v>
      </c>
      <c r="R83" s="47" t="s">
        <v>299</v>
      </c>
      <c r="S83" s="48" t="s">
        <v>300</v>
      </c>
      <c r="T83" s="156" t="s">
        <v>301</v>
      </c>
      <c r="U83" s="157"/>
      <c r="V83" s="158"/>
      <c r="W83" s="156" t="s">
        <v>302</v>
      </c>
      <c r="X83" s="158"/>
      <c r="Y83" s="49"/>
      <c r="Z83" s="153" t="s">
        <v>303</v>
      </c>
      <c r="AA83" s="154"/>
      <c r="AB83" s="154"/>
      <c r="AC83" s="154"/>
      <c r="AD83" s="154"/>
      <c r="AE83" s="154"/>
      <c r="AF83" s="155"/>
      <c r="AG83" s="153" t="s">
        <v>304</v>
      </c>
      <c r="AH83" s="154"/>
      <c r="AI83" s="154"/>
      <c r="AJ83" s="154"/>
      <c r="AK83" s="154"/>
      <c r="AL83" s="155"/>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305</v>
      </c>
      <c r="U84" s="54" t="s">
        <v>306</v>
      </c>
      <c r="V84" s="54" t="s">
        <v>307</v>
      </c>
      <c r="W84" s="54" t="s">
        <v>308</v>
      </c>
      <c r="X84" s="54" t="s">
        <v>309</v>
      </c>
      <c r="Y84" s="54" t="s">
        <v>310</v>
      </c>
      <c r="Z84" s="54" t="s">
        <v>311</v>
      </c>
      <c r="AA84" s="54" t="s">
        <v>312</v>
      </c>
      <c r="AB84" s="54" t="s">
        <v>313</v>
      </c>
      <c r="AC84" s="54" t="s">
        <v>314</v>
      </c>
      <c r="AD84" s="54" t="s">
        <v>315</v>
      </c>
      <c r="AE84" s="54" t="s">
        <v>316</v>
      </c>
      <c r="AF84" s="54" t="s">
        <v>317</v>
      </c>
      <c r="AG84" s="54" t="s">
        <v>318</v>
      </c>
      <c r="AH84" s="54" t="s">
        <v>319</v>
      </c>
      <c r="AI84" s="54" t="s">
        <v>320</v>
      </c>
      <c r="AJ84" s="54" t="s">
        <v>321</v>
      </c>
      <c r="AK84" s="54" t="s">
        <v>322</v>
      </c>
      <c r="AL84" s="54" t="s">
        <v>323</v>
      </c>
      <c r="AM84" s="53" t="s">
        <v>324</v>
      </c>
      <c r="AN84" s="54" t="s">
        <v>325</v>
      </c>
      <c r="AO84" s="54" t="s">
        <v>326</v>
      </c>
      <c r="AP84" s="55" t="s">
        <v>327</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328</v>
      </c>
      <c r="B85" s="28">
        <v>8797366188</v>
      </c>
      <c r="C85" s="56" t="s">
        <v>453</v>
      </c>
      <c r="D85" s="57" t="s">
        <v>349</v>
      </c>
      <c r="E85" s="41" t="s">
        <v>159</v>
      </c>
      <c r="F85" s="56" t="s">
        <v>329</v>
      </c>
      <c r="G85" s="58" t="str">
        <f ca="1">TEXT(TODAY(),"YYYY-MM-DD")</f>
        <v>2023-05-26</v>
      </c>
      <c r="H85" s="58" t="str">
        <f ca="1">TEXT(TODAY(),"YYYY-MM-DD")</f>
        <v>2023-05-26</v>
      </c>
      <c r="I85" s="56">
        <v>12</v>
      </c>
      <c r="J85" s="56">
        <v>12</v>
      </c>
      <c r="K85" s="56">
        <v>12</v>
      </c>
      <c r="L85" s="56" t="s">
        <v>454</v>
      </c>
      <c r="M85" s="56" t="s">
        <v>455</v>
      </c>
      <c r="N85" s="30" t="s">
        <v>331</v>
      </c>
      <c r="O85" s="30" t="s">
        <v>330</v>
      </c>
      <c r="P85" s="30" t="s">
        <v>331</v>
      </c>
      <c r="Q85" s="30" t="s">
        <v>331</v>
      </c>
      <c r="R85" s="30" t="s">
        <v>331</v>
      </c>
      <c r="S85" s="41"/>
      <c r="T85" s="41" t="s">
        <v>332</v>
      </c>
      <c r="U85" s="41" t="s">
        <v>333</v>
      </c>
      <c r="V85" s="41"/>
      <c r="W85" s="41" t="s">
        <v>334</v>
      </c>
      <c r="X85" s="41" t="s">
        <v>335</v>
      </c>
      <c r="Y85" s="41"/>
      <c r="Z85" s="41" t="s">
        <v>459</v>
      </c>
      <c r="AA85" s="41"/>
      <c r="AB85" s="41"/>
      <c r="AC85" s="41" t="s">
        <v>460</v>
      </c>
      <c r="AD85" s="41" t="s">
        <v>330</v>
      </c>
      <c r="AE85" s="41" t="s">
        <v>330</v>
      </c>
      <c r="AF85" s="41" t="s">
        <v>331</v>
      </c>
      <c r="AG85" s="41"/>
      <c r="AH85" s="41"/>
      <c r="AI85" s="41"/>
      <c r="AJ85" s="41" t="s">
        <v>331</v>
      </c>
      <c r="AK85" s="41" t="s">
        <v>331</v>
      </c>
      <c r="AL85" s="41" t="s">
        <v>331</v>
      </c>
      <c r="AM85" s="56"/>
      <c r="AN85" s="56">
        <v>26</v>
      </c>
      <c r="AO85" s="56">
        <v>25</v>
      </c>
      <c r="AP85" s="56">
        <v>9</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336</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337</v>
      </c>
      <c r="G88" s="24" t="s">
        <v>338</v>
      </c>
      <c r="H88" s="24" t="s">
        <v>339</v>
      </c>
      <c r="I88" s="24" t="s">
        <v>340</v>
      </c>
      <c r="J88" s="24" t="s">
        <v>341</v>
      </c>
      <c r="K88" s="24" t="s">
        <v>342</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2023-05-26</v>
      </c>
      <c r="D89" s="34" t="s">
        <v>157</v>
      </c>
      <c r="E89" s="34" t="s">
        <v>347</v>
      </c>
      <c r="F89" s="62" t="str">
        <f ca="1">TEXT(TODAY()+365,"YYYY-MM-DD")</f>
        <v>2024-05-25</v>
      </c>
      <c r="G89" s="58" t="s">
        <v>331</v>
      </c>
      <c r="H89" s="28">
        <f>A4</f>
        <v>8797366188</v>
      </c>
      <c r="I89" s="34" t="s">
        <v>343</v>
      </c>
      <c r="J89" s="34" t="s">
        <v>348</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345</v>
      </c>
      <c r="B90" s="34" t="s">
        <v>346</v>
      </c>
      <c r="C90" s="34" t="str">
        <f ca="1">TEXT(TODAY(),"YYYY-MM-DD")</f>
        <v>2023-05-26</v>
      </c>
      <c r="D90" s="34" t="s">
        <v>157</v>
      </c>
      <c r="E90" s="34" t="s">
        <v>183</v>
      </c>
      <c r="F90" s="62" t="str">
        <f ca="1">TEXT(TODAY()+365,"YYYY-MM-DD")</f>
        <v>2024-05-25</v>
      </c>
      <c r="G90" s="58" t="s">
        <v>331</v>
      </c>
      <c r="H90" s="28">
        <f>A4</f>
        <v>8797366188</v>
      </c>
      <c r="I90" s="34" t="s">
        <v>343</v>
      </c>
      <c r="J90" s="34" t="s">
        <v>344</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35" t="s">
        <v>437</v>
      </c>
      <c r="B92" s="136"/>
      <c r="C92" s="136"/>
      <c r="D92" s="136"/>
      <c r="E92" s="136"/>
      <c r="F92" s="136"/>
      <c r="G92" s="136"/>
      <c r="H92" s="136"/>
      <c r="I92" s="136"/>
      <c r="J92" s="136"/>
      <c r="K92" s="136"/>
      <c r="L92" s="136"/>
      <c r="M92" s="136"/>
      <c r="N92" s="136"/>
      <c r="O92" s="136"/>
      <c r="P92" s="136"/>
      <c r="Q92" s="136"/>
      <c r="R92" s="136"/>
      <c r="S92" s="84"/>
      <c r="AE92" s="52"/>
      <c r="AF92" s="52"/>
      <c r="AG92" s="52"/>
    </row>
    <row r="93" spans="1:78" x14ac:dyDescent="0.35">
      <c r="A93" s="85" t="s">
        <v>400</v>
      </c>
      <c r="B93" s="85" t="s">
        <v>401</v>
      </c>
      <c r="C93" s="85" t="s">
        <v>402</v>
      </c>
      <c r="D93" s="88" t="s">
        <v>288</v>
      </c>
      <c r="E93" s="88" t="s">
        <v>300</v>
      </c>
      <c r="F93" s="88" t="s">
        <v>193</v>
      </c>
      <c r="G93" s="85" t="s">
        <v>403</v>
      </c>
      <c r="H93" s="89" t="s">
        <v>404</v>
      </c>
      <c r="I93" s="88" t="s">
        <v>172</v>
      </c>
      <c r="J93" s="88" t="s">
        <v>405</v>
      </c>
      <c r="K93" s="90" t="s">
        <v>358</v>
      </c>
      <c r="L93" s="88" t="s">
        <v>406</v>
      </c>
      <c r="M93" s="90" t="s">
        <v>359</v>
      </c>
      <c r="N93" s="88" t="s">
        <v>407</v>
      </c>
      <c r="O93" s="88" t="s">
        <v>408</v>
      </c>
      <c r="P93" s="88" t="s">
        <v>366</v>
      </c>
      <c r="Q93" s="88" t="s">
        <v>409</v>
      </c>
      <c r="R93" s="88" t="s">
        <v>410</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173</v>
      </c>
      <c r="B94" s="79"/>
      <c r="C94" s="92" t="s">
        <v>425</v>
      </c>
      <c r="D94" s="92"/>
      <c r="E94" s="92"/>
      <c r="F94" s="92">
        <v>21.33</v>
      </c>
      <c r="G94" s="92" t="str">
        <f>CONCATENATE("USD,FLAT ",TEXT(F94,"0.00"))</f>
        <v>USD,FLAT 21.33</v>
      </c>
      <c r="H94" s="94" t="str">
        <f>TEXT(21.33,"0.00")</f>
        <v>21.33</v>
      </c>
      <c r="I94" s="92" t="s">
        <v>174</v>
      </c>
      <c r="J94" s="121">
        <v>2</v>
      </c>
      <c r="K94" s="94" t="str">
        <f>TEXT(42.66,"0.00")</f>
        <v>42.66</v>
      </c>
      <c r="L94" s="92"/>
      <c r="M94" s="94" t="str">
        <f>TEXT(26,"0")</f>
        <v>26</v>
      </c>
      <c r="N94" s="92"/>
      <c r="O94" s="92" t="s">
        <v>423</v>
      </c>
      <c r="P94" s="92" t="s">
        <v>422</v>
      </c>
      <c r="Q94" s="92"/>
      <c r="R94" s="92"/>
      <c r="S94" s="95"/>
      <c r="U94" s="52"/>
      <c r="V94" s="52"/>
      <c r="W94" s="52"/>
      <c r="X94" s="52"/>
      <c r="Y94" s="52"/>
      <c r="Z94" s="52"/>
      <c r="AA94" s="52"/>
      <c r="AB94" s="52"/>
      <c r="AC94" s="52"/>
      <c r="AD94" s="52"/>
      <c r="AE94" s="52"/>
      <c r="AF94" s="52"/>
      <c r="AG94" s="52"/>
      <c r="AH94" s="52"/>
      <c r="AI94" s="52"/>
      <c r="AJ94" s="52"/>
      <c r="AK94" s="52"/>
      <c r="AL94" s="52"/>
      <c r="AN94" s="52"/>
      <c r="AO94" s="52"/>
      <c r="AP94" s="52"/>
      <c r="AQ94" s="52"/>
      <c r="AR94" s="52"/>
    </row>
    <row r="95" spans="1:78" x14ac:dyDescent="0.35">
      <c r="A95" s="79"/>
      <c r="B95" s="79"/>
      <c r="C95" s="96" t="s">
        <v>438</v>
      </c>
      <c r="D95" s="96"/>
      <c r="E95" s="96"/>
      <c r="F95" s="96"/>
      <c r="G95" s="96"/>
      <c r="H95" s="113"/>
      <c r="I95" s="96"/>
      <c r="J95" s="122"/>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N95" s="52"/>
      <c r="AO95" s="52"/>
      <c r="AP95" s="52"/>
      <c r="AQ95" s="52"/>
      <c r="AR95" s="52"/>
    </row>
    <row r="96" spans="1:78" x14ac:dyDescent="0.35">
      <c r="A96" s="79"/>
      <c r="B96" s="79"/>
      <c r="C96" s="82" t="s">
        <v>424</v>
      </c>
      <c r="D96" s="82"/>
      <c r="E96" s="82"/>
      <c r="F96" s="82"/>
      <c r="G96" s="82"/>
      <c r="H96" s="82"/>
      <c r="I96" s="82"/>
      <c r="J96" s="82"/>
      <c r="K96" s="100"/>
      <c r="L96" s="82"/>
      <c r="M96" s="101"/>
      <c r="N96" s="82"/>
      <c r="O96" s="82"/>
      <c r="P96" s="82"/>
      <c r="Q96" s="82"/>
      <c r="R96" s="82"/>
      <c r="S96" s="102"/>
    </row>
    <row r="97" spans="1:19" x14ac:dyDescent="0.35">
      <c r="A97" s="79"/>
      <c r="B97" s="79"/>
      <c r="C97" s="103" t="s">
        <v>439</v>
      </c>
      <c r="D97" s="103"/>
      <c r="E97" s="103"/>
      <c r="F97" s="103"/>
      <c r="G97" s="103"/>
      <c r="H97" s="103"/>
      <c r="I97" s="103"/>
      <c r="J97" s="103"/>
      <c r="K97" s="104"/>
      <c r="L97" s="103"/>
      <c r="M97" s="105"/>
      <c r="N97" s="103"/>
      <c r="O97" s="103"/>
      <c r="P97" s="103"/>
      <c r="Q97" s="103"/>
      <c r="R97" s="103"/>
      <c r="S97" s="106"/>
    </row>
    <row r="98" spans="1:19" x14ac:dyDescent="0.35">
      <c r="A98" s="91" t="s">
        <v>175</v>
      </c>
      <c r="B98" s="79"/>
      <c r="C98" s="92" t="s">
        <v>425</v>
      </c>
      <c r="D98" s="92"/>
      <c r="E98" s="92"/>
      <c r="F98" s="92">
        <v>25</v>
      </c>
      <c r="G98" s="92" t="str">
        <f>CONCATENATE("USD,FLAT ",TEXT(F98,"0.00"))</f>
        <v>USD,FLAT 25.00</v>
      </c>
      <c r="H98" s="94" t="str">
        <f>TEXT(25,"0")</f>
        <v>25</v>
      </c>
      <c r="I98" s="92" t="s">
        <v>174</v>
      </c>
      <c r="J98" s="121">
        <v>2</v>
      </c>
      <c r="K98" s="94" t="str">
        <f>TEXT(50,"0")</f>
        <v>50</v>
      </c>
      <c r="L98" s="92"/>
      <c r="M98" s="94" t="str">
        <f>TEXT(26,"0")</f>
        <v>26</v>
      </c>
      <c r="N98" s="92" t="s">
        <v>346</v>
      </c>
      <c r="O98" s="92" t="s">
        <v>427</v>
      </c>
      <c r="P98" s="92" t="s">
        <v>422</v>
      </c>
      <c r="Q98" s="92"/>
      <c r="R98" s="92"/>
      <c r="S98" s="95"/>
    </row>
    <row r="99" spans="1:19" x14ac:dyDescent="0.35">
      <c r="A99" s="79"/>
      <c r="B99" s="79"/>
      <c r="C99" s="96" t="s">
        <v>438</v>
      </c>
      <c r="D99" s="96"/>
      <c r="E99" s="96"/>
      <c r="F99" s="96"/>
      <c r="G99" s="96"/>
      <c r="H99" s="113"/>
      <c r="I99" s="96"/>
      <c r="J99" s="122"/>
      <c r="K99" s="97"/>
      <c r="L99" s="96"/>
      <c r="M99" s="98"/>
      <c r="N99" s="96"/>
      <c r="O99" s="96"/>
      <c r="P99" s="96"/>
      <c r="Q99" s="96"/>
      <c r="R99" s="96"/>
      <c r="S99" s="99"/>
    </row>
    <row r="100" spans="1:19" x14ac:dyDescent="0.35">
      <c r="A100" s="79"/>
      <c r="B100" s="79"/>
      <c r="C100" s="82" t="s">
        <v>424</v>
      </c>
      <c r="D100" s="82"/>
      <c r="E100" s="82"/>
      <c r="F100" s="82"/>
      <c r="G100" s="82"/>
      <c r="H100" s="82"/>
      <c r="I100" s="82"/>
      <c r="J100" s="82"/>
      <c r="K100" s="100"/>
      <c r="L100" s="82"/>
      <c r="M100" s="101"/>
      <c r="N100" s="82"/>
      <c r="O100" s="82"/>
      <c r="P100" s="82"/>
      <c r="Q100" s="82"/>
      <c r="R100" s="82"/>
      <c r="S100" s="102"/>
    </row>
    <row r="101" spans="1:19" x14ac:dyDescent="0.35">
      <c r="A101" s="79"/>
      <c r="B101" s="79"/>
      <c r="C101" s="103" t="s">
        <v>439</v>
      </c>
      <c r="D101" s="103"/>
      <c r="E101" s="103"/>
      <c r="F101" s="103"/>
      <c r="G101" s="103"/>
      <c r="H101" s="103"/>
      <c r="I101" s="103"/>
      <c r="J101" s="103"/>
      <c r="K101" s="104"/>
      <c r="L101" s="103"/>
      <c r="M101" s="105"/>
      <c r="N101" s="103"/>
      <c r="O101" s="103"/>
      <c r="P101" s="103"/>
      <c r="Q101" s="103"/>
      <c r="R101" s="103"/>
      <c r="S101" s="106"/>
    </row>
    <row r="102" spans="1:19" x14ac:dyDescent="0.35">
      <c r="A102" s="91" t="s">
        <v>176</v>
      </c>
      <c r="B102" s="79"/>
      <c r="C102" s="92" t="s">
        <v>425</v>
      </c>
      <c r="D102" s="92"/>
      <c r="E102" s="92"/>
      <c r="F102" s="92">
        <v>23</v>
      </c>
      <c r="G102" s="92" t="str">
        <f>CONCATENATE("USD,FLAT ",TEXT(F102,"0.00"))</f>
        <v>USD,FLAT 23.00</v>
      </c>
      <c r="H102" s="94" t="str">
        <f>TEXT(25,"0")</f>
        <v>25</v>
      </c>
      <c r="I102" s="92" t="s">
        <v>174</v>
      </c>
      <c r="J102" s="121">
        <v>2</v>
      </c>
      <c r="K102" s="94" t="str">
        <f>TEXT(50,"0")</f>
        <v>50</v>
      </c>
      <c r="L102" s="92"/>
      <c r="M102" s="94" t="str">
        <f>TEXT(26,"0")</f>
        <v>26</v>
      </c>
      <c r="N102" s="92" t="s">
        <v>346</v>
      </c>
      <c r="O102" s="92" t="s">
        <v>427</v>
      </c>
      <c r="P102" s="92" t="s">
        <v>422</v>
      </c>
      <c r="Q102" s="92"/>
      <c r="R102" s="92"/>
      <c r="S102" s="95"/>
    </row>
    <row r="103" spans="1:19" x14ac:dyDescent="0.35">
      <c r="A103" s="79"/>
      <c r="B103" s="79"/>
      <c r="C103" s="96" t="s">
        <v>438</v>
      </c>
      <c r="D103" s="96"/>
      <c r="E103" s="96"/>
      <c r="F103" s="96"/>
      <c r="G103" s="96"/>
      <c r="H103" s="113"/>
      <c r="I103" s="96"/>
      <c r="J103" s="122"/>
      <c r="K103" s="97"/>
      <c r="L103" s="96"/>
      <c r="M103" s="98"/>
      <c r="N103" s="96"/>
      <c r="O103" s="96"/>
      <c r="P103" s="96"/>
      <c r="Q103" s="96"/>
      <c r="R103" s="96"/>
      <c r="S103" s="99"/>
    </row>
    <row r="104" spans="1:19" x14ac:dyDescent="0.35">
      <c r="A104" s="79"/>
      <c r="B104" s="79"/>
      <c r="C104" s="82" t="s">
        <v>424</v>
      </c>
      <c r="D104" s="82"/>
      <c r="E104" s="82"/>
      <c r="F104" s="82"/>
      <c r="G104" s="82"/>
      <c r="H104" s="82"/>
      <c r="I104" s="82"/>
      <c r="J104" s="82"/>
      <c r="K104" s="100"/>
      <c r="L104" s="82"/>
      <c r="M104" s="101"/>
      <c r="N104" s="82"/>
      <c r="O104" s="82"/>
      <c r="P104" s="82"/>
      <c r="Q104" s="82"/>
      <c r="R104" s="82"/>
      <c r="S104" s="102"/>
    </row>
    <row r="105" spans="1:19" x14ac:dyDescent="0.35">
      <c r="A105" s="79"/>
      <c r="B105" s="79"/>
      <c r="C105" s="103" t="s">
        <v>439</v>
      </c>
      <c r="D105" s="103"/>
      <c r="E105" s="103"/>
      <c r="F105" s="103"/>
      <c r="G105" s="103"/>
      <c r="H105" s="103"/>
      <c r="I105" s="103"/>
      <c r="J105" s="103"/>
      <c r="K105" s="104"/>
      <c r="L105" s="103"/>
      <c r="M105" s="105"/>
      <c r="N105" s="103"/>
      <c r="O105" s="103"/>
      <c r="P105" s="103"/>
      <c r="Q105" s="103"/>
      <c r="R105" s="103"/>
      <c r="S105" s="106"/>
    </row>
    <row r="106" spans="1:19" x14ac:dyDescent="0.35">
      <c r="A106" s="91" t="s">
        <v>177</v>
      </c>
      <c r="B106" s="79"/>
      <c r="C106" s="92" t="s">
        <v>425</v>
      </c>
      <c r="D106" s="92"/>
      <c r="E106" s="92"/>
      <c r="F106" s="92">
        <v>25</v>
      </c>
      <c r="G106" s="92" t="str">
        <f>CONCATENATE("USD,FLAT ",TEXT(F106,"0.00"))</f>
        <v>USD,FLAT 25.00</v>
      </c>
      <c r="H106" s="94" t="str">
        <f>TEXT(25,"0")</f>
        <v>25</v>
      </c>
      <c r="I106" s="92" t="s">
        <v>174</v>
      </c>
      <c r="J106" s="121" t="str">
        <f>TEXT(67,"0")</f>
        <v>67</v>
      </c>
      <c r="K106" s="94" t="str">
        <f>TEXT(1675,"0")</f>
        <v>1675</v>
      </c>
      <c r="L106" s="92"/>
      <c r="M106" s="94" t="str">
        <f>TEXT(221,"0")</f>
        <v>221</v>
      </c>
      <c r="N106" s="92" t="s">
        <v>346</v>
      </c>
      <c r="O106" s="92" t="s">
        <v>427</v>
      </c>
      <c r="P106" s="92" t="s">
        <v>422</v>
      </c>
      <c r="Q106" s="92"/>
      <c r="R106" s="92"/>
      <c r="S106" s="95"/>
    </row>
    <row r="107" spans="1:19" x14ac:dyDescent="0.35">
      <c r="A107" s="79"/>
      <c r="B107" s="79"/>
      <c r="C107" s="96" t="s">
        <v>438</v>
      </c>
      <c r="D107" s="96"/>
      <c r="E107" s="96"/>
      <c r="F107" s="96"/>
      <c r="G107" s="96"/>
      <c r="H107" s="113"/>
      <c r="I107" s="96"/>
      <c r="J107" s="122"/>
      <c r="K107" s="97"/>
      <c r="L107" s="96"/>
      <c r="M107" s="97"/>
      <c r="N107" s="96"/>
      <c r="O107" s="96"/>
      <c r="P107" s="96"/>
      <c r="Q107" s="96"/>
      <c r="R107" s="96"/>
      <c r="S107" s="99"/>
    </row>
    <row r="108" spans="1:19" x14ac:dyDescent="0.35">
      <c r="A108" s="79"/>
      <c r="B108" s="79"/>
      <c r="C108" s="82" t="s">
        <v>424</v>
      </c>
      <c r="D108" s="82"/>
      <c r="E108" s="82"/>
      <c r="F108" s="82"/>
      <c r="G108" s="82"/>
      <c r="H108" s="82"/>
      <c r="I108" s="82"/>
      <c r="J108" s="82"/>
      <c r="K108" s="100"/>
      <c r="L108" s="82"/>
      <c r="M108" s="100"/>
      <c r="N108" s="82"/>
      <c r="O108" s="82"/>
      <c r="P108" s="82"/>
      <c r="Q108" s="82"/>
      <c r="R108" s="82"/>
      <c r="S108" s="102"/>
    </row>
    <row r="109" spans="1:19" x14ac:dyDescent="0.35">
      <c r="A109" s="79"/>
      <c r="B109" s="79"/>
      <c r="C109" s="103" t="s">
        <v>439</v>
      </c>
      <c r="D109" s="103"/>
      <c r="E109" s="103"/>
      <c r="F109" s="103"/>
      <c r="G109" s="103"/>
      <c r="H109" s="103"/>
      <c r="I109" s="103"/>
      <c r="J109" s="103"/>
      <c r="K109" s="104"/>
      <c r="L109" s="103"/>
      <c r="M109" s="104"/>
      <c r="N109" s="103"/>
      <c r="O109" s="103"/>
      <c r="P109" s="103"/>
      <c r="Q109" s="103"/>
      <c r="R109" s="103"/>
      <c r="S109" s="106"/>
    </row>
    <row r="110" spans="1:19" x14ac:dyDescent="0.35">
      <c r="A110" s="107" t="s">
        <v>440</v>
      </c>
      <c r="B110" s="107"/>
      <c r="C110" s="107" t="s">
        <v>425</v>
      </c>
      <c r="D110" s="107"/>
      <c r="E110" s="107"/>
      <c r="F110" s="107"/>
      <c r="G110" s="107"/>
      <c r="H110" s="107"/>
      <c r="I110" s="107"/>
      <c r="J110" s="123"/>
      <c r="K110" s="108"/>
      <c r="L110" s="107"/>
      <c r="M110" s="108"/>
      <c r="N110" s="107"/>
      <c r="O110" s="107"/>
      <c r="P110" s="107"/>
      <c r="Q110" s="107"/>
      <c r="R110" s="107"/>
      <c r="S110" s="109"/>
    </row>
    <row r="111" spans="1:19" x14ac:dyDescent="0.35">
      <c r="A111" s="107" t="s">
        <v>440</v>
      </c>
      <c r="B111" s="107"/>
      <c r="C111" s="107" t="s">
        <v>438</v>
      </c>
      <c r="D111" s="107"/>
      <c r="E111" s="107"/>
      <c r="F111" s="107"/>
      <c r="G111" s="107"/>
      <c r="H111" s="107"/>
      <c r="I111" s="107"/>
      <c r="J111" s="123"/>
      <c r="K111" s="108"/>
      <c r="L111" s="107"/>
      <c r="M111" s="108"/>
      <c r="N111" s="107"/>
      <c r="O111" s="107"/>
      <c r="P111" s="107"/>
      <c r="Q111" s="107"/>
      <c r="R111" s="107"/>
      <c r="S111" s="109"/>
    </row>
    <row r="112" spans="1:19" x14ac:dyDescent="0.35">
      <c r="A112" s="110" t="s">
        <v>441</v>
      </c>
      <c r="B112" s="110"/>
      <c r="C112" s="110" t="s">
        <v>425</v>
      </c>
      <c r="D112" s="110"/>
      <c r="E112" s="110"/>
      <c r="F112" s="110"/>
      <c r="G112" s="110"/>
      <c r="H112" s="110"/>
      <c r="I112" s="110"/>
      <c r="J112" s="124"/>
      <c r="K112" s="111"/>
      <c r="L112" s="110"/>
      <c r="M112" s="111"/>
      <c r="N112" s="110"/>
      <c r="O112" s="110"/>
      <c r="P112" s="110"/>
      <c r="Q112" s="110"/>
      <c r="R112" s="110"/>
      <c r="S112" s="112"/>
    </row>
    <row r="113" spans="1:19" x14ac:dyDescent="0.35">
      <c r="A113" s="110" t="s">
        <v>441</v>
      </c>
      <c r="B113" s="110"/>
      <c r="C113" s="110" t="s">
        <v>438</v>
      </c>
      <c r="D113" s="110"/>
      <c r="E113" s="110"/>
      <c r="F113" s="110"/>
      <c r="G113" s="110"/>
      <c r="H113" s="110"/>
      <c r="I113" s="110"/>
      <c r="J113" s="124"/>
      <c r="K113" s="111"/>
      <c r="L113" s="110"/>
      <c r="M113" s="111"/>
      <c r="N113" s="110"/>
      <c r="O113" s="110"/>
      <c r="P113" s="110"/>
      <c r="Q113" s="110"/>
      <c r="R113" s="110"/>
      <c r="S113" s="112"/>
    </row>
    <row r="114" spans="1:19" x14ac:dyDescent="0.35">
      <c r="A114" s="91" t="s">
        <v>200</v>
      </c>
      <c r="B114" s="79"/>
      <c r="C114" s="92" t="s">
        <v>425</v>
      </c>
      <c r="D114" s="92"/>
      <c r="E114" s="92"/>
      <c r="F114" s="125">
        <v>0.25</v>
      </c>
      <c r="G114" s="92" t="str">
        <f>CONCATENATE("USD,FLAT ",TEXT(F114,"0.00"))</f>
        <v>USD,FLAT 0.25</v>
      </c>
      <c r="H114" s="92">
        <v>0.25</v>
      </c>
      <c r="I114" s="92" t="s">
        <v>174</v>
      </c>
      <c r="J114" s="121">
        <v>2</v>
      </c>
      <c r="K114" s="94" t="str">
        <f>TEXT(0.5,"0.0")</f>
        <v>0.5</v>
      </c>
      <c r="L114" s="92"/>
      <c r="M114" s="94" t="str">
        <f>TEXT(26,"0")</f>
        <v>26</v>
      </c>
      <c r="N114" s="92" t="s">
        <v>185</v>
      </c>
      <c r="O114" s="92" t="s">
        <v>427</v>
      </c>
      <c r="P114" s="92" t="s">
        <v>442</v>
      </c>
      <c r="Q114" s="92"/>
      <c r="R114" s="92"/>
      <c r="S114" s="95"/>
    </row>
    <row r="115" spans="1:19" x14ac:dyDescent="0.35">
      <c r="A115" s="79"/>
      <c r="B115" s="79"/>
      <c r="C115" s="96" t="s">
        <v>438</v>
      </c>
      <c r="D115" s="96"/>
      <c r="E115" s="96"/>
      <c r="F115" s="96"/>
      <c r="G115" s="96"/>
      <c r="H115" s="96"/>
      <c r="I115" s="113"/>
      <c r="J115" s="122"/>
      <c r="K115" s="97"/>
      <c r="L115" s="96"/>
      <c r="M115" s="98"/>
      <c r="N115" s="96"/>
      <c r="O115" s="96"/>
      <c r="P115" s="96"/>
      <c r="Q115" s="96"/>
      <c r="R115" s="96"/>
      <c r="S115" s="99"/>
    </row>
    <row r="116" spans="1:19" x14ac:dyDescent="0.35">
      <c r="A116" s="79"/>
      <c r="B116" s="79"/>
      <c r="C116" s="82" t="s">
        <v>424</v>
      </c>
      <c r="D116" s="82"/>
      <c r="E116" s="82"/>
      <c r="F116" s="82"/>
      <c r="G116" s="82"/>
      <c r="H116" s="82"/>
      <c r="I116" s="82"/>
      <c r="J116" s="82"/>
      <c r="K116" s="100"/>
      <c r="L116" s="82"/>
      <c r="M116" s="101"/>
      <c r="N116" s="82"/>
      <c r="O116" s="82"/>
      <c r="P116" s="82"/>
      <c r="Q116" s="82"/>
      <c r="R116" s="82"/>
      <c r="S116" s="102"/>
    </row>
    <row r="117" spans="1:19" x14ac:dyDescent="0.35">
      <c r="A117" s="79"/>
      <c r="B117" s="79"/>
      <c r="C117" s="103" t="s">
        <v>439</v>
      </c>
      <c r="D117" s="103"/>
      <c r="E117" s="103"/>
      <c r="F117" s="103"/>
      <c r="G117" s="103"/>
      <c r="H117" s="103"/>
      <c r="I117" s="103"/>
      <c r="J117" s="103"/>
      <c r="K117" s="104"/>
      <c r="L117" s="103"/>
      <c r="M117" s="105"/>
      <c r="N117" s="103"/>
      <c r="O117" s="103"/>
      <c r="P117" s="103"/>
      <c r="Q117" s="103"/>
      <c r="R117" s="103"/>
      <c r="S117" s="106"/>
    </row>
    <row r="118" spans="1:19" x14ac:dyDescent="0.35">
      <c r="A118" s="91" t="s">
        <v>206</v>
      </c>
      <c r="B118" s="79"/>
      <c r="C118" s="92" t="s">
        <v>425</v>
      </c>
      <c r="D118" s="92"/>
      <c r="E118" s="92"/>
      <c r="F118" s="125">
        <v>112.04</v>
      </c>
      <c r="G118" s="92" t="str">
        <f>CONCATENATE("USD,FLAT ",TEXT(F118,"0.00"))</f>
        <v>USD,FLAT 112.04</v>
      </c>
      <c r="H118" s="92" t="str">
        <f>TEXT(112.04,"0.00")</f>
        <v>112.04</v>
      </c>
      <c r="I118" s="92" t="s">
        <v>174</v>
      </c>
      <c r="J118" s="121">
        <v>2</v>
      </c>
      <c r="K118" s="94" t="str">
        <f>TEXT(224.08,"0.00")</f>
        <v>224.08</v>
      </c>
      <c r="L118" s="92"/>
      <c r="M118" s="94" t="str">
        <f>TEXT(26,"0")</f>
        <v>26</v>
      </c>
      <c r="N118" s="92" t="s">
        <v>185</v>
      </c>
      <c r="O118" s="92" t="s">
        <v>427</v>
      </c>
      <c r="P118" s="92" t="s">
        <v>442</v>
      </c>
      <c r="Q118" s="92"/>
      <c r="R118" s="92"/>
      <c r="S118" s="95"/>
    </row>
    <row r="119" spans="1:19" x14ac:dyDescent="0.35">
      <c r="A119" s="79"/>
      <c r="B119" s="79"/>
      <c r="C119" s="96" t="s">
        <v>438</v>
      </c>
      <c r="D119" s="96"/>
      <c r="E119" s="96"/>
      <c r="F119" s="96"/>
      <c r="G119" s="96"/>
      <c r="H119" s="96"/>
      <c r="I119" s="113"/>
      <c r="J119" s="122"/>
      <c r="K119" s="97"/>
      <c r="L119" s="96"/>
      <c r="M119" s="97"/>
      <c r="N119" s="96"/>
      <c r="O119" s="96"/>
      <c r="P119" s="96"/>
      <c r="Q119" s="96"/>
      <c r="R119" s="96"/>
      <c r="S119" s="99"/>
    </row>
    <row r="120" spans="1:19" x14ac:dyDescent="0.35">
      <c r="A120" s="79"/>
      <c r="B120" s="79"/>
      <c r="C120" s="82" t="s">
        <v>424</v>
      </c>
      <c r="D120" s="82"/>
      <c r="E120" s="82"/>
      <c r="F120" s="82"/>
      <c r="G120" s="82"/>
      <c r="H120" s="82"/>
      <c r="I120" s="82"/>
      <c r="J120" s="82"/>
      <c r="K120" s="100"/>
      <c r="L120" s="82"/>
      <c r="M120" s="100"/>
      <c r="N120" s="82"/>
      <c r="O120" s="82"/>
      <c r="P120" s="82"/>
      <c r="Q120" s="82"/>
      <c r="R120" s="82"/>
      <c r="S120" s="102"/>
    </row>
    <row r="121" spans="1:19" x14ac:dyDescent="0.35">
      <c r="A121" s="79"/>
      <c r="B121" s="79"/>
      <c r="C121" s="103" t="s">
        <v>439</v>
      </c>
      <c r="D121" s="103"/>
      <c r="E121" s="103"/>
      <c r="F121" s="103"/>
      <c r="G121" s="103"/>
      <c r="H121" s="103"/>
      <c r="I121" s="103"/>
      <c r="J121" s="103"/>
      <c r="K121" s="104"/>
      <c r="L121" s="103"/>
      <c r="M121" s="104"/>
      <c r="N121" s="103"/>
      <c r="O121" s="103"/>
      <c r="P121" s="103"/>
      <c r="Q121" s="103"/>
      <c r="R121" s="103"/>
      <c r="S121" s="106"/>
    </row>
    <row r="122" spans="1:19" x14ac:dyDescent="0.35">
      <c r="A122" s="91" t="s">
        <v>209</v>
      </c>
      <c r="B122" s="79"/>
      <c r="C122" s="92" t="s">
        <v>425</v>
      </c>
      <c r="D122" s="92"/>
      <c r="E122" s="92"/>
      <c r="F122" s="125">
        <v>276.25</v>
      </c>
      <c r="G122" s="92" t="str">
        <f>CONCATENATE("USD,FLAT ",TEXT(F122,"0.00"))</f>
        <v>USD,FLAT 276.25</v>
      </c>
      <c r="H122" s="92" t="str">
        <f>TEXT(276.25,"0.00")</f>
        <v>276.25</v>
      </c>
      <c r="I122" s="92" t="s">
        <v>174</v>
      </c>
      <c r="J122" s="121"/>
      <c r="K122" s="94" t="str">
        <f>TEXT(13812.5,"0.0")</f>
        <v>13812.5</v>
      </c>
      <c r="L122" s="92"/>
      <c r="M122" s="93">
        <v>0</v>
      </c>
      <c r="N122" s="92" t="s">
        <v>185</v>
      </c>
      <c r="O122" s="92" t="s">
        <v>427</v>
      </c>
      <c r="P122" s="92" t="s">
        <v>422</v>
      </c>
      <c r="Q122" s="92"/>
      <c r="R122" s="92"/>
      <c r="S122" s="95"/>
    </row>
    <row r="123" spans="1:19" x14ac:dyDescent="0.35">
      <c r="A123" s="79"/>
      <c r="B123" s="79"/>
      <c r="C123" s="96" t="s">
        <v>438</v>
      </c>
      <c r="D123" s="96"/>
      <c r="E123" s="96"/>
      <c r="F123" s="96"/>
      <c r="G123" s="96"/>
      <c r="H123" s="96"/>
      <c r="I123" s="113"/>
      <c r="J123" s="122"/>
      <c r="K123" s="97"/>
      <c r="L123" s="113"/>
      <c r="M123" s="97"/>
      <c r="N123" s="96"/>
      <c r="O123" s="96"/>
      <c r="P123" s="96"/>
      <c r="Q123" s="96"/>
      <c r="R123" s="96"/>
      <c r="S123" s="99"/>
    </row>
    <row r="124" spans="1:19" x14ac:dyDescent="0.35">
      <c r="A124" s="79"/>
      <c r="B124" s="79"/>
      <c r="C124" s="82" t="s">
        <v>424</v>
      </c>
      <c r="D124" s="82"/>
      <c r="E124" s="82"/>
      <c r="F124" s="82"/>
      <c r="G124" s="82"/>
      <c r="H124" s="82"/>
      <c r="I124" s="82"/>
      <c r="J124" s="82"/>
      <c r="K124" s="93"/>
      <c r="L124" s="82"/>
      <c r="M124" s="100"/>
      <c r="N124" s="82"/>
      <c r="O124" s="82"/>
      <c r="P124" s="82"/>
      <c r="Q124" s="92"/>
      <c r="R124" s="82"/>
      <c r="S124" s="102"/>
    </row>
    <row r="125" spans="1:19" x14ac:dyDescent="0.35">
      <c r="A125" s="79"/>
      <c r="B125" s="79"/>
      <c r="C125" s="103" t="s">
        <v>439</v>
      </c>
      <c r="D125" s="103"/>
      <c r="E125" s="103"/>
      <c r="F125" s="103"/>
      <c r="G125" s="103"/>
      <c r="H125" s="103"/>
      <c r="I125" s="103"/>
      <c r="J125" s="103"/>
      <c r="K125" s="104"/>
      <c r="L125" s="103"/>
      <c r="M125" s="104"/>
      <c r="N125" s="103"/>
      <c r="O125" s="103"/>
      <c r="P125" s="103"/>
      <c r="Q125" s="103"/>
      <c r="R125" s="103"/>
      <c r="S125" s="106"/>
    </row>
    <row r="126" spans="1:19" x14ac:dyDescent="0.35">
      <c r="A126" s="91" t="s">
        <v>212</v>
      </c>
      <c r="B126" s="79"/>
      <c r="C126" s="92" t="s">
        <v>425</v>
      </c>
      <c r="D126" s="92"/>
      <c r="E126" s="92"/>
      <c r="F126" s="125">
        <v>112.04</v>
      </c>
      <c r="G126" s="92" t="str">
        <f>CONCATENATE("USD,FLAT ",TEXT(F126,"0.00"))</f>
        <v>USD,FLAT 112.04</v>
      </c>
      <c r="H126" s="92" t="str">
        <f>TEXT(112.04,"0.00")</f>
        <v>112.04</v>
      </c>
      <c r="I126" s="92" t="s">
        <v>174</v>
      </c>
      <c r="J126" s="121"/>
      <c r="K126" s="94" t="str">
        <f>TEXT(5602,"0")</f>
        <v>5602</v>
      </c>
      <c r="L126" s="92"/>
      <c r="M126" s="93">
        <v>0</v>
      </c>
      <c r="N126" s="92" t="s">
        <v>185</v>
      </c>
      <c r="O126" s="92" t="s">
        <v>427</v>
      </c>
      <c r="P126" s="92" t="s">
        <v>422</v>
      </c>
      <c r="Q126" s="92"/>
      <c r="R126" s="92"/>
      <c r="S126" s="95"/>
    </row>
    <row r="127" spans="1:19" x14ac:dyDescent="0.35">
      <c r="A127" s="79"/>
      <c r="B127" s="79"/>
      <c r="C127" s="96" t="s">
        <v>438</v>
      </c>
      <c r="D127" s="96"/>
      <c r="E127" s="96"/>
      <c r="F127" s="96"/>
      <c r="G127" s="96"/>
      <c r="H127" s="96"/>
      <c r="I127" s="113"/>
      <c r="J127" s="113"/>
      <c r="K127" s="97"/>
      <c r="L127" s="113"/>
      <c r="M127" s="97"/>
      <c r="N127" s="96"/>
      <c r="O127" s="96"/>
      <c r="P127" s="96"/>
      <c r="Q127" s="96"/>
      <c r="R127" s="96"/>
      <c r="S127" s="99"/>
    </row>
    <row r="128" spans="1:19" x14ac:dyDescent="0.35">
      <c r="A128" s="79"/>
      <c r="B128" s="79"/>
      <c r="C128" s="82" t="s">
        <v>424</v>
      </c>
      <c r="D128" s="82"/>
      <c r="E128" s="82"/>
      <c r="F128" s="82"/>
      <c r="G128" s="82"/>
      <c r="H128" s="82"/>
      <c r="I128" s="82"/>
      <c r="J128" s="82"/>
      <c r="K128" s="100"/>
      <c r="L128" s="82"/>
      <c r="M128" s="100"/>
      <c r="N128" s="82"/>
      <c r="O128" s="82"/>
      <c r="P128" s="82"/>
      <c r="Q128" s="82"/>
      <c r="R128" s="82"/>
      <c r="S128" s="102"/>
    </row>
    <row r="129" spans="1:19" x14ac:dyDescent="0.35">
      <c r="A129" s="79"/>
      <c r="B129" s="79"/>
      <c r="C129" s="103" t="s">
        <v>439</v>
      </c>
      <c r="D129" s="103"/>
      <c r="E129" s="103"/>
      <c r="F129" s="103"/>
      <c r="G129" s="103"/>
      <c r="H129" s="103"/>
      <c r="I129" s="103"/>
      <c r="J129" s="103"/>
      <c r="K129" s="104"/>
      <c r="L129" s="103"/>
      <c r="M129" s="104"/>
      <c r="N129" s="103"/>
      <c r="O129" s="103"/>
      <c r="P129" s="103"/>
      <c r="Q129" s="103"/>
      <c r="R129" s="103"/>
      <c r="S129" s="106"/>
    </row>
    <row r="130" spans="1:19" x14ac:dyDescent="0.35">
      <c r="A130" s="110" t="s">
        <v>443</v>
      </c>
      <c r="B130" s="110"/>
      <c r="C130" s="110" t="s">
        <v>425</v>
      </c>
      <c r="D130" s="110"/>
      <c r="E130" s="110"/>
      <c r="F130" s="110"/>
      <c r="G130" s="110"/>
      <c r="H130" s="110"/>
      <c r="I130" s="110"/>
      <c r="J130" s="124"/>
      <c r="K130" s="111"/>
      <c r="L130" s="110"/>
      <c r="M130" s="111"/>
      <c r="N130" s="110"/>
      <c r="O130" s="110"/>
      <c r="P130" s="110"/>
      <c r="Q130" s="110"/>
      <c r="R130" s="110"/>
      <c r="S130" s="112"/>
    </row>
    <row r="131" spans="1:19" x14ac:dyDescent="0.35">
      <c r="A131" s="110" t="s">
        <v>443</v>
      </c>
      <c r="B131" s="110"/>
      <c r="C131" s="110" t="s">
        <v>438</v>
      </c>
      <c r="D131" s="110"/>
      <c r="E131" s="110"/>
      <c r="F131" s="110"/>
      <c r="G131" s="110"/>
      <c r="H131" s="110"/>
      <c r="I131" s="110"/>
      <c r="J131" s="124"/>
      <c r="K131" s="111"/>
      <c r="L131" s="110"/>
      <c r="M131" s="111"/>
      <c r="N131" s="110"/>
      <c r="O131" s="110"/>
      <c r="P131" s="110"/>
      <c r="Q131" s="110"/>
      <c r="R131" s="110"/>
      <c r="S131" s="112"/>
    </row>
    <row r="132" spans="1:19" ht="21.5" customHeight="1" x14ac:dyDescent="0.35">
      <c r="A132" s="91" t="s">
        <v>213</v>
      </c>
      <c r="B132" s="79"/>
      <c r="C132" s="92" t="s">
        <v>425</v>
      </c>
      <c r="D132" s="92"/>
      <c r="E132" s="92"/>
      <c r="F132" s="126" t="s">
        <v>456</v>
      </c>
      <c r="G132" s="94" t="s">
        <v>418</v>
      </c>
      <c r="H132" s="126" t="str">
        <f>TEXT(24.33,"0.00")</f>
        <v>24.33</v>
      </c>
      <c r="I132" s="92" t="s">
        <v>174</v>
      </c>
      <c r="J132" s="121">
        <v>2</v>
      </c>
      <c r="K132" s="94" t="str">
        <f>TEXT(48.66,"0.00")</f>
        <v>48.66</v>
      </c>
      <c r="L132" s="92"/>
      <c r="M132" s="94" t="str">
        <f>TEXT(26,"0")</f>
        <v>26</v>
      </c>
      <c r="N132" s="92"/>
      <c r="O132" s="92" t="s">
        <v>423</v>
      </c>
      <c r="P132" s="92" t="s">
        <v>426</v>
      </c>
      <c r="Q132" s="92"/>
      <c r="R132" s="92"/>
      <c r="S132" s="95"/>
    </row>
    <row r="133" spans="1:19" x14ac:dyDescent="0.35">
      <c r="A133" s="79"/>
      <c r="B133" s="79"/>
      <c r="C133" s="96" t="s">
        <v>438</v>
      </c>
      <c r="D133" s="96"/>
      <c r="E133" s="96"/>
      <c r="F133" s="96"/>
      <c r="G133" s="96"/>
      <c r="H133" s="96"/>
      <c r="I133" s="96"/>
      <c r="J133" s="122"/>
      <c r="K133" s="97"/>
      <c r="L133" s="96"/>
      <c r="M133" s="98"/>
      <c r="N133" s="96"/>
      <c r="O133" s="96"/>
      <c r="P133" s="96"/>
      <c r="Q133" s="96"/>
      <c r="R133" s="96"/>
      <c r="S133" s="99"/>
    </row>
    <row r="134" spans="1:19" x14ac:dyDescent="0.35">
      <c r="A134" s="79"/>
      <c r="B134" s="79"/>
      <c r="C134" s="82" t="s">
        <v>424</v>
      </c>
      <c r="D134" s="82"/>
      <c r="E134" s="82"/>
      <c r="F134" s="82"/>
      <c r="G134" s="82"/>
      <c r="H134" s="82"/>
      <c r="I134" s="82"/>
      <c r="J134" s="82"/>
      <c r="K134" s="100"/>
      <c r="L134" s="82"/>
      <c r="M134" s="101"/>
      <c r="N134" s="82"/>
      <c r="O134" s="82"/>
      <c r="P134" s="82"/>
      <c r="Q134" s="82"/>
      <c r="R134" s="82"/>
      <c r="S134" s="102"/>
    </row>
    <row r="135" spans="1:19" x14ac:dyDescent="0.35">
      <c r="A135" s="79"/>
      <c r="B135" s="79"/>
      <c r="C135" s="103" t="s">
        <v>439</v>
      </c>
      <c r="D135" s="103"/>
      <c r="E135" s="103"/>
      <c r="F135" s="103"/>
      <c r="G135" s="103"/>
      <c r="H135" s="103"/>
      <c r="I135" s="103"/>
      <c r="J135" s="103"/>
      <c r="K135" s="104"/>
      <c r="L135" s="103"/>
      <c r="M135" s="105"/>
      <c r="N135" s="103"/>
      <c r="O135" s="103"/>
      <c r="P135" s="103"/>
      <c r="Q135" s="103"/>
      <c r="R135" s="103"/>
      <c r="S135" s="106"/>
    </row>
    <row r="136" spans="1:19" ht="23.5" customHeight="1" x14ac:dyDescent="0.35">
      <c r="A136" s="91" t="s">
        <v>220</v>
      </c>
      <c r="B136" s="79"/>
      <c r="C136" s="92" t="s">
        <v>425</v>
      </c>
      <c r="D136" s="92"/>
      <c r="E136" s="92"/>
      <c r="F136" s="126" t="s">
        <v>457</v>
      </c>
      <c r="G136" s="94" t="s">
        <v>428</v>
      </c>
      <c r="H136" s="126" t="str">
        <f>TEXT(25.33,"0.00")</f>
        <v>25.33</v>
      </c>
      <c r="I136" s="92" t="s">
        <v>174</v>
      </c>
      <c r="J136" s="121">
        <v>2</v>
      </c>
      <c r="K136" s="94" t="str">
        <f>TEXT(50.66,"0.00")</f>
        <v>50.66</v>
      </c>
      <c r="L136" s="92"/>
      <c r="M136" s="94" t="str">
        <f>TEXT(26,"0")</f>
        <v>26</v>
      </c>
      <c r="N136" s="92"/>
      <c r="O136" s="92" t="s">
        <v>423</v>
      </c>
      <c r="P136" s="92" t="s">
        <v>426</v>
      </c>
      <c r="Q136" s="92"/>
      <c r="R136" s="92"/>
      <c r="S136" s="95"/>
    </row>
    <row r="137" spans="1:19" x14ac:dyDescent="0.35">
      <c r="A137" s="79"/>
      <c r="B137" s="79"/>
      <c r="C137" s="96" t="s">
        <v>438</v>
      </c>
      <c r="D137" s="96"/>
      <c r="E137" s="96"/>
      <c r="F137" s="96"/>
      <c r="G137" s="96"/>
      <c r="H137" s="96"/>
      <c r="I137" s="96"/>
      <c r="J137" s="122"/>
      <c r="K137" s="97"/>
      <c r="L137" s="96"/>
      <c r="M137" s="98"/>
      <c r="N137" s="96"/>
      <c r="O137" s="96"/>
      <c r="P137" s="96"/>
      <c r="Q137" s="96"/>
      <c r="R137" s="96"/>
      <c r="S137" s="99"/>
    </row>
    <row r="138" spans="1:19" x14ac:dyDescent="0.35">
      <c r="A138" s="79"/>
      <c r="B138" s="79"/>
      <c r="C138" s="82" t="s">
        <v>424</v>
      </c>
      <c r="D138" s="82"/>
      <c r="E138" s="82"/>
      <c r="F138" s="82"/>
      <c r="G138" s="82"/>
      <c r="H138" s="82"/>
      <c r="I138" s="82"/>
      <c r="J138" s="82"/>
      <c r="K138" s="100"/>
      <c r="L138" s="82"/>
      <c r="M138" s="101"/>
      <c r="N138" s="82"/>
      <c r="O138" s="82"/>
      <c r="P138" s="82"/>
      <c r="Q138" s="82"/>
      <c r="R138" s="82"/>
      <c r="S138" s="102"/>
    </row>
    <row r="139" spans="1:19" x14ac:dyDescent="0.35">
      <c r="A139" s="79"/>
      <c r="B139" s="79"/>
      <c r="C139" s="103" t="s">
        <v>439</v>
      </c>
      <c r="D139" s="103"/>
      <c r="E139" s="103"/>
      <c r="F139" s="103"/>
      <c r="G139" s="103"/>
      <c r="H139" s="103"/>
      <c r="I139" s="103"/>
      <c r="J139" s="103"/>
      <c r="K139" s="104"/>
      <c r="L139" s="103"/>
      <c r="M139" s="105"/>
      <c r="N139" s="103"/>
      <c r="O139" s="103"/>
      <c r="P139" s="103"/>
      <c r="Q139" s="103"/>
      <c r="R139" s="103"/>
      <c r="S139" s="106"/>
    </row>
    <row r="140" spans="1:19" ht="21" customHeight="1" x14ac:dyDescent="0.35">
      <c r="A140" s="91" t="s">
        <v>222</v>
      </c>
      <c r="B140" s="79"/>
      <c r="C140" s="92" t="s">
        <v>425</v>
      </c>
      <c r="D140" s="92"/>
      <c r="E140" s="92"/>
      <c r="F140" s="126" t="s">
        <v>458</v>
      </c>
      <c r="G140" s="94" t="s">
        <v>444</v>
      </c>
      <c r="H140" s="126" t="str">
        <f>TEXT(38.12,"0.00")</f>
        <v>38.12</v>
      </c>
      <c r="I140" s="92" t="s">
        <v>174</v>
      </c>
      <c r="J140" s="121">
        <v>2</v>
      </c>
      <c r="K140" s="94" t="str">
        <f>TEXT(76.24,"0.00")</f>
        <v>76.24</v>
      </c>
      <c r="L140" s="92"/>
      <c r="M140" s="94" t="str">
        <f>TEXT(26,"0")</f>
        <v>26</v>
      </c>
      <c r="N140" s="92" t="s">
        <v>185</v>
      </c>
      <c r="O140" s="92" t="s">
        <v>427</v>
      </c>
      <c r="P140" s="92" t="s">
        <v>426</v>
      </c>
      <c r="Q140" s="92"/>
      <c r="R140" s="92"/>
      <c r="S140" s="95"/>
    </row>
    <row r="141" spans="1:19" x14ac:dyDescent="0.35">
      <c r="A141" s="79"/>
      <c r="B141" s="79"/>
      <c r="C141" s="96" t="s">
        <v>438</v>
      </c>
      <c r="D141" s="96"/>
      <c r="E141" s="96"/>
      <c r="F141" s="96"/>
      <c r="G141" s="96"/>
      <c r="H141" s="96"/>
      <c r="I141" s="96"/>
      <c r="J141" s="122"/>
      <c r="K141" s="97"/>
      <c r="L141" s="96"/>
      <c r="M141" s="97"/>
      <c r="N141" s="96"/>
      <c r="O141" s="96"/>
      <c r="P141" s="96"/>
      <c r="Q141" s="96"/>
      <c r="R141" s="96"/>
      <c r="S141" s="99"/>
    </row>
    <row r="142" spans="1:19" x14ac:dyDescent="0.35">
      <c r="A142" s="79"/>
      <c r="B142" s="79"/>
      <c r="C142" s="82" t="s">
        <v>424</v>
      </c>
      <c r="D142" s="82"/>
      <c r="E142" s="82"/>
      <c r="F142" s="82"/>
      <c r="G142" s="82"/>
      <c r="H142" s="82"/>
      <c r="I142" s="82"/>
      <c r="J142" s="82"/>
      <c r="K142" s="100"/>
      <c r="L142" s="82"/>
      <c r="M142" s="100"/>
      <c r="N142" s="82"/>
      <c r="O142" s="82"/>
      <c r="P142" s="82"/>
      <c r="Q142" s="82"/>
      <c r="R142" s="82"/>
      <c r="S142" s="102"/>
    </row>
    <row r="143" spans="1:19" x14ac:dyDescent="0.35">
      <c r="A143" s="79"/>
      <c r="B143" s="79"/>
      <c r="C143" s="103" t="s">
        <v>439</v>
      </c>
      <c r="D143" s="103"/>
      <c r="E143" s="103"/>
      <c r="F143" s="103"/>
      <c r="G143" s="103"/>
      <c r="H143" s="103"/>
      <c r="I143" s="103"/>
      <c r="J143" s="103"/>
      <c r="K143" s="104"/>
      <c r="L143" s="103"/>
      <c r="M143" s="104"/>
      <c r="N143" s="103"/>
      <c r="O143" s="103"/>
      <c r="P143" s="103"/>
      <c r="Q143" s="103"/>
      <c r="R143" s="103"/>
      <c r="S143" s="106"/>
    </row>
    <row r="144" spans="1:19" x14ac:dyDescent="0.35">
      <c r="A144" s="110" t="s">
        <v>445</v>
      </c>
      <c r="B144" s="110"/>
      <c r="C144" s="110" t="s">
        <v>425</v>
      </c>
      <c r="D144" s="110"/>
      <c r="E144" s="110"/>
      <c r="F144" s="110"/>
      <c r="G144" s="110"/>
      <c r="H144" s="110"/>
      <c r="I144" s="110"/>
      <c r="J144" s="124"/>
      <c r="K144" s="111"/>
      <c r="L144" s="110"/>
      <c r="M144" s="111"/>
      <c r="N144" s="110"/>
      <c r="O144" s="110"/>
      <c r="P144" s="110"/>
      <c r="Q144" s="110"/>
      <c r="R144" s="110"/>
      <c r="S144" s="112"/>
    </row>
    <row r="145" spans="1:19" x14ac:dyDescent="0.35">
      <c r="A145" s="110" t="s">
        <v>445</v>
      </c>
      <c r="B145" s="110"/>
      <c r="C145" s="110" t="s">
        <v>438</v>
      </c>
      <c r="D145" s="110"/>
      <c r="E145" s="110"/>
      <c r="F145" s="110"/>
      <c r="G145" s="110"/>
      <c r="H145" s="110"/>
      <c r="I145" s="110"/>
      <c r="J145" s="124"/>
      <c r="K145" s="111"/>
      <c r="L145" s="110"/>
      <c r="M145" s="111"/>
      <c r="N145" s="110"/>
      <c r="O145" s="110"/>
      <c r="P145" s="110"/>
      <c r="Q145" s="110"/>
      <c r="R145" s="110"/>
      <c r="S145" s="112"/>
    </row>
    <row r="146" spans="1:19" x14ac:dyDescent="0.35">
      <c r="A146" s="91" t="s">
        <v>225</v>
      </c>
      <c r="B146" s="79"/>
      <c r="C146" s="92" t="s">
        <v>425</v>
      </c>
      <c r="D146" s="92"/>
      <c r="E146" s="92"/>
      <c r="F146" s="114">
        <v>0.15</v>
      </c>
      <c r="G146" s="92" t="str">
        <f>CONCATENATE("USD,FLAT ",TEXT(F146,"0.00"))</f>
        <v>USD,FLAT 0.15</v>
      </c>
      <c r="H146" s="114" t="str">
        <f>TEXT(3000.15,"0.00")</f>
        <v>3000.15</v>
      </c>
      <c r="I146" s="92" t="s">
        <v>174</v>
      </c>
      <c r="J146" s="121">
        <v>2</v>
      </c>
      <c r="K146" s="127" t="str">
        <f>TEXT(6000.3,"0.0")</f>
        <v>6000.3</v>
      </c>
      <c r="L146" s="92"/>
      <c r="M146" s="94" t="str">
        <f>TEXT(26,"0")</f>
        <v>26</v>
      </c>
      <c r="N146" s="92" t="s">
        <v>185</v>
      </c>
      <c r="O146" s="92" t="s">
        <v>427</v>
      </c>
      <c r="P146" s="92" t="s">
        <v>426</v>
      </c>
      <c r="Q146" s="92"/>
      <c r="R146" s="92"/>
      <c r="S146" s="95"/>
    </row>
    <row r="147" spans="1:19" x14ac:dyDescent="0.35">
      <c r="A147" s="79"/>
      <c r="B147" s="79"/>
      <c r="C147" s="96" t="s">
        <v>438</v>
      </c>
      <c r="D147" s="96"/>
      <c r="E147" s="96"/>
      <c r="F147" s="96"/>
      <c r="G147" s="96"/>
      <c r="H147" s="96"/>
      <c r="I147" s="96"/>
      <c r="J147" s="122"/>
      <c r="K147" s="97"/>
      <c r="L147" s="96"/>
      <c r="M147" s="98"/>
      <c r="N147" s="96"/>
      <c r="O147" s="96"/>
      <c r="P147" s="96"/>
      <c r="Q147" s="96"/>
      <c r="R147" s="96"/>
      <c r="S147" s="99"/>
    </row>
    <row r="148" spans="1:19" x14ac:dyDescent="0.35">
      <c r="A148" s="79"/>
      <c r="B148" s="79"/>
      <c r="C148" s="82" t="s">
        <v>424</v>
      </c>
      <c r="D148" s="82"/>
      <c r="E148" s="82"/>
      <c r="F148" s="82"/>
      <c r="G148" s="82"/>
      <c r="H148" s="82"/>
      <c r="I148" s="82"/>
      <c r="J148" s="82"/>
      <c r="K148" s="100"/>
      <c r="L148" s="82"/>
      <c r="M148" s="101"/>
      <c r="N148" s="82"/>
      <c r="O148" s="82"/>
      <c r="P148" s="82"/>
      <c r="Q148" s="82"/>
      <c r="R148" s="82"/>
      <c r="S148" s="102"/>
    </row>
    <row r="149" spans="1:19" x14ac:dyDescent="0.35">
      <c r="A149" s="79"/>
      <c r="B149" s="79"/>
      <c r="C149" s="103" t="s">
        <v>439</v>
      </c>
      <c r="D149" s="103"/>
      <c r="E149" s="103"/>
      <c r="F149" s="103"/>
      <c r="G149" s="103"/>
      <c r="H149" s="103"/>
      <c r="I149" s="103"/>
      <c r="J149" s="103"/>
      <c r="K149" s="104"/>
      <c r="L149" s="103"/>
      <c r="M149" s="105"/>
      <c r="N149" s="103"/>
      <c r="O149" s="103"/>
      <c r="P149" s="103"/>
      <c r="Q149" s="103"/>
      <c r="R149" s="103"/>
      <c r="S149" s="106"/>
    </row>
    <row r="150" spans="1:19" x14ac:dyDescent="0.35">
      <c r="A150" s="91" t="s">
        <v>228</v>
      </c>
      <c r="B150" s="79"/>
      <c r="C150" s="92" t="s">
        <v>425</v>
      </c>
      <c r="D150" s="92"/>
      <c r="E150" s="92"/>
      <c r="F150" s="114">
        <v>2.0499999999999998</v>
      </c>
      <c r="G150" s="92" t="str">
        <f>CONCATENATE("USD,FLAT ",TEXT(F150,"0.00"))</f>
        <v>USD,FLAT 2.05</v>
      </c>
      <c r="H150" s="114" t="str">
        <f>TEXT(28.33,"0.00")</f>
        <v>28.33</v>
      </c>
      <c r="I150" s="92" t="s">
        <v>174</v>
      </c>
      <c r="J150" s="121">
        <v>2</v>
      </c>
      <c r="K150" s="94" t="str">
        <f>TEXT(56.66,"0.00")</f>
        <v>56.66</v>
      </c>
      <c r="L150" s="92"/>
      <c r="M150" s="94" t="str">
        <f>TEXT(26,"0")</f>
        <v>26</v>
      </c>
      <c r="N150" s="92"/>
      <c r="O150" s="92" t="s">
        <v>423</v>
      </c>
      <c r="P150" s="92" t="s">
        <v>426</v>
      </c>
      <c r="Q150" s="92"/>
      <c r="R150" s="92"/>
      <c r="S150" s="95"/>
    </row>
    <row r="151" spans="1:19" x14ac:dyDescent="0.35">
      <c r="A151" s="79"/>
      <c r="B151" s="79"/>
      <c r="C151" s="96" t="s">
        <v>438</v>
      </c>
      <c r="D151" s="96"/>
      <c r="E151" s="96"/>
      <c r="F151" s="96"/>
      <c r="G151" s="96"/>
      <c r="H151" s="96"/>
      <c r="I151" s="96"/>
      <c r="J151" s="122"/>
      <c r="K151" s="97"/>
      <c r="L151" s="96"/>
      <c r="M151" s="97"/>
      <c r="N151" s="96"/>
      <c r="O151" s="96"/>
      <c r="P151" s="96"/>
      <c r="Q151" s="96"/>
      <c r="R151" s="96"/>
      <c r="S151" s="99"/>
    </row>
    <row r="152" spans="1:19" x14ac:dyDescent="0.35">
      <c r="A152" s="79"/>
      <c r="B152" s="79"/>
      <c r="C152" s="82" t="s">
        <v>424</v>
      </c>
      <c r="D152" s="82"/>
      <c r="E152" s="82"/>
      <c r="F152" s="82"/>
      <c r="G152" s="82"/>
      <c r="H152" s="82"/>
      <c r="I152" s="82"/>
      <c r="J152" s="82"/>
      <c r="K152" s="100"/>
      <c r="L152" s="82"/>
      <c r="M152" s="100"/>
      <c r="N152" s="82"/>
      <c r="O152" s="82"/>
      <c r="P152" s="82"/>
      <c r="Q152" s="82"/>
      <c r="R152" s="82"/>
      <c r="S152" s="102"/>
    </row>
    <row r="153" spans="1:19" x14ac:dyDescent="0.35">
      <c r="A153" s="79"/>
      <c r="B153" s="79"/>
      <c r="C153" s="103" t="s">
        <v>439</v>
      </c>
      <c r="D153" s="103"/>
      <c r="E153" s="103"/>
      <c r="F153" s="103"/>
      <c r="G153" s="103"/>
      <c r="H153" s="103"/>
      <c r="I153" s="103"/>
      <c r="J153" s="103"/>
      <c r="K153" s="104"/>
      <c r="L153" s="103"/>
      <c r="M153" s="104"/>
      <c r="N153" s="103"/>
      <c r="O153" s="103"/>
      <c r="P153" s="103"/>
      <c r="Q153" s="103"/>
      <c r="R153" s="103"/>
      <c r="S153" s="106"/>
    </row>
    <row r="154" spans="1:19" x14ac:dyDescent="0.35">
      <c r="A154" s="91" t="s">
        <v>228</v>
      </c>
      <c r="B154" s="79" t="s">
        <v>446</v>
      </c>
      <c r="C154" s="92" t="s">
        <v>425</v>
      </c>
      <c r="D154" s="92"/>
      <c r="E154" s="92"/>
      <c r="F154" s="114">
        <v>0.75</v>
      </c>
      <c r="G154" s="92" t="str">
        <f>CONCATENATE("USD,FLAT ",TEXT(F154,"0.00"))</f>
        <v>USD,FLAT 0.75</v>
      </c>
      <c r="H154" s="114" t="str">
        <f>TEXT(0.75,"0.00")</f>
        <v>0.75</v>
      </c>
      <c r="I154" s="92" t="s">
        <v>174</v>
      </c>
      <c r="J154" s="121">
        <v>2</v>
      </c>
      <c r="K154" s="94" t="str">
        <f>TEXT(1.5,"0.0")</f>
        <v>1.5</v>
      </c>
      <c r="L154" s="92"/>
      <c r="M154" s="94" t="str">
        <f>TEXT(26,"0")</f>
        <v>26</v>
      </c>
      <c r="N154" s="92" t="s">
        <v>185</v>
      </c>
      <c r="O154" s="92" t="s">
        <v>427</v>
      </c>
      <c r="P154" s="92" t="s">
        <v>426</v>
      </c>
      <c r="Q154" s="92"/>
      <c r="R154" s="92"/>
      <c r="S154" s="95"/>
    </row>
    <row r="155" spans="1:19" x14ac:dyDescent="0.35">
      <c r="A155" s="79"/>
      <c r="B155" s="79"/>
      <c r="C155" s="96" t="s">
        <v>438</v>
      </c>
      <c r="D155" s="96"/>
      <c r="E155" s="96"/>
      <c r="F155" s="96"/>
      <c r="G155" s="96"/>
      <c r="H155" s="96"/>
      <c r="I155" s="96"/>
      <c r="J155" s="122"/>
      <c r="K155" s="97"/>
      <c r="L155" s="96"/>
      <c r="M155" s="98"/>
      <c r="N155" s="96"/>
      <c r="O155" s="96"/>
      <c r="P155" s="96"/>
      <c r="Q155" s="96"/>
      <c r="R155" s="96"/>
      <c r="S155" s="99"/>
    </row>
    <row r="156" spans="1:19" x14ac:dyDescent="0.35">
      <c r="A156" s="79"/>
      <c r="B156" s="79"/>
      <c r="C156" s="82" t="s">
        <v>424</v>
      </c>
      <c r="D156" s="82"/>
      <c r="E156" s="82"/>
      <c r="F156" s="82"/>
      <c r="G156" s="82"/>
      <c r="H156" s="82"/>
      <c r="I156" s="82"/>
      <c r="J156" s="82"/>
      <c r="K156" s="100"/>
      <c r="L156" s="82"/>
      <c r="M156" s="101"/>
      <c r="N156" s="82"/>
      <c r="O156" s="82"/>
      <c r="P156" s="82"/>
      <c r="Q156" s="82"/>
      <c r="R156" s="82"/>
      <c r="S156" s="102"/>
    </row>
    <row r="157" spans="1:19" x14ac:dyDescent="0.35">
      <c r="A157" s="79"/>
      <c r="B157" s="79"/>
      <c r="C157" s="103" t="s">
        <v>439</v>
      </c>
      <c r="D157" s="103"/>
      <c r="E157" s="103"/>
      <c r="F157" s="103"/>
      <c r="G157" s="103"/>
      <c r="H157" s="103"/>
      <c r="I157" s="103"/>
      <c r="J157" s="103"/>
      <c r="K157" s="104"/>
      <c r="L157" s="103"/>
      <c r="M157" s="105"/>
      <c r="N157" s="103"/>
      <c r="O157" s="103"/>
      <c r="P157" s="103"/>
      <c r="Q157" s="103"/>
      <c r="R157" s="103"/>
      <c r="S157" s="106"/>
    </row>
    <row r="158" spans="1:19" x14ac:dyDescent="0.35">
      <c r="A158" s="91" t="s">
        <v>228</v>
      </c>
      <c r="B158" s="79" t="s">
        <v>429</v>
      </c>
      <c r="C158" s="92" t="s">
        <v>425</v>
      </c>
      <c r="D158" s="92"/>
      <c r="E158" s="92"/>
      <c r="F158" s="114" t="str">
        <f>TEXT(28.34,"0.00")</f>
        <v>28.34</v>
      </c>
      <c r="G158" s="92" t="str">
        <f>CONCATENATE("USD,FLAT ",TEXT(F158,"0.00"))</f>
        <v>USD,FLAT 28.34</v>
      </c>
      <c r="H158" s="114" t="str">
        <f>TEXT(28.34,"0.00")</f>
        <v>28.34</v>
      </c>
      <c r="I158" s="92" t="s">
        <v>174</v>
      </c>
      <c r="J158" s="121">
        <v>2</v>
      </c>
      <c r="K158" s="94" t="str">
        <f>TEXT(56.68,"0.00")</f>
        <v>56.68</v>
      </c>
      <c r="L158" s="92"/>
      <c r="M158" s="94" t="str">
        <f>TEXT(26,"0")</f>
        <v>26</v>
      </c>
      <c r="N158" s="92"/>
      <c r="O158" s="92" t="s">
        <v>423</v>
      </c>
      <c r="P158" s="92" t="s">
        <v>426</v>
      </c>
      <c r="Q158" s="92"/>
      <c r="R158" s="92"/>
      <c r="S158" s="95"/>
    </row>
    <row r="159" spans="1:19" x14ac:dyDescent="0.35">
      <c r="A159" s="79"/>
      <c r="B159" s="79"/>
      <c r="C159" s="96" t="s">
        <v>438</v>
      </c>
      <c r="D159" s="96"/>
      <c r="E159" s="96"/>
      <c r="F159" s="96"/>
      <c r="G159" s="96"/>
      <c r="H159" s="96"/>
      <c r="I159" s="96"/>
      <c r="J159" s="122"/>
      <c r="K159" s="97"/>
      <c r="L159" s="96"/>
      <c r="M159" s="97"/>
      <c r="N159" s="96"/>
      <c r="O159" s="96"/>
      <c r="P159" s="96"/>
      <c r="Q159" s="96"/>
      <c r="R159" s="96"/>
      <c r="S159" s="99"/>
    </row>
    <row r="160" spans="1:19" x14ac:dyDescent="0.35">
      <c r="A160" s="79"/>
      <c r="B160" s="79"/>
      <c r="C160" s="82" t="s">
        <v>424</v>
      </c>
      <c r="D160" s="82"/>
      <c r="E160" s="82"/>
      <c r="F160" s="82"/>
      <c r="G160" s="82"/>
      <c r="H160" s="82"/>
      <c r="I160" s="82"/>
      <c r="J160" s="82"/>
      <c r="K160" s="100"/>
      <c r="L160" s="82"/>
      <c r="M160" s="100"/>
      <c r="N160" s="82"/>
      <c r="O160" s="82"/>
      <c r="P160" s="82"/>
      <c r="Q160" s="82"/>
      <c r="R160" s="82"/>
      <c r="S160" s="102"/>
    </row>
    <row r="161" spans="1:19" x14ac:dyDescent="0.35">
      <c r="A161" s="79"/>
      <c r="B161" s="79"/>
      <c r="C161" s="103" t="s">
        <v>439</v>
      </c>
      <c r="D161" s="103"/>
      <c r="E161" s="103"/>
      <c r="F161" s="103"/>
      <c r="G161" s="103"/>
      <c r="H161" s="103"/>
      <c r="I161" s="103"/>
      <c r="J161" s="103"/>
      <c r="K161" s="104"/>
      <c r="L161" s="103"/>
      <c r="M161" s="104"/>
      <c r="N161" s="103"/>
      <c r="O161" s="103"/>
      <c r="P161" s="103"/>
      <c r="Q161" s="103"/>
      <c r="R161" s="103"/>
      <c r="S161" s="106"/>
    </row>
    <row r="162" spans="1:19" x14ac:dyDescent="0.35">
      <c r="A162" s="91" t="s">
        <v>228</v>
      </c>
      <c r="B162" s="79" t="s">
        <v>447</v>
      </c>
      <c r="C162" s="92" t="s">
        <v>425</v>
      </c>
      <c r="D162" s="92"/>
      <c r="E162" s="92"/>
      <c r="F162" s="114">
        <v>6.67</v>
      </c>
      <c r="G162" s="92" t="str">
        <f>CONCATENATE("USD,FLAT ",TEXT(F162,"0.00"))</f>
        <v>USD,FLAT 6.67</v>
      </c>
      <c r="H162" s="114" t="str">
        <f>TEXT(6.67,"0.00")</f>
        <v>6.67</v>
      </c>
      <c r="I162" s="92" t="s">
        <v>174</v>
      </c>
      <c r="J162" s="121">
        <v>2</v>
      </c>
      <c r="K162" s="94" t="str">
        <f>TEXT(13.34,"0.00")</f>
        <v>13.34</v>
      </c>
      <c r="L162" s="114"/>
      <c r="M162" s="94" t="str">
        <f>TEXT(26,"0")</f>
        <v>26</v>
      </c>
      <c r="N162" s="92" t="s">
        <v>185</v>
      </c>
      <c r="O162" s="92" t="s">
        <v>427</v>
      </c>
      <c r="P162" s="92" t="s">
        <v>426</v>
      </c>
      <c r="Q162" s="92"/>
      <c r="R162" s="92"/>
      <c r="S162" s="95"/>
    </row>
    <row r="163" spans="1:19" x14ac:dyDescent="0.35">
      <c r="A163" s="79"/>
      <c r="B163" s="79"/>
      <c r="C163" s="96" t="s">
        <v>438</v>
      </c>
      <c r="D163" s="96"/>
      <c r="E163" s="96"/>
      <c r="F163" s="96"/>
      <c r="G163" s="96"/>
      <c r="H163" s="96"/>
      <c r="I163" s="96"/>
      <c r="J163" s="122"/>
      <c r="K163" s="97"/>
      <c r="L163" s="96"/>
      <c r="M163" s="98"/>
      <c r="N163" s="96"/>
      <c r="O163" s="96"/>
      <c r="P163" s="96"/>
      <c r="Q163" s="96"/>
      <c r="R163" s="96"/>
      <c r="S163" s="99"/>
    </row>
    <row r="164" spans="1:19" x14ac:dyDescent="0.35">
      <c r="A164" s="79"/>
      <c r="B164" s="79"/>
      <c r="C164" s="82" t="s">
        <v>424</v>
      </c>
      <c r="D164" s="82"/>
      <c r="E164" s="82"/>
      <c r="F164" s="82"/>
      <c r="G164" s="82"/>
      <c r="H164" s="82"/>
      <c r="I164" s="82"/>
      <c r="J164" s="82"/>
      <c r="K164" s="100"/>
      <c r="L164" s="82"/>
      <c r="M164" s="101"/>
      <c r="N164" s="82"/>
      <c r="O164" s="82"/>
      <c r="P164" s="82"/>
      <c r="Q164" s="82"/>
      <c r="R164" s="82"/>
      <c r="S164" s="102"/>
    </row>
    <row r="165" spans="1:19" x14ac:dyDescent="0.35">
      <c r="A165" s="79"/>
      <c r="B165" s="79"/>
      <c r="C165" s="103" t="s">
        <v>439</v>
      </c>
      <c r="D165" s="103"/>
      <c r="E165" s="103"/>
      <c r="F165" s="103"/>
      <c r="G165" s="103"/>
      <c r="H165" s="103"/>
      <c r="I165" s="103"/>
      <c r="J165" s="103"/>
      <c r="K165" s="104"/>
      <c r="L165" s="103"/>
      <c r="M165" s="105"/>
      <c r="N165" s="103"/>
      <c r="O165" s="103"/>
      <c r="P165" s="103"/>
      <c r="Q165" s="103"/>
      <c r="R165" s="103"/>
      <c r="S165" s="106"/>
    </row>
    <row r="166" spans="1:19" x14ac:dyDescent="0.35">
      <c r="A166" s="91" t="s">
        <v>235</v>
      </c>
      <c r="B166" s="79"/>
      <c r="C166" s="92" t="s">
        <v>425</v>
      </c>
      <c r="D166" s="92"/>
      <c r="E166" s="92"/>
      <c r="F166" s="114">
        <v>0.4</v>
      </c>
      <c r="G166" s="92" t="str">
        <f>CONCATENATE("USD,FLAT ",TEXT(F166,"0.00"))</f>
        <v>USD,FLAT 0.40</v>
      </c>
      <c r="H166" s="114" t="str">
        <f>TEXT(0.4,"0.0")</f>
        <v>0.4</v>
      </c>
      <c r="I166" s="92" t="s">
        <v>174</v>
      </c>
      <c r="J166" s="121">
        <v>2</v>
      </c>
      <c r="K166" s="94" t="str">
        <f>TEXT(0.8,"0.0")</f>
        <v>0.8</v>
      </c>
      <c r="L166" s="92"/>
      <c r="M166" s="94" t="str">
        <f>TEXT(26,"0")</f>
        <v>26</v>
      </c>
      <c r="N166" s="92" t="s">
        <v>185</v>
      </c>
      <c r="O166" s="92" t="s">
        <v>427</v>
      </c>
      <c r="P166" s="92" t="s">
        <v>426</v>
      </c>
      <c r="Q166" s="92"/>
      <c r="R166" s="92"/>
      <c r="S166" s="95"/>
    </row>
    <row r="167" spans="1:19" x14ac:dyDescent="0.35">
      <c r="A167" s="79"/>
      <c r="B167" s="79"/>
      <c r="C167" s="96" t="s">
        <v>438</v>
      </c>
      <c r="D167" s="96"/>
      <c r="E167" s="96"/>
      <c r="F167" s="96"/>
      <c r="G167" s="96"/>
      <c r="H167" s="96"/>
      <c r="I167" s="96"/>
      <c r="J167" s="122"/>
      <c r="K167" s="97"/>
      <c r="L167" s="96"/>
      <c r="M167" s="97"/>
      <c r="N167" s="96"/>
      <c r="O167" s="96"/>
      <c r="P167" s="96"/>
      <c r="Q167" s="96"/>
      <c r="R167" s="96"/>
      <c r="S167" s="99"/>
    </row>
    <row r="168" spans="1:19" x14ac:dyDescent="0.35">
      <c r="A168" s="79"/>
      <c r="B168" s="79"/>
      <c r="C168" s="82" t="s">
        <v>424</v>
      </c>
      <c r="D168" s="82"/>
      <c r="E168" s="82"/>
      <c r="F168" s="82"/>
      <c r="G168" s="82"/>
      <c r="H168" s="82"/>
      <c r="I168" s="82"/>
      <c r="J168" s="82"/>
      <c r="K168" s="100"/>
      <c r="L168" s="82"/>
      <c r="M168" s="100"/>
      <c r="N168" s="82"/>
      <c r="O168" s="82"/>
      <c r="P168" s="82"/>
      <c r="Q168" s="82"/>
      <c r="R168" s="82"/>
      <c r="S168" s="102"/>
    </row>
    <row r="169" spans="1:19" x14ac:dyDescent="0.35">
      <c r="A169" s="79"/>
      <c r="B169" s="79"/>
      <c r="C169" s="103" t="s">
        <v>439</v>
      </c>
      <c r="D169" s="103"/>
      <c r="E169" s="103"/>
      <c r="F169" s="103"/>
      <c r="G169" s="103"/>
      <c r="H169" s="103"/>
      <c r="I169" s="103"/>
      <c r="J169" s="103"/>
      <c r="K169" s="104"/>
      <c r="L169" s="103"/>
      <c r="M169" s="104"/>
      <c r="N169" s="103"/>
      <c r="O169" s="103"/>
      <c r="P169" s="103"/>
      <c r="Q169" s="103"/>
      <c r="R169" s="103"/>
      <c r="S169" s="106"/>
    </row>
    <row r="170" spans="1:19" x14ac:dyDescent="0.35">
      <c r="A170" s="91" t="s">
        <v>237</v>
      </c>
      <c r="B170" s="79"/>
      <c r="C170" s="92" t="s">
        <v>425</v>
      </c>
      <c r="D170" s="92"/>
      <c r="E170" s="92"/>
      <c r="F170" s="114">
        <v>0.6</v>
      </c>
      <c r="G170" s="92" t="str">
        <f>CONCATENATE("USD,FLAT ",TEXT(F170,"0.00"))</f>
        <v>USD,FLAT 0.60</v>
      </c>
      <c r="H170" s="114" t="str">
        <f>TEXT(0.6,"0.0")</f>
        <v>0.6</v>
      </c>
      <c r="I170" s="92" t="s">
        <v>174</v>
      </c>
      <c r="J170" s="121">
        <v>2</v>
      </c>
      <c r="K170" s="94" t="str">
        <f>TEXT(1.2,"0.0")</f>
        <v>1.2</v>
      </c>
      <c r="L170" s="92"/>
      <c r="M170" s="94" t="str">
        <f>TEXT(26,"0")</f>
        <v>26</v>
      </c>
      <c r="N170" s="92" t="s">
        <v>185</v>
      </c>
      <c r="O170" s="92" t="s">
        <v>427</v>
      </c>
      <c r="P170" s="92" t="s">
        <v>426</v>
      </c>
      <c r="Q170" s="92"/>
      <c r="R170" s="92"/>
      <c r="S170" s="95"/>
    </row>
    <row r="171" spans="1:19" x14ac:dyDescent="0.35">
      <c r="A171" s="79"/>
      <c r="B171" s="79"/>
      <c r="C171" s="96" t="s">
        <v>438</v>
      </c>
      <c r="D171" s="96"/>
      <c r="E171" s="96"/>
      <c r="F171" s="96"/>
      <c r="G171" s="96"/>
      <c r="H171" s="96"/>
      <c r="I171" s="96"/>
      <c r="J171" s="122"/>
      <c r="K171" s="97"/>
      <c r="L171" s="96"/>
      <c r="M171" s="98"/>
      <c r="N171" s="96"/>
      <c r="O171" s="96"/>
      <c r="P171" s="96"/>
      <c r="Q171" s="96"/>
      <c r="R171" s="96"/>
      <c r="S171" s="99"/>
    </row>
    <row r="172" spans="1:19" x14ac:dyDescent="0.35">
      <c r="A172" s="79"/>
      <c r="B172" s="79"/>
      <c r="C172" s="82" t="s">
        <v>424</v>
      </c>
      <c r="D172" s="82"/>
      <c r="E172" s="82"/>
      <c r="F172" s="82"/>
      <c r="G172" s="82"/>
      <c r="H172" s="82"/>
      <c r="I172" s="82"/>
      <c r="J172" s="82"/>
      <c r="K172" s="100"/>
      <c r="L172" s="82"/>
      <c r="M172" s="101"/>
      <c r="N172" s="82"/>
      <c r="O172" s="82"/>
      <c r="P172" s="82"/>
      <c r="Q172" s="82"/>
      <c r="R172" s="82"/>
      <c r="S172" s="102"/>
    </row>
    <row r="173" spans="1:19" x14ac:dyDescent="0.35">
      <c r="A173" s="79"/>
      <c r="B173" s="79"/>
      <c r="C173" s="103" t="s">
        <v>439</v>
      </c>
      <c r="D173" s="103"/>
      <c r="E173" s="103"/>
      <c r="F173" s="103"/>
      <c r="G173" s="103"/>
      <c r="H173" s="103"/>
      <c r="I173" s="103"/>
      <c r="J173" s="103"/>
      <c r="K173" s="104"/>
      <c r="L173" s="103"/>
      <c r="M173" s="105"/>
      <c r="N173" s="103"/>
      <c r="O173" s="103"/>
      <c r="P173" s="103"/>
      <c r="Q173" s="103"/>
      <c r="R173" s="103"/>
      <c r="S173" s="106"/>
    </row>
    <row r="174" spans="1:19" x14ac:dyDescent="0.35">
      <c r="A174" s="91" t="s">
        <v>432</v>
      </c>
      <c r="B174" s="115"/>
      <c r="C174" s="92" t="s">
        <v>425</v>
      </c>
      <c r="D174" s="92"/>
      <c r="E174" s="92"/>
      <c r="F174" s="92">
        <v>16.66</v>
      </c>
      <c r="G174" s="92" t="str">
        <f>CONCATENATE("USD,FLAT ",TEXT(F174,"0.00"))</f>
        <v>USD,FLAT 16.66</v>
      </c>
      <c r="H174" s="92" t="str">
        <f>TEXT(16.66,"0.00")</f>
        <v>16.66</v>
      </c>
      <c r="I174" s="92" t="s">
        <v>174</v>
      </c>
      <c r="J174" s="121">
        <v>2</v>
      </c>
      <c r="K174" s="94" t="str">
        <f>TEXT(33.32,"0.00")</f>
        <v>33.32</v>
      </c>
      <c r="L174" s="92"/>
      <c r="M174" s="94" t="str">
        <f>TEXT(26,"0")</f>
        <v>26</v>
      </c>
      <c r="N174" s="92" t="s">
        <v>185</v>
      </c>
      <c r="O174" s="92" t="s">
        <v>427</v>
      </c>
      <c r="P174" s="92" t="s">
        <v>426</v>
      </c>
      <c r="Q174" s="92"/>
      <c r="R174" s="92"/>
      <c r="S174" s="95"/>
    </row>
    <row r="175" spans="1:19" x14ac:dyDescent="0.35">
      <c r="A175" s="79"/>
      <c r="B175" s="115"/>
      <c r="C175" s="96" t="s">
        <v>438</v>
      </c>
      <c r="D175" s="96"/>
      <c r="E175" s="96"/>
      <c r="F175" s="96"/>
      <c r="G175" s="96"/>
      <c r="H175" s="96"/>
      <c r="I175" s="96"/>
      <c r="J175" s="122"/>
      <c r="K175" s="97"/>
      <c r="L175" s="96"/>
      <c r="M175" s="96"/>
      <c r="N175" s="96"/>
      <c r="O175" s="96"/>
      <c r="P175" s="96"/>
      <c r="Q175" s="96"/>
      <c r="R175" s="96"/>
      <c r="S175" s="99"/>
    </row>
    <row r="176" spans="1:19" x14ac:dyDescent="0.35">
      <c r="A176" s="79"/>
      <c r="B176" s="79"/>
      <c r="C176" s="82" t="s">
        <v>424</v>
      </c>
      <c r="D176" s="82"/>
      <c r="E176" s="82"/>
      <c r="F176" s="82"/>
      <c r="G176" s="82"/>
      <c r="H176" s="82"/>
      <c r="I176" s="82"/>
      <c r="J176" s="82"/>
      <c r="K176" s="116"/>
      <c r="L176" s="82"/>
      <c r="M176" s="82"/>
      <c r="N176" s="82"/>
      <c r="O176" s="82"/>
      <c r="P176" s="82"/>
      <c r="Q176" s="82"/>
      <c r="R176" s="82"/>
      <c r="S176" s="102"/>
    </row>
    <row r="177" spans="1:19" x14ac:dyDescent="0.35">
      <c r="A177" s="79"/>
      <c r="B177" s="79"/>
      <c r="C177" s="103" t="s">
        <v>439</v>
      </c>
      <c r="D177" s="103"/>
      <c r="E177" s="103"/>
      <c r="F177" s="103"/>
      <c r="G177" s="103"/>
      <c r="H177" s="103"/>
      <c r="I177" s="103"/>
      <c r="J177" s="103"/>
      <c r="K177" s="128"/>
      <c r="L177" s="103"/>
      <c r="M177" s="103"/>
      <c r="N177" s="103"/>
      <c r="O177" s="103"/>
      <c r="P177" s="103"/>
      <c r="Q177" s="103"/>
      <c r="R177" s="103"/>
      <c r="S177" s="106"/>
    </row>
    <row r="179" spans="1:19" x14ac:dyDescent="0.35">
      <c r="A179" s="162" t="s">
        <v>450</v>
      </c>
      <c r="B179" s="162"/>
      <c r="C179" s="162"/>
      <c r="D179" s="162"/>
      <c r="E179" s="162"/>
    </row>
    <row r="181" spans="1:19" x14ac:dyDescent="0.35">
      <c r="A181" s="137" t="s">
        <v>350</v>
      </c>
      <c r="B181" s="138"/>
      <c r="C181" s="138"/>
      <c r="D181" s="138"/>
      <c r="E181" s="138"/>
      <c r="F181" s="138"/>
      <c r="G181" s="138"/>
      <c r="H181" s="138"/>
      <c r="I181" s="138"/>
      <c r="J181" s="138"/>
    </row>
    <row r="182" spans="1:19" x14ac:dyDescent="0.35">
      <c r="A182" s="63"/>
      <c r="B182" s="64"/>
      <c r="C182" s="142" t="s">
        <v>351</v>
      </c>
      <c r="D182" s="142"/>
      <c r="E182" s="142"/>
      <c r="F182" s="142"/>
      <c r="G182" s="142"/>
      <c r="H182" s="142"/>
      <c r="I182" s="142"/>
      <c r="J182" s="142"/>
      <c r="K182" s="142"/>
    </row>
    <row r="183" spans="1:19" x14ac:dyDescent="0.35">
      <c r="A183" s="143" t="s">
        <v>352</v>
      </c>
      <c r="B183" s="143" t="s">
        <v>353</v>
      </c>
      <c r="C183" s="145" t="s">
        <v>354</v>
      </c>
      <c r="D183" s="146"/>
      <c r="E183" s="146"/>
      <c r="F183" s="147"/>
      <c r="G183" s="148" t="s">
        <v>355</v>
      </c>
      <c r="H183" s="149"/>
      <c r="I183" s="149"/>
      <c r="J183" s="150"/>
      <c r="K183" s="143" t="s">
        <v>356</v>
      </c>
      <c r="L183" s="143" t="s">
        <v>357</v>
      </c>
    </row>
    <row r="184" spans="1:19" x14ac:dyDescent="0.35">
      <c r="A184" s="144"/>
      <c r="B184" s="144"/>
      <c r="C184" s="65" t="s">
        <v>358</v>
      </c>
      <c r="D184" s="65" t="s">
        <v>359</v>
      </c>
      <c r="E184" s="65" t="s">
        <v>360</v>
      </c>
      <c r="F184" s="65" t="s">
        <v>361</v>
      </c>
      <c r="G184" s="66" t="s">
        <v>358</v>
      </c>
      <c r="H184" s="66" t="s">
        <v>359</v>
      </c>
      <c r="I184" s="66" t="s">
        <v>360</v>
      </c>
      <c r="J184" s="66" t="s">
        <v>361</v>
      </c>
      <c r="K184" s="144"/>
      <c r="L184" s="144"/>
    </row>
    <row r="185" spans="1:19" x14ac:dyDescent="0.35">
      <c r="A185" s="41" t="s">
        <v>362</v>
      </c>
      <c r="B185" s="41" t="s">
        <v>363</v>
      </c>
      <c r="C185" s="30" t="str">
        <f>TEXT(25105.8,"0.0")</f>
        <v>25105.8</v>
      </c>
      <c r="D185" s="30" t="str">
        <f>TEXT(1269,"0")</f>
        <v>1269</v>
      </c>
      <c r="E185" s="30" t="str">
        <f>TEXT(23836.8,"0.0")</f>
        <v>23836.8</v>
      </c>
      <c r="F185" s="30" t="str">
        <f>TEXT(94.95,"0.00")</f>
        <v>94.95</v>
      </c>
      <c r="G185" s="30" t="str">
        <f>TEXT(7242,"0")</f>
        <v>7242</v>
      </c>
      <c r="H185" s="30" t="str">
        <f>TEXT(1092,"0")</f>
        <v>1092</v>
      </c>
      <c r="I185" s="30" t="str">
        <f>TEXT(6150,"0")</f>
        <v>6150</v>
      </c>
      <c r="J185" s="30" t="str">
        <f>TEXT(84.92,"0.00")</f>
        <v>84.92</v>
      </c>
      <c r="K185" s="30" t="str">
        <f>TEXT(246.67,"0.00")</f>
        <v>246.67</v>
      </c>
      <c r="L185" s="41" t="s">
        <v>159</v>
      </c>
    </row>
    <row r="187" spans="1:19" ht="13.25" customHeight="1" x14ac:dyDescent="0.35">
      <c r="A187" s="137" t="s">
        <v>364</v>
      </c>
      <c r="B187" s="138"/>
      <c r="C187" s="138"/>
      <c r="D187" s="138"/>
      <c r="E187" s="138"/>
      <c r="F187" s="138"/>
      <c r="G187" s="138"/>
      <c r="H187" s="138"/>
      <c r="I187" s="138"/>
      <c r="J187" s="138"/>
      <c r="K187" s="138"/>
      <c r="L187" s="138"/>
    </row>
    <row r="188" spans="1:19" x14ac:dyDescent="0.35">
      <c r="A188" s="139" t="s">
        <v>131</v>
      </c>
      <c r="B188" s="139" t="s">
        <v>365</v>
      </c>
      <c r="C188" s="159" t="s">
        <v>366</v>
      </c>
      <c r="D188" s="170" t="s">
        <v>367</v>
      </c>
      <c r="E188" s="169" t="s">
        <v>351</v>
      </c>
      <c r="F188" s="169"/>
      <c r="G188" s="169"/>
      <c r="H188" s="169"/>
      <c r="I188" s="168" t="s">
        <v>368</v>
      </c>
      <c r="J188" s="168"/>
      <c r="K188" s="168"/>
      <c r="L188" s="168"/>
    </row>
    <row r="189" spans="1:19" x14ac:dyDescent="0.35">
      <c r="A189" s="140"/>
      <c r="B189" s="140"/>
      <c r="C189" s="160"/>
      <c r="D189" s="171"/>
      <c r="E189" s="145" t="s">
        <v>369</v>
      </c>
      <c r="F189" s="147"/>
      <c r="G189" s="148" t="s">
        <v>355</v>
      </c>
      <c r="H189" s="150"/>
      <c r="I189" s="145" t="s">
        <v>369</v>
      </c>
      <c r="J189" s="147"/>
      <c r="K189" s="148" t="s">
        <v>355</v>
      </c>
      <c r="L189" s="150"/>
    </row>
    <row r="190" spans="1:19" x14ac:dyDescent="0.35">
      <c r="A190" s="141"/>
      <c r="B190" s="141" t="s">
        <v>130</v>
      </c>
      <c r="C190" s="161"/>
      <c r="D190" s="172"/>
      <c r="E190" s="65" t="s">
        <v>370</v>
      </c>
      <c r="F190" s="65" t="s">
        <v>371</v>
      </c>
      <c r="G190" s="66" t="s">
        <v>372</v>
      </c>
      <c r="H190" s="66" t="s">
        <v>373</v>
      </c>
      <c r="I190" s="65" t="s">
        <v>370</v>
      </c>
      <c r="J190" s="65" t="s">
        <v>371</v>
      </c>
      <c r="K190" s="66" t="s">
        <v>372</v>
      </c>
      <c r="L190" s="66" t="s">
        <v>373</v>
      </c>
    </row>
    <row r="191" spans="1:19" x14ac:dyDescent="0.35">
      <c r="A191" s="41" t="str">
        <f>C4</f>
        <v>BANK_82_EPER_001,IND</v>
      </c>
      <c r="B191" s="41" t="s">
        <v>362</v>
      </c>
      <c r="C191" s="56" t="s">
        <v>374</v>
      </c>
      <c r="D191" s="67" t="str">
        <f>TEXT(246.67,"0.00")</f>
        <v>246.67</v>
      </c>
      <c r="E191" s="68" t="str">
        <f>"$"&amp;TEXT(25105.8,"0.00")</f>
        <v>$25105.80</v>
      </c>
      <c r="F191" s="68" t="str">
        <f>"$"&amp;TEXT(1269,"0.00")</f>
        <v>$1269.00</v>
      </c>
      <c r="G191" s="68" t="str">
        <f>"$"&amp;TEXT(7242,"0.00")</f>
        <v>$7242.00</v>
      </c>
      <c r="H191" s="68" t="str">
        <f>"$"&amp;TEXT(1092,"0.00")</f>
        <v>$1092.00</v>
      </c>
      <c r="I191" s="69" t="str">
        <f>"$"&amp;TEXT(25105.8,"0.00")</f>
        <v>$25105.80</v>
      </c>
      <c r="J191" s="69" t="str">
        <f>"$"&amp;TEXT(1269,"0.00")</f>
        <v>$1269.00</v>
      </c>
      <c r="K191" s="69" t="str">
        <f>"$"&amp;TEXT(7242,"0.00")</f>
        <v>$7242.00</v>
      </c>
      <c r="L191" s="69" t="str">
        <f>"$"&amp;TEXT(1092,"0.00")</f>
        <v>$1092.00</v>
      </c>
    </row>
    <row r="192" spans="1:19" x14ac:dyDescent="0.35">
      <c r="A192" s="56" t="s">
        <v>478</v>
      </c>
      <c r="B192" s="41" t="s">
        <v>362</v>
      </c>
      <c r="C192" s="56" t="s">
        <v>374</v>
      </c>
      <c r="D192" s="67" t="str">
        <f>TEXT(117.66,"0.00")</f>
        <v>117.66</v>
      </c>
      <c r="E192" s="68" t="str">
        <f>"$"&amp;TEXT(14375.4,"0.00")</f>
        <v>$14375.40</v>
      </c>
      <c r="F192" s="68" t="str">
        <f>"$"&amp;TEXT(1035,"0.00")</f>
        <v>$1035.00</v>
      </c>
      <c r="G192" s="68" t="str">
        <f>"$"&amp;TEXT(6604.5,"0.00")</f>
        <v>$6604.50</v>
      </c>
      <c r="H192" s="68" t="str">
        <f>"$"&amp;TEXT(1092,"0.00")</f>
        <v>$1092.00</v>
      </c>
      <c r="I192" s="69" t="str">
        <f>"$"&amp;TEXT(14375.4,"0.00")</f>
        <v>$14375.40</v>
      </c>
      <c r="J192" s="69" t="str">
        <f>"$"&amp;TEXT(1035,"0.00")</f>
        <v>$1035.00</v>
      </c>
      <c r="K192" s="69" t="str">
        <f>"$"&amp;TEXT(6604.5,"0.00")</f>
        <v>$6604.50</v>
      </c>
      <c r="L192" s="69" t="str">
        <f>"$"&amp;TEXT(1092,"0.00")</f>
        <v>$1092.00</v>
      </c>
    </row>
    <row r="193" spans="1:26" x14ac:dyDescent="0.35">
      <c r="A193" s="56" t="s">
        <v>399</v>
      </c>
      <c r="B193" s="41" t="s">
        <v>362</v>
      </c>
      <c r="C193" s="56" t="s">
        <v>374</v>
      </c>
      <c r="D193" s="67" t="str">
        <f>TEXT(1583.2,"0.00")</f>
        <v>1583.20</v>
      </c>
      <c r="E193" s="68" t="str">
        <f>"$"&amp;TEXT(10730.4,"0.00")</f>
        <v>$10730.40</v>
      </c>
      <c r="F193" s="68" t="str">
        <f>"$"&amp;TEXT(234,"0.00")</f>
        <v>$234.00</v>
      </c>
      <c r="G193" s="68" t="str">
        <f>"$"&amp;TEXT(637.5,"0.00")</f>
        <v>$637.50</v>
      </c>
      <c r="H193" s="68" t="str">
        <f>"$"&amp;TEXT(0,"0.00")</f>
        <v>$0.00</v>
      </c>
      <c r="I193" s="69" t="str">
        <f>"$"&amp;TEXT(10730.4,"0.00")</f>
        <v>$10730.40</v>
      </c>
      <c r="J193" s="69" t="str">
        <f>"$"&amp;TEXT(234,"0.00")</f>
        <v>$234.00</v>
      </c>
      <c r="K193" s="69" t="str">
        <f>"$"&amp;TEXT(637.5,"0.00")</f>
        <v>$637.50</v>
      </c>
      <c r="L193" s="69" t="str">
        <f>"$"&amp;TEXT(0,"0.00")</f>
        <v>$0.00</v>
      </c>
    </row>
    <row r="195" spans="1:26" x14ac:dyDescent="0.35">
      <c r="A195" s="137" t="s">
        <v>375</v>
      </c>
      <c r="B195" s="138"/>
      <c r="C195" s="138"/>
      <c r="D195" s="138"/>
      <c r="E195" s="138"/>
      <c r="F195" s="138"/>
      <c r="G195" s="138"/>
      <c r="H195" s="138"/>
      <c r="I195" s="138"/>
      <c r="J195" s="138"/>
    </row>
    <row r="196" spans="1:26" x14ac:dyDescent="0.35">
      <c r="A196" s="63"/>
      <c r="B196" s="64"/>
      <c r="C196" s="142" t="s">
        <v>351</v>
      </c>
      <c r="D196" s="142"/>
      <c r="E196" s="142"/>
      <c r="F196" s="142"/>
      <c r="G196" s="142"/>
      <c r="H196" s="142"/>
      <c r="I196" s="142"/>
      <c r="J196" s="142"/>
      <c r="K196" s="142"/>
      <c r="Z196" s="70"/>
    </row>
    <row r="197" spans="1:26" x14ac:dyDescent="0.35">
      <c r="A197" s="143" t="s">
        <v>352</v>
      </c>
      <c r="B197" s="143" t="s">
        <v>353</v>
      </c>
      <c r="C197" s="145" t="s">
        <v>354</v>
      </c>
      <c r="D197" s="146"/>
      <c r="E197" s="146"/>
      <c r="F197" s="147"/>
      <c r="G197" s="148" t="s">
        <v>355</v>
      </c>
      <c r="H197" s="149"/>
      <c r="I197" s="149"/>
      <c r="J197" s="150"/>
      <c r="K197" s="151" t="s">
        <v>376</v>
      </c>
    </row>
    <row r="198" spans="1:26" x14ac:dyDescent="0.35">
      <c r="A198" s="144"/>
      <c r="B198" s="144"/>
      <c r="C198" s="65" t="s">
        <v>358</v>
      </c>
      <c r="D198" s="65" t="s">
        <v>359</v>
      </c>
      <c r="E198" s="65" t="s">
        <v>360</v>
      </c>
      <c r="F198" s="65" t="s">
        <v>361</v>
      </c>
      <c r="G198" s="66" t="s">
        <v>358</v>
      </c>
      <c r="H198" s="66" t="s">
        <v>359</v>
      </c>
      <c r="I198" s="66" t="s">
        <v>360</v>
      </c>
      <c r="J198" s="66" t="s">
        <v>361</v>
      </c>
      <c r="K198" s="152"/>
    </row>
    <row r="199" spans="1:26" x14ac:dyDescent="0.35">
      <c r="A199" s="56" t="s">
        <v>362</v>
      </c>
      <c r="B199" s="71"/>
      <c r="C199" s="30" t="str">
        <f>"$"&amp;TEXT(25105.8,"0.00")</f>
        <v>$25105.80</v>
      </c>
      <c r="D199" s="30" t="str">
        <f>"$"&amp;TEXT(1269,"0.00")</f>
        <v>$1269.00</v>
      </c>
      <c r="E199" s="30" t="str">
        <f>"$"&amp;TEXT(23836.8,"0.00")</f>
        <v>$23836.80</v>
      </c>
      <c r="F199" s="30" t="str">
        <f>TEXT(94.95,"0.00")</f>
        <v>94.95</v>
      </c>
      <c r="G199" s="30" t="str">
        <f>"$"&amp;TEXT(7242,"0.00")</f>
        <v>$7242.00</v>
      </c>
      <c r="H199" s="30" t="str">
        <f>"$"&amp;TEXT(1092,"0.00")</f>
        <v>$1092.00</v>
      </c>
      <c r="I199" s="30" t="str">
        <f>"$"&amp;TEXT(6150,"0.00")</f>
        <v>$6150.00</v>
      </c>
      <c r="J199" s="30" t="str">
        <f>TEXT(84.92,"0.00")</f>
        <v>84.92</v>
      </c>
      <c r="K199" s="30" t="str">
        <f>TEXT(246.67,"0.00")</f>
        <v>246.67</v>
      </c>
    </row>
    <row r="201" spans="1:26" x14ac:dyDescent="0.35">
      <c r="A201" s="45" t="s">
        <v>377</v>
      </c>
      <c r="B201" s="46"/>
      <c r="C201" s="46"/>
    </row>
    <row r="202" spans="1:26" x14ac:dyDescent="0.35">
      <c r="A202" s="43" t="s">
        <v>377</v>
      </c>
      <c r="B202" s="43" t="s">
        <v>378</v>
      </c>
      <c r="C202" s="43" t="s">
        <v>379</v>
      </c>
      <c r="D202" s="43" t="s">
        <v>380</v>
      </c>
      <c r="E202" s="43" t="s">
        <v>291</v>
      </c>
      <c r="F202" s="43" t="s">
        <v>189</v>
      </c>
      <c r="G202" s="43" t="s">
        <v>190</v>
      </c>
      <c r="H202" s="43" t="s">
        <v>381</v>
      </c>
      <c r="I202" s="43" t="s">
        <v>382</v>
      </c>
      <c r="J202" s="43" t="s">
        <v>383</v>
      </c>
      <c r="K202" s="43" t="s">
        <v>288</v>
      </c>
      <c r="L202" s="43" t="s">
        <v>286</v>
      </c>
    </row>
    <row r="203" spans="1:26" ht="72.5" x14ac:dyDescent="0.35">
      <c r="A203" s="72" t="s">
        <v>384</v>
      </c>
      <c r="B203" s="73" t="s">
        <v>385</v>
      </c>
      <c r="C203" s="73" t="s">
        <v>385</v>
      </c>
      <c r="D203" s="73" t="s">
        <v>386</v>
      </c>
      <c r="E203" s="73" t="s">
        <v>387</v>
      </c>
      <c r="F203" s="73"/>
      <c r="G203" s="73"/>
      <c r="H203" s="73"/>
      <c r="I203" s="73"/>
      <c r="J203" s="74">
        <f ca="1">TODAY()</f>
        <v>45072</v>
      </c>
      <c r="K203" s="74">
        <v>234</v>
      </c>
      <c r="L203" s="73" t="s">
        <v>159</v>
      </c>
    </row>
    <row r="205" spans="1:26" x14ac:dyDescent="0.35">
      <c r="A205" s="45" t="s">
        <v>388</v>
      </c>
      <c r="B205" s="46"/>
      <c r="C205" s="46"/>
    </row>
    <row r="206" spans="1:26" x14ac:dyDescent="0.35">
      <c r="A206" s="43" t="s">
        <v>389</v>
      </c>
      <c r="B206" s="43" t="s">
        <v>390</v>
      </c>
      <c r="C206" s="43" t="s">
        <v>391</v>
      </c>
      <c r="D206" s="43" t="s">
        <v>392</v>
      </c>
    </row>
    <row r="207" spans="1:26" x14ac:dyDescent="0.35">
      <c r="A207" s="75" t="str">
        <f ca="1">TEXT(TODAY(),"YYYY-MM-DD")</f>
        <v>2023-05-26</v>
      </c>
      <c r="B207" s="76" t="s">
        <v>395</v>
      </c>
      <c r="C207" s="76" t="s">
        <v>393</v>
      </c>
      <c r="D207" s="76" t="s">
        <v>394</v>
      </c>
    </row>
    <row r="208" spans="1:26" x14ac:dyDescent="0.35">
      <c r="A208" s="75" t="str">
        <f ca="1">TEXT(TODAY(),"YYYY-MM-DD")</f>
        <v>2023-05-26</v>
      </c>
      <c r="B208" s="76" t="s">
        <v>396</v>
      </c>
      <c r="C208" s="76" t="s">
        <v>393</v>
      </c>
      <c r="D208" s="76" t="s">
        <v>394</v>
      </c>
    </row>
    <row r="209" spans="1:47" x14ac:dyDescent="0.35">
      <c r="A209" s="75" t="str">
        <f ca="1">TEXT(TODAY(),"YYYY-MM-DD")</f>
        <v>2023-05-26</v>
      </c>
      <c r="B209" s="76" t="s">
        <v>397</v>
      </c>
      <c r="C209" s="76" t="s">
        <v>393</v>
      </c>
      <c r="D209" s="76" t="s">
        <v>398</v>
      </c>
    </row>
    <row r="210" spans="1:47" x14ac:dyDescent="0.35">
      <c r="A210" s="75" t="str">
        <f ca="1">TEXT(TODAY(),"YYYY-MM-DD")</f>
        <v>2023-05-26</v>
      </c>
      <c r="B210" s="76" t="s">
        <v>448</v>
      </c>
      <c r="C210" s="76" t="s">
        <v>393</v>
      </c>
      <c r="D210" s="76" t="s">
        <v>449</v>
      </c>
    </row>
    <row r="212" spans="1:47" x14ac:dyDescent="0.35">
      <c r="A212" s="135" t="s">
        <v>451</v>
      </c>
      <c r="B212" s="136"/>
      <c r="C212" s="136"/>
      <c r="D212" s="136"/>
      <c r="E212" s="136"/>
      <c r="F212" s="136"/>
      <c r="G212" s="136"/>
      <c r="H212" s="136"/>
      <c r="I212" s="136"/>
      <c r="J212" s="136"/>
      <c r="K212" s="136"/>
      <c r="L212" s="136"/>
      <c r="M212" s="136"/>
      <c r="N212" s="136"/>
      <c r="O212" s="136"/>
      <c r="P212" s="136"/>
      <c r="Q212" s="136"/>
      <c r="R212" s="136"/>
      <c r="S212" s="118"/>
      <c r="T212" s="118"/>
      <c r="U212" s="118"/>
      <c r="V212" s="118"/>
      <c r="W212" s="118"/>
      <c r="X212" s="118"/>
      <c r="Y212" s="118"/>
      <c r="Z212" s="118"/>
    </row>
    <row r="213" spans="1:47" x14ac:dyDescent="0.35">
      <c r="A213" s="77" t="s">
        <v>400</v>
      </c>
      <c r="B213" s="77" t="s">
        <v>401</v>
      </c>
      <c r="C213" s="77" t="s">
        <v>402</v>
      </c>
      <c r="D213" s="77" t="s">
        <v>288</v>
      </c>
      <c r="E213" s="77" t="s">
        <v>300</v>
      </c>
      <c r="F213" s="77" t="s">
        <v>193</v>
      </c>
      <c r="G213" s="77" t="s">
        <v>403</v>
      </c>
      <c r="H213" s="77" t="s">
        <v>404</v>
      </c>
      <c r="I213" s="77" t="s">
        <v>172</v>
      </c>
      <c r="J213" s="77" t="s">
        <v>405</v>
      </c>
      <c r="K213" s="77" t="s">
        <v>358</v>
      </c>
      <c r="L213" s="77" t="s">
        <v>406</v>
      </c>
      <c r="M213" s="77" t="s">
        <v>359</v>
      </c>
      <c r="N213" s="77" t="s">
        <v>407</v>
      </c>
      <c r="O213" s="77" t="s">
        <v>408</v>
      </c>
      <c r="P213" s="77" t="s">
        <v>366</v>
      </c>
      <c r="Q213" s="77" t="s">
        <v>409</v>
      </c>
      <c r="R213" s="77" t="s">
        <v>410</v>
      </c>
      <c r="S213" s="77" t="s">
        <v>411</v>
      </c>
      <c r="T213" s="77" t="s">
        <v>340</v>
      </c>
      <c r="U213" s="77" t="s">
        <v>339</v>
      </c>
      <c r="V213" s="77" t="s">
        <v>412</v>
      </c>
      <c r="W213" s="77" t="s">
        <v>413</v>
      </c>
      <c r="X213" s="77" t="s">
        <v>414</v>
      </c>
      <c r="Y213" s="77" t="s">
        <v>415</v>
      </c>
      <c r="Z213" s="77" t="s">
        <v>416</v>
      </c>
    </row>
    <row r="214" spans="1:47" ht="19" customHeight="1" x14ac:dyDescent="0.35">
      <c r="A214" s="78" t="s">
        <v>200</v>
      </c>
      <c r="B214" s="79"/>
      <c r="C214" s="80" t="s">
        <v>417</v>
      </c>
      <c r="D214" s="81" t="str">
        <f ca="1">TEXT(TODAY(),"YYYY-MM-DD")</f>
        <v>2023-05-26</v>
      </c>
      <c r="E214" s="80"/>
      <c r="F214" s="81">
        <v>13</v>
      </c>
      <c r="G214" s="81" t="s">
        <v>418</v>
      </c>
      <c r="H214" s="81">
        <f>F214</f>
        <v>13</v>
      </c>
      <c r="I214" s="80" t="s">
        <v>174</v>
      </c>
      <c r="J214" s="81"/>
      <c r="K214" s="81"/>
      <c r="L214" s="81"/>
      <c r="M214" s="81"/>
      <c r="N214" s="80"/>
      <c r="O214" s="80"/>
      <c r="P214" s="80"/>
      <c r="Q214" s="80"/>
      <c r="R214" s="80"/>
      <c r="S214" s="80" t="s">
        <v>205</v>
      </c>
      <c r="T214" s="80" t="s">
        <v>343</v>
      </c>
      <c r="U214" s="80">
        <v>8797366188</v>
      </c>
      <c r="V214" s="80" t="s">
        <v>419</v>
      </c>
      <c r="W214" s="80" t="s">
        <v>183</v>
      </c>
      <c r="X214" s="80" t="s">
        <v>420</v>
      </c>
      <c r="Y214" s="80" t="s">
        <v>421</v>
      </c>
      <c r="Z214" s="80"/>
      <c r="AU214" t="s">
        <v>604</v>
      </c>
      <c r="AV214" t="s">
        <v>605</v>
      </c>
    </row>
    <row r="215" spans="1:47" ht="19" customHeight="1" x14ac:dyDescent="0.35">
      <c r="A215" s="78" t="s">
        <v>200</v>
      </c>
      <c r="B215" s="79"/>
      <c r="C215" s="83" t="s">
        <v>424</v>
      </c>
      <c r="D215" s="83" t="str">
        <f ca="1">TEXT(TODAY()+30,"YYYY-MM-DD")</f>
        <v>2023-06-25</v>
      </c>
      <c r="E215" s="83"/>
      <c r="F215" s="83">
        <v>12</v>
      </c>
      <c r="G215" s="83" t="s">
        <v>418</v>
      </c>
      <c r="H215" s="83">
        <f>F215</f>
        <v>12</v>
      </c>
      <c r="I215" s="83" t="s">
        <v>174</v>
      </c>
      <c r="J215" s="83"/>
      <c r="K215" s="83"/>
      <c r="L215" s="83"/>
      <c r="M215" s="83"/>
      <c r="N215" s="83"/>
      <c r="O215" s="83"/>
      <c r="P215" s="83"/>
      <c r="Q215" s="83"/>
      <c r="R215" s="83"/>
      <c r="S215" s="83" t="s">
        <v>205</v>
      </c>
      <c r="T215" s="83" t="s">
        <v>343</v>
      </c>
      <c r="U215" s="83">
        <v>8797366188</v>
      </c>
      <c r="V215" s="83" t="s">
        <v>419</v>
      </c>
      <c r="W215" s="83" t="s">
        <v>183</v>
      </c>
      <c r="X215" s="83" t="s">
        <v>420</v>
      </c>
      <c r="Y215" s="83" t="s">
        <v>421</v>
      </c>
      <c r="Z215" s="83"/>
      <c r="AU215" t="s">
        <v>606</v>
      </c>
      <c r="AV215" t="s">
        <v>607</v>
      </c>
    </row>
    <row r="217" spans="1:47" ht="16" customHeight="1" x14ac:dyDescent="0.35">
      <c r="A217" s="78" t="s">
        <v>253</v>
      </c>
      <c r="B217" s="78" t="s">
        <v>431</v>
      </c>
      <c r="C217" s="80" t="s">
        <v>417</v>
      </c>
      <c r="D217" s="80" t="str">
        <f ca="1">TEXT(TODAY(),"YYYY-MM-DD")</f>
        <v>2023-05-26</v>
      </c>
      <c r="E217" s="80"/>
      <c r="F217" s="80" t="s">
        <v>433</v>
      </c>
      <c r="G217" s="80" t="s">
        <v>418</v>
      </c>
      <c r="H217" s="80"/>
      <c r="I217" s="80" t="s">
        <v>174</v>
      </c>
      <c r="J217" s="80"/>
      <c r="K217" s="80"/>
      <c r="L217" s="80"/>
      <c r="M217" s="80"/>
      <c r="N217" s="80"/>
      <c r="O217" s="80"/>
      <c r="P217" s="80"/>
      <c r="Q217" s="80"/>
      <c r="R217" s="80"/>
      <c r="S217" s="80"/>
      <c r="T217" s="80" t="s">
        <v>343</v>
      </c>
      <c r="U217" s="80">
        <v>8797366188</v>
      </c>
      <c r="V217" s="80" t="s">
        <v>419</v>
      </c>
      <c r="W217" s="80" t="s">
        <v>183</v>
      </c>
      <c r="X217" s="80" t="s">
        <v>420</v>
      </c>
      <c r="Y217" s="80" t="s">
        <v>421</v>
      </c>
      <c r="Z217" s="80"/>
      <c r="AU217" t="s">
        <v>608</v>
      </c>
      <c r="AV217" t="s">
        <v>609</v>
      </c>
    </row>
    <row r="218" spans="1:47" ht="16" customHeight="1" x14ac:dyDescent="0.35">
      <c r="A218" s="78" t="s">
        <v>253</v>
      </c>
      <c r="B218" s="78" t="s">
        <v>431</v>
      </c>
      <c r="C218" s="83" t="s">
        <v>424</v>
      </c>
      <c r="D218" s="83" t="str">
        <f ca="1">TEXT(TODAY()+30,"YYYY-MM-DD")</f>
        <v>2023-06-25</v>
      </c>
      <c r="E218" s="83"/>
      <c r="F218" s="83" t="s">
        <v>452</v>
      </c>
      <c r="G218" s="83" t="s">
        <v>418</v>
      </c>
      <c r="H218" s="83"/>
      <c r="I218" s="83" t="s">
        <v>174</v>
      </c>
      <c r="J218" s="83"/>
      <c r="K218" s="83"/>
      <c r="L218" s="83"/>
      <c r="M218" s="83"/>
      <c r="N218" s="83"/>
      <c r="O218" s="83"/>
      <c r="P218" s="83"/>
      <c r="Q218" s="83"/>
      <c r="R218" s="83"/>
      <c r="S218" s="83"/>
      <c r="T218" s="83" t="s">
        <v>343</v>
      </c>
      <c r="U218" s="83">
        <v>8797366188</v>
      </c>
      <c r="V218" s="83" t="s">
        <v>419</v>
      </c>
      <c r="W218" s="83" t="s">
        <v>183</v>
      </c>
      <c r="X218" s="83" t="s">
        <v>420</v>
      </c>
      <c r="Y218" s="83" t="s">
        <v>421</v>
      </c>
      <c r="Z218" s="83"/>
      <c r="AU218" t="s">
        <v>610</v>
      </c>
      <c r="AV218" t="s">
        <v>611</v>
      </c>
    </row>
    <row r="220" spans="1:47" ht="16" customHeight="1" x14ac:dyDescent="0.35">
      <c r="A220" s="78" t="s">
        <v>253</v>
      </c>
      <c r="B220" s="78" t="s">
        <v>430</v>
      </c>
      <c r="C220" s="80" t="s">
        <v>417</v>
      </c>
      <c r="D220" s="80" t="str">
        <f ca="1">TEXT(TODAY(),"YYYY-MM-DD")</f>
        <v>2023-05-26</v>
      </c>
      <c r="E220" s="80"/>
      <c r="F220" s="80" t="s">
        <v>434</v>
      </c>
      <c r="G220" s="80" t="s">
        <v>418</v>
      </c>
      <c r="H220" s="80"/>
      <c r="I220" s="80" t="s">
        <v>174</v>
      </c>
      <c r="J220" s="80"/>
      <c r="K220" s="80"/>
      <c r="L220" s="80"/>
      <c r="M220" s="80"/>
      <c r="N220" s="80"/>
      <c r="O220" s="80"/>
      <c r="P220" s="80"/>
      <c r="Q220" s="80"/>
      <c r="R220" s="80"/>
      <c r="S220" s="80"/>
      <c r="T220" s="80" t="s">
        <v>343</v>
      </c>
      <c r="U220" s="80">
        <v>8797366188</v>
      </c>
      <c r="V220" s="80" t="s">
        <v>419</v>
      </c>
      <c r="W220" s="80" t="s">
        <v>183</v>
      </c>
      <c r="X220" s="80" t="s">
        <v>420</v>
      </c>
      <c r="Y220" s="80" t="s">
        <v>421</v>
      </c>
      <c r="Z220" s="80"/>
      <c r="AU220" t="s">
        <v>612</v>
      </c>
      <c r="AV220" t="s">
        <v>613</v>
      </c>
    </row>
    <row r="221" spans="1:47" ht="16" customHeight="1" x14ac:dyDescent="0.35">
      <c r="A221" s="78" t="s">
        <v>253</v>
      </c>
      <c r="B221" s="78" t="s">
        <v>430</v>
      </c>
      <c r="C221" s="83" t="s">
        <v>424</v>
      </c>
      <c r="D221" s="83" t="str">
        <f ca="1">TEXT(TODAY()+30,"YYYY-MM-DD")</f>
        <v>2023-06-25</v>
      </c>
      <c r="E221" s="83"/>
      <c r="F221" s="83" t="s">
        <v>452</v>
      </c>
      <c r="G221" s="83" t="s">
        <v>418</v>
      </c>
      <c r="H221" s="83"/>
      <c r="I221" s="83" t="s">
        <v>174</v>
      </c>
      <c r="J221" s="83"/>
      <c r="K221" s="83"/>
      <c r="L221" s="83"/>
      <c r="M221" s="83"/>
      <c r="N221" s="83"/>
      <c r="O221" s="83"/>
      <c r="P221" s="83"/>
      <c r="Q221" s="83"/>
      <c r="R221" s="83"/>
      <c r="S221" s="83"/>
      <c r="T221" s="83" t="s">
        <v>343</v>
      </c>
      <c r="U221" s="83">
        <v>8797366188</v>
      </c>
      <c r="V221" s="83" t="s">
        <v>419</v>
      </c>
      <c r="W221" s="83" t="s">
        <v>183</v>
      </c>
      <c r="X221" s="83" t="s">
        <v>420</v>
      </c>
      <c r="Y221" s="83" t="s">
        <v>421</v>
      </c>
      <c r="Z221" s="83"/>
      <c r="AU221" t="s">
        <v>614</v>
      </c>
      <c r="AV221" t="s">
        <v>615</v>
      </c>
    </row>
    <row r="223" spans="1:47" x14ac:dyDescent="0.35">
      <c r="A223" s="77" t="s">
        <v>400</v>
      </c>
      <c r="B223" s="77" t="s">
        <v>401</v>
      </c>
      <c r="C223" s="77" t="s">
        <v>402</v>
      </c>
      <c r="D223" s="77" t="s">
        <v>288</v>
      </c>
      <c r="E223" s="77" t="s">
        <v>300</v>
      </c>
      <c r="F223" s="77" t="s">
        <v>193</v>
      </c>
      <c r="G223" s="77" t="s">
        <v>403</v>
      </c>
      <c r="H223" s="77" t="s">
        <v>404</v>
      </c>
      <c r="I223" s="77" t="s">
        <v>172</v>
      </c>
      <c r="J223" s="77" t="s">
        <v>405</v>
      </c>
      <c r="K223" s="77" t="s">
        <v>358</v>
      </c>
      <c r="L223" s="77" t="s">
        <v>406</v>
      </c>
      <c r="M223" s="77" t="s">
        <v>359</v>
      </c>
      <c r="N223" s="77" t="s">
        <v>407</v>
      </c>
      <c r="O223" s="77" t="s">
        <v>408</v>
      </c>
      <c r="P223" s="77" t="s">
        <v>366</v>
      </c>
      <c r="Q223" s="77" t="s">
        <v>409</v>
      </c>
      <c r="R223" s="77" t="s">
        <v>410</v>
      </c>
      <c r="S223" s="77" t="s">
        <v>411</v>
      </c>
      <c r="T223" s="77" t="s">
        <v>340</v>
      </c>
      <c r="U223" s="77" t="s">
        <v>339</v>
      </c>
      <c r="V223" s="77" t="s">
        <v>412</v>
      </c>
      <c r="W223" s="77" t="s">
        <v>413</v>
      </c>
      <c r="X223" s="77" t="s">
        <v>414</v>
      </c>
      <c r="Y223" s="77" t="s">
        <v>415</v>
      </c>
      <c r="Z223" s="77" t="s">
        <v>416</v>
      </c>
    </row>
    <row r="224" spans="1:47" x14ac:dyDescent="0.35">
      <c r="A224" s="78" t="s">
        <v>206</v>
      </c>
      <c r="B224" s="79"/>
      <c r="C224" s="80" t="s">
        <v>417</v>
      </c>
      <c r="D224" s="80" t="str">
        <f ca="1">TEXT(TODAY(),"YYYY-MM-DD")</f>
        <v>2023-05-26</v>
      </c>
      <c r="E224" s="81"/>
      <c r="F224" s="81">
        <v>11</v>
      </c>
      <c r="G224" s="81" t="s">
        <v>418</v>
      </c>
      <c r="H224" s="81">
        <f>F224</f>
        <v>11</v>
      </c>
      <c r="I224" s="80" t="s">
        <v>174</v>
      </c>
      <c r="J224" s="81" t="str">
        <f>TEXT(4,"0")</f>
        <v>4</v>
      </c>
      <c r="K224" s="81" t="str">
        <f>TEXT(H224*J224,"0")</f>
        <v>44</v>
      </c>
      <c r="L224" s="81"/>
      <c r="M224" s="81" t="str">
        <f>TEXT(52,"0")</f>
        <v>52</v>
      </c>
      <c r="N224" s="80" t="s">
        <v>185</v>
      </c>
      <c r="O224" s="80" t="s">
        <v>427</v>
      </c>
      <c r="P224" s="80" t="s">
        <v>422</v>
      </c>
      <c r="Q224" s="80" t="s">
        <v>461</v>
      </c>
      <c r="R224" s="80"/>
      <c r="S224" s="80" t="s">
        <v>205</v>
      </c>
      <c r="T224" s="80" t="s">
        <v>343</v>
      </c>
      <c r="U224" s="80">
        <v>8797366188</v>
      </c>
      <c r="V224" s="80" t="s">
        <v>419</v>
      </c>
      <c r="W224" s="80" t="s">
        <v>183</v>
      </c>
      <c r="X224" s="80" t="s">
        <v>420</v>
      </c>
      <c r="Y224" s="80" t="s">
        <v>421</v>
      </c>
      <c r="Z224" s="80"/>
      <c r="AU224" t="s">
        <v>616</v>
      </c>
      <c r="AV224" t="s">
        <v>617</v>
      </c>
    </row>
    <row r="225" spans="1:47" x14ac:dyDescent="0.35">
      <c r="A225" s="78" t="s">
        <v>206</v>
      </c>
      <c r="B225" s="79"/>
      <c r="C225" s="83" t="s">
        <v>424</v>
      </c>
      <c r="D225" s="83" t="str">
        <f ca="1">TEXT(TODAY()+30,"YYYY-MM-DD")</f>
        <v>2023-06-25</v>
      </c>
      <c r="E225" s="83"/>
      <c r="F225" s="83">
        <v>10</v>
      </c>
      <c r="G225" s="83" t="s">
        <v>418</v>
      </c>
      <c r="H225" s="83">
        <f>F225</f>
        <v>10</v>
      </c>
      <c r="I225" s="83" t="s">
        <v>174</v>
      </c>
      <c r="J225" s="83" t="str">
        <f>TEXT(4,"0")</f>
        <v>4</v>
      </c>
      <c r="K225" s="83" t="str">
        <f>TEXT(H225*J225,"0")</f>
        <v>40</v>
      </c>
      <c r="L225" s="83"/>
      <c r="M225" s="83" t="str">
        <f>TEXT(52,"0")</f>
        <v>52</v>
      </c>
      <c r="N225" s="83"/>
      <c r="O225" s="83" t="s">
        <v>423</v>
      </c>
      <c r="P225" s="83" t="s">
        <v>422</v>
      </c>
      <c r="Q225" s="83" t="s">
        <v>461</v>
      </c>
      <c r="R225" s="83"/>
      <c r="S225" s="83" t="s">
        <v>205</v>
      </c>
      <c r="T225" s="83" t="s">
        <v>343</v>
      </c>
      <c r="U225" s="83">
        <v>8797366188</v>
      </c>
      <c r="V225" s="83" t="s">
        <v>419</v>
      </c>
      <c r="W225" s="83" t="s">
        <v>183</v>
      </c>
      <c r="X225" s="83" t="s">
        <v>420</v>
      </c>
      <c r="Y225" s="83" t="s">
        <v>421</v>
      </c>
      <c r="Z225" s="83"/>
      <c r="AU225" t="s">
        <v>618</v>
      </c>
      <c r="AV225" t="s">
        <v>619</v>
      </c>
    </row>
    <row r="226" spans="1:47" x14ac:dyDescent="0.35">
      <c r="A226" s="78" t="s">
        <v>206</v>
      </c>
      <c r="B226" s="79"/>
      <c r="C226" s="82" t="s">
        <v>425</v>
      </c>
      <c r="D226" s="82" t="str">
        <f ca="1">TEXT(TODAY(),"YYYY-MM-DD")</f>
        <v>2023-05-26</v>
      </c>
      <c r="E226" s="82" t="str">
        <f ca="1">TEXT(TODAY()+29,"YYYY-MM-DD")</f>
        <v>2023-06-24</v>
      </c>
      <c r="F226" s="82">
        <v>11</v>
      </c>
      <c r="G226" s="82" t="s">
        <v>418</v>
      </c>
      <c r="H226" s="82">
        <f>F226</f>
        <v>11</v>
      </c>
      <c r="I226" s="82" t="s">
        <v>174</v>
      </c>
      <c r="J226" s="82" t="str">
        <f>TEXT(4,"0")</f>
        <v>4</v>
      </c>
      <c r="K226" s="82" t="str">
        <f>TEXT(H226*J226,"0")</f>
        <v>44</v>
      </c>
      <c r="L226" s="82"/>
      <c r="M226" s="82" t="str">
        <f>TEXT(52,"0")</f>
        <v>52</v>
      </c>
      <c r="N226" s="82"/>
      <c r="O226" s="82" t="s">
        <v>423</v>
      </c>
      <c r="P226" s="82" t="s">
        <v>422</v>
      </c>
      <c r="Q226" s="82" t="s">
        <v>461</v>
      </c>
      <c r="R226" s="82"/>
      <c r="S226" s="82" t="s">
        <v>205</v>
      </c>
      <c r="T226" s="82" t="s">
        <v>343</v>
      </c>
      <c r="U226" s="82">
        <v>8797366188</v>
      </c>
      <c r="V226" s="82" t="s">
        <v>419</v>
      </c>
      <c r="W226" s="82" t="s">
        <v>183</v>
      </c>
      <c r="X226" s="82" t="s">
        <v>420</v>
      </c>
      <c r="Y226" s="82" t="s">
        <v>421</v>
      </c>
      <c r="Z226" s="82"/>
      <c r="AU226" t="s">
        <v>480</v>
      </c>
    </row>
    <row r="228" spans="1:47" x14ac:dyDescent="0.35">
      <c r="A228" s="135" t="s">
        <v>462</v>
      </c>
      <c r="B228" s="136"/>
      <c r="C228" s="136"/>
      <c r="D228" s="136"/>
      <c r="E228" s="136"/>
      <c r="F228" s="136"/>
      <c r="G228" s="136"/>
      <c r="H228" s="136"/>
      <c r="I228" s="136"/>
      <c r="J228" s="136"/>
      <c r="K228" s="136"/>
      <c r="L228" s="136"/>
      <c r="M228" s="136"/>
      <c r="N228" s="136"/>
      <c r="O228" s="136"/>
      <c r="P228" s="136"/>
      <c r="Q228" s="136"/>
      <c r="R228" s="136"/>
      <c r="S228" s="129"/>
      <c r="T228" s="129"/>
      <c r="U228" s="129"/>
      <c r="V228" s="129"/>
      <c r="W228" s="129"/>
      <c r="X228" s="129"/>
      <c r="Y228" s="129"/>
      <c r="Z228" s="129"/>
    </row>
    <row r="229" spans="1:47" x14ac:dyDescent="0.35">
      <c r="A229" s="77" t="s">
        <v>400</v>
      </c>
      <c r="B229" s="77" t="s">
        <v>401</v>
      </c>
      <c r="C229" s="77" t="s">
        <v>402</v>
      </c>
      <c r="D229" s="77" t="s">
        <v>288</v>
      </c>
      <c r="E229" s="77" t="s">
        <v>300</v>
      </c>
      <c r="F229" s="77" t="s">
        <v>193</v>
      </c>
      <c r="G229" s="77" t="s">
        <v>403</v>
      </c>
      <c r="H229" s="77" t="s">
        <v>404</v>
      </c>
      <c r="I229" s="77" t="s">
        <v>172</v>
      </c>
      <c r="J229" s="77" t="s">
        <v>405</v>
      </c>
      <c r="K229" s="77" t="s">
        <v>358</v>
      </c>
      <c r="L229" s="77" t="s">
        <v>406</v>
      </c>
      <c r="M229" s="77" t="s">
        <v>359</v>
      </c>
      <c r="N229" s="77" t="s">
        <v>407</v>
      </c>
      <c r="O229" s="77" t="s">
        <v>408</v>
      </c>
      <c r="P229" s="77" t="s">
        <v>366</v>
      </c>
      <c r="Q229" s="77" t="s">
        <v>409</v>
      </c>
      <c r="R229" s="77" t="s">
        <v>410</v>
      </c>
      <c r="S229" s="77" t="s">
        <v>411</v>
      </c>
      <c r="T229" s="77" t="s">
        <v>340</v>
      </c>
      <c r="U229" s="77" t="s">
        <v>339</v>
      </c>
      <c r="V229" s="77" t="s">
        <v>412</v>
      </c>
      <c r="W229" s="77" t="s">
        <v>413</v>
      </c>
      <c r="X229" s="77" t="s">
        <v>414</v>
      </c>
      <c r="Y229" s="77" t="s">
        <v>415</v>
      </c>
      <c r="Z229" s="77" t="s">
        <v>416</v>
      </c>
    </row>
    <row r="230" spans="1:47" ht="19" customHeight="1" x14ac:dyDescent="0.35">
      <c r="A230" s="79" t="s">
        <v>213</v>
      </c>
      <c r="B230" s="79"/>
      <c r="C230" s="80" t="s">
        <v>417</v>
      </c>
      <c r="D230" s="81" t="str">
        <f ca="1">TEXT(TODAY(),"YYYY-MM-DD")</f>
        <v>2023-05-26</v>
      </c>
      <c r="E230" s="80"/>
      <c r="F230" s="80" t="s">
        <v>463</v>
      </c>
      <c r="G230" s="80" t="s">
        <v>418</v>
      </c>
      <c r="H230" s="80" t="s">
        <v>216</v>
      </c>
      <c r="I230" s="80" t="s">
        <v>174</v>
      </c>
      <c r="J230" s="80" t="s">
        <v>464</v>
      </c>
      <c r="K230" s="80" t="s">
        <v>465</v>
      </c>
      <c r="L230" s="80"/>
      <c r="M230" s="80" t="s">
        <v>466</v>
      </c>
      <c r="N230" s="80" t="s">
        <v>185</v>
      </c>
      <c r="O230" s="80" t="s">
        <v>427</v>
      </c>
      <c r="P230" s="80" t="s">
        <v>426</v>
      </c>
      <c r="Q230" s="80"/>
      <c r="R230" s="80"/>
      <c r="S230" s="130" t="s">
        <v>467</v>
      </c>
      <c r="T230" s="80" t="s">
        <v>343</v>
      </c>
      <c r="U230" s="80">
        <v>8797366188</v>
      </c>
      <c r="V230" s="80" t="s">
        <v>419</v>
      </c>
      <c r="W230" s="80">
        <v>1</v>
      </c>
      <c r="X230" s="80">
        <v>0</v>
      </c>
      <c r="Y230" s="80"/>
      <c r="Z230" s="80"/>
      <c r="AU230" t="s">
        <v>620</v>
      </c>
      <c r="AV230" t="s">
        <v>621</v>
      </c>
    </row>
    <row r="231" spans="1:47" ht="19" customHeight="1" x14ac:dyDescent="0.35">
      <c r="A231" s="79" t="s">
        <v>213</v>
      </c>
      <c r="B231" s="79"/>
      <c r="C231" s="83" t="s">
        <v>424</v>
      </c>
      <c r="D231" s="83" t="str">
        <f ca="1">TEXT(TODAY()+30,"YYYY-MM-DD")</f>
        <v>2023-06-25</v>
      </c>
      <c r="E231" s="83"/>
      <c r="F231" s="83" t="s">
        <v>468</v>
      </c>
      <c r="G231" s="83" t="s">
        <v>418</v>
      </c>
      <c r="H231" s="83" t="s">
        <v>216</v>
      </c>
      <c r="I231" s="83" t="s">
        <v>174</v>
      </c>
      <c r="J231" s="83" t="s">
        <v>464</v>
      </c>
      <c r="K231" s="83" t="s">
        <v>465</v>
      </c>
      <c r="L231" s="83"/>
      <c r="M231" s="83" t="s">
        <v>466</v>
      </c>
      <c r="N231" s="83" t="s">
        <v>185</v>
      </c>
      <c r="O231" s="83" t="s">
        <v>427</v>
      </c>
      <c r="P231" s="83" t="s">
        <v>426</v>
      </c>
      <c r="Q231" s="83"/>
      <c r="R231" s="83"/>
      <c r="S231" s="83" t="s">
        <v>467</v>
      </c>
      <c r="T231" s="83" t="s">
        <v>343</v>
      </c>
      <c r="U231" s="83">
        <v>8797366188</v>
      </c>
      <c r="V231" s="83" t="s">
        <v>419</v>
      </c>
      <c r="W231" s="83">
        <v>1</v>
      </c>
      <c r="X231" s="83">
        <v>0</v>
      </c>
      <c r="Y231" s="83"/>
      <c r="Z231" s="83"/>
      <c r="AU231" t="s">
        <v>622</v>
      </c>
      <c r="AV231" t="s">
        <v>623</v>
      </c>
    </row>
    <row r="232" spans="1:47" ht="19" customHeight="1" x14ac:dyDescent="0.35">
      <c r="A232" s="79" t="s">
        <v>213</v>
      </c>
      <c r="B232" s="79"/>
      <c r="C232" s="82" t="s">
        <v>425</v>
      </c>
      <c r="D232" s="82" t="str">
        <f ca="1">TEXT(TODAY(),"YYYY-MM-DD")</f>
        <v>2023-05-26</v>
      </c>
      <c r="E232" s="82" t="str">
        <f ca="1">TEXT(TODAY()+29,"YYYY-MM-DD")</f>
        <v>2023-06-24</v>
      </c>
      <c r="F232" s="82" t="s">
        <v>463</v>
      </c>
      <c r="G232" s="82" t="s">
        <v>418</v>
      </c>
      <c r="H232" s="82" t="s">
        <v>216</v>
      </c>
      <c r="I232" s="82" t="s">
        <v>174</v>
      </c>
      <c r="J232" s="82" t="s">
        <v>464</v>
      </c>
      <c r="K232" s="82" t="s">
        <v>465</v>
      </c>
      <c r="L232" s="82"/>
      <c r="M232" s="82" t="s">
        <v>466</v>
      </c>
      <c r="N232" s="82" t="s">
        <v>185</v>
      </c>
      <c r="O232" s="82" t="s">
        <v>427</v>
      </c>
      <c r="P232" s="82" t="s">
        <v>426</v>
      </c>
      <c r="Q232" s="82"/>
      <c r="R232" s="82"/>
      <c r="S232" s="82" t="s">
        <v>467</v>
      </c>
      <c r="T232" s="82" t="s">
        <v>343</v>
      </c>
      <c r="U232" s="82">
        <v>8797366188</v>
      </c>
      <c r="V232" s="82" t="s">
        <v>419</v>
      </c>
      <c r="W232" s="82">
        <v>1</v>
      </c>
      <c r="X232" s="82">
        <v>0</v>
      </c>
      <c r="Y232" s="82"/>
      <c r="Z232" s="82"/>
      <c r="AU232" t="s">
        <v>481</v>
      </c>
    </row>
    <row r="234" spans="1:47" x14ac:dyDescent="0.35">
      <c r="A234" s="135" t="s">
        <v>469</v>
      </c>
      <c r="B234" s="136"/>
      <c r="C234" s="136"/>
      <c r="D234" s="136"/>
      <c r="E234" s="136"/>
      <c r="F234" s="136"/>
      <c r="G234" s="136"/>
      <c r="H234" s="136"/>
      <c r="I234" s="136"/>
      <c r="J234" s="136"/>
      <c r="K234" s="136"/>
      <c r="L234" s="136"/>
      <c r="M234" s="136"/>
      <c r="N234" s="136"/>
      <c r="O234" s="136"/>
      <c r="P234" s="136"/>
      <c r="Q234" s="136"/>
      <c r="R234" s="136"/>
      <c r="S234" s="129"/>
      <c r="T234" s="129"/>
      <c r="U234" s="129"/>
      <c r="V234" s="129"/>
      <c r="W234" s="129"/>
      <c r="X234" s="129"/>
      <c r="Y234" s="129"/>
      <c r="Z234" s="129"/>
    </row>
    <row r="235" spans="1:47" x14ac:dyDescent="0.35">
      <c r="A235" s="77" t="s">
        <v>400</v>
      </c>
      <c r="B235" s="77" t="s">
        <v>401</v>
      </c>
      <c r="C235" s="77" t="s">
        <v>402</v>
      </c>
      <c r="D235" s="77" t="s">
        <v>288</v>
      </c>
      <c r="E235" s="77" t="s">
        <v>300</v>
      </c>
      <c r="F235" s="77" t="s">
        <v>193</v>
      </c>
      <c r="G235" s="77" t="s">
        <v>403</v>
      </c>
      <c r="H235" s="77" t="s">
        <v>404</v>
      </c>
      <c r="I235" s="77" t="s">
        <v>172</v>
      </c>
      <c r="J235" s="77" t="s">
        <v>405</v>
      </c>
      <c r="K235" s="77" t="s">
        <v>358</v>
      </c>
      <c r="L235" s="77" t="s">
        <v>406</v>
      </c>
      <c r="M235" s="77" t="s">
        <v>359</v>
      </c>
      <c r="N235" s="77" t="s">
        <v>407</v>
      </c>
      <c r="O235" s="77" t="s">
        <v>408</v>
      </c>
      <c r="P235" s="77" t="s">
        <v>366</v>
      </c>
      <c r="Q235" s="77" t="s">
        <v>409</v>
      </c>
      <c r="R235" s="77" t="s">
        <v>410</v>
      </c>
      <c r="S235" s="77" t="s">
        <v>411</v>
      </c>
      <c r="T235" s="77" t="s">
        <v>340</v>
      </c>
      <c r="U235" s="77" t="s">
        <v>339</v>
      </c>
      <c r="V235" s="77" t="s">
        <v>412</v>
      </c>
      <c r="W235" s="77" t="s">
        <v>413</v>
      </c>
      <c r="X235" s="77" t="s">
        <v>414</v>
      </c>
      <c r="Y235" s="77" t="s">
        <v>415</v>
      </c>
      <c r="Z235" s="77" t="s">
        <v>416</v>
      </c>
    </row>
    <row r="236" spans="1:47" ht="19" customHeight="1" x14ac:dyDescent="0.35">
      <c r="A236" s="79" t="s">
        <v>220</v>
      </c>
      <c r="B236" s="79"/>
      <c r="C236" s="80" t="s">
        <v>417</v>
      </c>
      <c r="D236" s="81" t="str">
        <f ca="1">TEXT(TODAY(),"YYYY-MM-DD")</f>
        <v>2023-05-26</v>
      </c>
      <c r="E236" s="80"/>
      <c r="F236" s="80" t="s">
        <v>463</v>
      </c>
      <c r="G236" s="80" t="s">
        <v>428</v>
      </c>
      <c r="H236" s="80" t="s">
        <v>216</v>
      </c>
      <c r="I236" s="80" t="s">
        <v>174</v>
      </c>
      <c r="J236" s="80" t="s">
        <v>464</v>
      </c>
      <c r="K236" s="80" t="s">
        <v>470</v>
      </c>
      <c r="L236" s="80"/>
      <c r="M236" s="80" t="s">
        <v>466</v>
      </c>
      <c r="N236" s="80" t="s">
        <v>185</v>
      </c>
      <c r="O236" s="80" t="s">
        <v>427</v>
      </c>
      <c r="P236" s="80" t="s">
        <v>426</v>
      </c>
      <c r="Q236" s="80"/>
      <c r="R236" s="80"/>
      <c r="S236" s="130" t="s">
        <v>467</v>
      </c>
      <c r="T236" s="80" t="s">
        <v>343</v>
      </c>
      <c r="U236" s="80">
        <v>8797366188</v>
      </c>
      <c r="V236" s="80" t="s">
        <v>419</v>
      </c>
      <c r="W236" s="80">
        <v>1</v>
      </c>
      <c r="X236" s="80">
        <v>0</v>
      </c>
      <c r="Y236" s="80"/>
      <c r="Z236" s="80"/>
      <c r="AU236" t="s">
        <v>624</v>
      </c>
      <c r="AV236" t="s">
        <v>625</v>
      </c>
    </row>
    <row r="237" spans="1:47" ht="19" customHeight="1" x14ac:dyDescent="0.35">
      <c r="A237" s="79" t="s">
        <v>220</v>
      </c>
      <c r="B237" s="79"/>
      <c r="C237" s="83" t="s">
        <v>424</v>
      </c>
      <c r="D237" s="83" t="str">
        <f ca="1">TEXT(TODAY()+30,"YYYY-MM-DD")</f>
        <v>2023-06-25</v>
      </c>
      <c r="E237" s="83"/>
      <c r="F237" s="83" t="s">
        <v>468</v>
      </c>
      <c r="G237" s="83" t="s">
        <v>428</v>
      </c>
      <c r="H237" s="83">
        <v>12.95</v>
      </c>
      <c r="I237" s="83" t="s">
        <v>174</v>
      </c>
      <c r="J237" s="83">
        <v>4</v>
      </c>
      <c r="K237" s="83" t="s">
        <v>470</v>
      </c>
      <c r="L237" s="83"/>
      <c r="M237" s="83" t="s">
        <v>466</v>
      </c>
      <c r="N237" s="83" t="s">
        <v>185</v>
      </c>
      <c r="O237" s="83" t="s">
        <v>427</v>
      </c>
      <c r="P237" s="83" t="s">
        <v>426</v>
      </c>
      <c r="Q237" s="83"/>
      <c r="R237" s="83"/>
      <c r="S237" s="83" t="s">
        <v>467</v>
      </c>
      <c r="T237" s="83" t="s">
        <v>343</v>
      </c>
      <c r="U237" s="83">
        <v>8797366188</v>
      </c>
      <c r="V237" s="83" t="s">
        <v>419</v>
      </c>
      <c r="W237" s="83">
        <v>1</v>
      </c>
      <c r="X237" s="83">
        <v>0</v>
      </c>
      <c r="Y237" s="83"/>
      <c r="Z237" s="83"/>
      <c r="AU237" t="s">
        <v>626</v>
      </c>
      <c r="AV237" t="s">
        <v>627</v>
      </c>
    </row>
    <row r="238" spans="1:47" ht="19" customHeight="1" x14ac:dyDescent="0.35">
      <c r="A238" s="79" t="s">
        <v>220</v>
      </c>
      <c r="B238" s="79"/>
      <c r="C238" s="82" t="s">
        <v>425</v>
      </c>
      <c r="D238" s="82" t="str">
        <f ca="1">TEXT(TODAY(),"YYYY-MM-DD")</f>
        <v>2023-05-26</v>
      </c>
      <c r="E238" s="82" t="str">
        <f ca="1">TEXT(TODAY()+29,"YYYY-MM-DD")</f>
        <v>2023-06-24</v>
      </c>
      <c r="F238" s="82" t="s">
        <v>463</v>
      </c>
      <c r="G238" s="82" t="s">
        <v>428</v>
      </c>
      <c r="H238" s="82" t="s">
        <v>216</v>
      </c>
      <c r="I238" s="82" t="s">
        <v>174</v>
      </c>
      <c r="J238" s="82" t="s">
        <v>464</v>
      </c>
      <c r="K238" s="82" t="s">
        <v>470</v>
      </c>
      <c r="L238" s="82"/>
      <c r="M238" s="82" t="s">
        <v>466</v>
      </c>
      <c r="N238" s="82" t="s">
        <v>185</v>
      </c>
      <c r="O238" s="82" t="s">
        <v>427</v>
      </c>
      <c r="P238" s="82" t="s">
        <v>426</v>
      </c>
      <c r="Q238" s="82"/>
      <c r="R238" s="82"/>
      <c r="S238" s="82" t="s">
        <v>467</v>
      </c>
      <c r="T238" s="82" t="s">
        <v>343</v>
      </c>
      <c r="U238" s="82">
        <v>8797366188</v>
      </c>
      <c r="V238" s="82" t="s">
        <v>419</v>
      </c>
      <c r="W238" s="82">
        <v>1</v>
      </c>
      <c r="X238" s="82">
        <v>0</v>
      </c>
      <c r="Y238" s="82"/>
      <c r="Z238" s="82"/>
      <c r="AU238" t="s">
        <v>482</v>
      </c>
    </row>
    <row r="240" spans="1:47" x14ac:dyDescent="0.35">
      <c r="A240" s="135" t="s">
        <v>471</v>
      </c>
      <c r="B240" s="136"/>
      <c r="C240" s="136"/>
      <c r="D240" s="136"/>
      <c r="E240" s="136"/>
      <c r="F240" s="136"/>
      <c r="G240" s="136"/>
      <c r="H240" s="136"/>
      <c r="I240" s="136"/>
      <c r="J240" s="136"/>
      <c r="K240" s="136"/>
      <c r="L240" s="136"/>
      <c r="M240" s="136"/>
      <c r="N240" s="136"/>
      <c r="O240" s="136"/>
      <c r="P240" s="136"/>
      <c r="Q240" s="136"/>
      <c r="R240" s="136"/>
      <c r="S240" s="129"/>
      <c r="T240" s="129"/>
      <c r="U240" s="129"/>
      <c r="V240" s="129"/>
      <c r="W240" s="129"/>
      <c r="X240" s="129"/>
      <c r="Y240" s="129"/>
      <c r="Z240" s="129"/>
    </row>
    <row r="241" spans="1:47" x14ac:dyDescent="0.35">
      <c r="A241" s="77" t="s">
        <v>400</v>
      </c>
      <c r="B241" s="77" t="s">
        <v>401</v>
      </c>
      <c r="C241" s="77" t="s">
        <v>402</v>
      </c>
      <c r="D241" s="77" t="s">
        <v>288</v>
      </c>
      <c r="E241" s="77" t="s">
        <v>300</v>
      </c>
      <c r="F241" s="77" t="s">
        <v>193</v>
      </c>
      <c r="G241" s="77" t="s">
        <v>403</v>
      </c>
      <c r="H241" s="77" t="s">
        <v>404</v>
      </c>
      <c r="I241" s="77" t="s">
        <v>172</v>
      </c>
      <c r="J241" s="77" t="s">
        <v>405</v>
      </c>
      <c r="K241" s="77" t="s">
        <v>358</v>
      </c>
      <c r="L241" s="77" t="s">
        <v>406</v>
      </c>
      <c r="M241" s="77" t="s">
        <v>359</v>
      </c>
      <c r="N241" s="77" t="s">
        <v>407</v>
      </c>
      <c r="O241" s="77" t="s">
        <v>408</v>
      </c>
      <c r="P241" s="77" t="s">
        <v>366</v>
      </c>
      <c r="Q241" s="77" t="s">
        <v>409</v>
      </c>
      <c r="R241" s="77" t="s">
        <v>410</v>
      </c>
      <c r="S241" s="77" t="s">
        <v>411</v>
      </c>
      <c r="T241" s="77" t="s">
        <v>340</v>
      </c>
      <c r="U241" s="77" t="s">
        <v>339</v>
      </c>
      <c r="V241" s="77" t="s">
        <v>412</v>
      </c>
      <c r="W241" s="77" t="s">
        <v>413</v>
      </c>
      <c r="X241" s="77" t="s">
        <v>414</v>
      </c>
      <c r="Y241" s="77" t="s">
        <v>415</v>
      </c>
      <c r="Z241" s="77" t="s">
        <v>416</v>
      </c>
    </row>
    <row r="242" spans="1:47" ht="16" customHeight="1" x14ac:dyDescent="0.35">
      <c r="A242" s="78" t="s">
        <v>228</v>
      </c>
      <c r="B242" s="79" t="s">
        <v>429</v>
      </c>
      <c r="C242" s="80" t="s">
        <v>483</v>
      </c>
      <c r="D242" s="130" t="s">
        <v>484</v>
      </c>
      <c r="E242" s="83" t="str">
        <f ca="1">TEXT(TODAY()+29,"YYYY-MM-DD")</f>
        <v>2023-06-24</v>
      </c>
      <c r="F242" s="80" t="s">
        <v>472</v>
      </c>
      <c r="G242" s="80" t="str">
        <f>CONCATENATE("USD,FLAT ",TEXT(F242,"0.00"))</f>
        <v>USD,FLAT 3.00</v>
      </c>
      <c r="H242" s="80" t="s">
        <v>473</v>
      </c>
      <c r="I242" s="80" t="s">
        <v>174</v>
      </c>
      <c r="J242" s="80">
        <v>4</v>
      </c>
      <c r="K242" s="80" t="s">
        <v>470</v>
      </c>
      <c r="L242" s="80"/>
      <c r="M242" s="80">
        <f>10+(J242*3)</f>
        <v>22</v>
      </c>
      <c r="N242" s="80" t="s">
        <v>185</v>
      </c>
      <c r="O242" s="80" t="s">
        <v>427</v>
      </c>
      <c r="P242" s="80" t="s">
        <v>426</v>
      </c>
      <c r="Q242" s="80"/>
      <c r="R242" s="80"/>
      <c r="S242" s="130" t="s">
        <v>467</v>
      </c>
      <c r="T242" s="80" t="s">
        <v>343</v>
      </c>
      <c r="U242" s="80">
        <v>8797366188</v>
      </c>
      <c r="V242" s="80" t="s">
        <v>419</v>
      </c>
      <c r="W242" s="80" t="s">
        <v>183</v>
      </c>
      <c r="X242" s="80" t="s">
        <v>420</v>
      </c>
      <c r="Y242" s="80" t="s">
        <v>421</v>
      </c>
      <c r="Z242" s="80"/>
      <c r="AU242" t="s">
        <v>628</v>
      </c>
      <c r="AV242" t="s">
        <v>629</v>
      </c>
    </row>
    <row r="243" spans="1:47" ht="16" customHeight="1" x14ac:dyDescent="0.35">
      <c r="A243" s="78" t="s">
        <v>228</v>
      </c>
      <c r="B243" s="79" t="s">
        <v>429</v>
      </c>
      <c r="C243" s="83" t="s">
        <v>424</v>
      </c>
      <c r="D243" s="83" t="str">
        <f ca="1">TEXT(TODAY()+30,"YYYY-MM-DD")</f>
        <v>2023-06-25</v>
      </c>
      <c r="E243" s="83" t="str">
        <f ca="1">TEXT(TODAY()+60,"YYYY-MM-DD")</f>
        <v>2023-07-25</v>
      </c>
      <c r="F243" s="83" t="s">
        <v>347</v>
      </c>
      <c r="G243" s="83" t="str">
        <f>CONCATENATE("USD,FLAT ",TEXT(F243,"0.00"))</f>
        <v>USD,FLAT 2.00</v>
      </c>
      <c r="H243" s="83" t="s">
        <v>473</v>
      </c>
      <c r="I243" s="83" t="s">
        <v>174</v>
      </c>
      <c r="J243" s="83">
        <v>4</v>
      </c>
      <c r="K243" s="83" t="s">
        <v>470</v>
      </c>
      <c r="L243" s="83"/>
      <c r="M243" s="83">
        <f>10+(J243*3)</f>
        <v>22</v>
      </c>
      <c r="N243" s="83" t="s">
        <v>185</v>
      </c>
      <c r="O243" s="83" t="s">
        <v>427</v>
      </c>
      <c r="P243" s="83" t="s">
        <v>426</v>
      </c>
      <c r="Q243" s="83"/>
      <c r="R243" s="83"/>
      <c r="S243" s="83" t="s">
        <v>467</v>
      </c>
      <c r="T243" s="83" t="s">
        <v>343</v>
      </c>
      <c r="U243" s="83">
        <v>8797366188</v>
      </c>
      <c r="V243" s="83" t="s">
        <v>419</v>
      </c>
      <c r="W243" s="83" t="s">
        <v>183</v>
      </c>
      <c r="X243" s="83" t="s">
        <v>420</v>
      </c>
      <c r="Y243" s="83" t="s">
        <v>421</v>
      </c>
      <c r="Z243" s="83"/>
      <c r="AU243" t="s">
        <v>630</v>
      </c>
      <c r="AV243" t="s">
        <v>631</v>
      </c>
    </row>
    <row r="244" spans="1:47" ht="16" customHeight="1" x14ac:dyDescent="0.35">
      <c r="A244" s="78" t="s">
        <v>228</v>
      </c>
      <c r="B244" s="79" t="s">
        <v>429</v>
      </c>
      <c r="C244" s="82" t="s">
        <v>425</v>
      </c>
      <c r="D244" s="82" t="str">
        <f ca="1">TEXT(TODAY(),"YYYY-MM-DD")</f>
        <v>2023-05-26</v>
      </c>
      <c r="E244" s="82" t="str">
        <f ca="1">TEXT(TODAY()+29,"YYYY-MM-DD")</f>
        <v>2023-06-24</v>
      </c>
      <c r="F244" s="82" t="s">
        <v>472</v>
      </c>
      <c r="G244" s="82" t="str">
        <f>CONCATENATE("USD,FLAT ",TEXT(F244,"0.00"))</f>
        <v>USD,FLAT 3.00</v>
      </c>
      <c r="H244" s="82" t="s">
        <v>473</v>
      </c>
      <c r="I244" s="82" t="s">
        <v>174</v>
      </c>
      <c r="J244" s="82">
        <v>4</v>
      </c>
      <c r="K244" s="82" t="s">
        <v>470</v>
      </c>
      <c r="L244" s="82"/>
      <c r="M244" s="82">
        <f>10+(J244*3)</f>
        <v>22</v>
      </c>
      <c r="N244" s="82" t="s">
        <v>185</v>
      </c>
      <c r="O244" s="82" t="s">
        <v>427</v>
      </c>
      <c r="P244" s="82" t="s">
        <v>426</v>
      </c>
      <c r="Q244" s="82"/>
      <c r="R244" s="82"/>
      <c r="S244" s="82" t="s">
        <v>467</v>
      </c>
      <c r="T244" s="82" t="s">
        <v>343</v>
      </c>
      <c r="U244" s="82">
        <v>8797366188</v>
      </c>
      <c r="V244" s="82" t="s">
        <v>419</v>
      </c>
      <c r="W244" s="82" t="s">
        <v>183</v>
      </c>
      <c r="X244" s="82" t="s">
        <v>420</v>
      </c>
      <c r="Y244" s="82" t="s">
        <v>421</v>
      </c>
      <c r="Z244" s="82"/>
      <c r="AU244" t="s">
        <v>474</v>
      </c>
    </row>
    <row r="246" spans="1:47" x14ac:dyDescent="0.35">
      <c r="A246" s="77" t="s">
        <v>400</v>
      </c>
      <c r="B246" s="77" t="s">
        <v>401</v>
      </c>
      <c r="C246" s="77" t="s">
        <v>402</v>
      </c>
      <c r="D246" s="77" t="s">
        <v>288</v>
      </c>
      <c r="E246" s="77" t="s">
        <v>300</v>
      </c>
      <c r="F246" s="77" t="s">
        <v>193</v>
      </c>
      <c r="G246" s="77" t="s">
        <v>403</v>
      </c>
      <c r="H246" s="77" t="s">
        <v>404</v>
      </c>
      <c r="I246" s="77" t="s">
        <v>172</v>
      </c>
      <c r="J246" s="77" t="s">
        <v>405</v>
      </c>
      <c r="K246" s="77" t="s">
        <v>358</v>
      </c>
      <c r="L246" s="77" t="s">
        <v>406</v>
      </c>
      <c r="M246" s="77" t="s">
        <v>359</v>
      </c>
      <c r="N246" s="77" t="s">
        <v>407</v>
      </c>
      <c r="O246" s="77" t="s">
        <v>408</v>
      </c>
      <c r="P246" s="77" t="s">
        <v>366</v>
      </c>
      <c r="Q246" s="77" t="s">
        <v>409</v>
      </c>
      <c r="R246" s="77" t="s">
        <v>410</v>
      </c>
      <c r="S246" s="77" t="s">
        <v>411</v>
      </c>
      <c r="T246" s="77" t="s">
        <v>340</v>
      </c>
      <c r="U246" s="77" t="s">
        <v>339</v>
      </c>
      <c r="V246" s="77" t="s">
        <v>412</v>
      </c>
      <c r="W246" s="77" t="s">
        <v>413</v>
      </c>
      <c r="X246" s="77" t="s">
        <v>414</v>
      </c>
      <c r="Y246" s="77" t="s">
        <v>415</v>
      </c>
      <c r="Z246" s="77" t="s">
        <v>416</v>
      </c>
    </row>
    <row r="247" spans="1:47" ht="16" customHeight="1" x14ac:dyDescent="0.35">
      <c r="A247" s="78" t="s">
        <v>228</v>
      </c>
      <c r="B247" s="79"/>
      <c r="C247" s="80" t="s">
        <v>483</v>
      </c>
      <c r="D247" s="130" t="s">
        <v>484</v>
      </c>
      <c r="E247" s="83"/>
      <c r="F247" s="80" t="s">
        <v>183</v>
      </c>
      <c r="G247" s="80" t="str">
        <f>CONCATENATE("USD,FLAT ",TEXT(F247,"0.00"))</f>
        <v>USD,FLAT 1.00</v>
      </c>
      <c r="H247" s="80" t="s">
        <v>473</v>
      </c>
      <c r="I247" s="80" t="s">
        <v>174</v>
      </c>
      <c r="J247" s="80">
        <v>4</v>
      </c>
      <c r="K247" s="80" t="s">
        <v>470</v>
      </c>
      <c r="L247" s="80"/>
      <c r="M247" s="80">
        <f>10+(J247*3)</f>
        <v>22</v>
      </c>
      <c r="N247" s="80" t="s">
        <v>185</v>
      </c>
      <c r="O247" s="80" t="s">
        <v>427</v>
      </c>
      <c r="P247" s="80" t="s">
        <v>426</v>
      </c>
      <c r="Q247" s="80"/>
      <c r="R247" s="80"/>
      <c r="S247" s="130" t="s">
        <v>467</v>
      </c>
      <c r="T247" s="80" t="s">
        <v>343</v>
      </c>
      <c r="U247" s="80">
        <v>8797366188</v>
      </c>
      <c r="V247" s="80" t="s">
        <v>419</v>
      </c>
      <c r="W247" s="80" t="s">
        <v>183</v>
      </c>
      <c r="X247" s="80" t="s">
        <v>420</v>
      </c>
      <c r="Y247" s="80" t="s">
        <v>421</v>
      </c>
      <c r="Z247" s="80"/>
      <c r="AU247" t="s">
        <v>632</v>
      </c>
      <c r="AV247" t="s">
        <v>633</v>
      </c>
    </row>
    <row r="248" spans="1:47" ht="16" customHeight="1" x14ac:dyDescent="0.35">
      <c r="A248" s="78" t="s">
        <v>228</v>
      </c>
      <c r="B248" s="79"/>
      <c r="C248" s="83" t="s">
        <v>424</v>
      </c>
      <c r="D248" s="83" t="str">
        <f ca="1">TEXT(TODAY()+30,"YYYY-MM-DD")</f>
        <v>2023-06-25</v>
      </c>
      <c r="E248" s="83" t="str">
        <f ca="1">TEXT(TODAY()+60,"YYYY-MM-DD")</f>
        <v>2023-07-25</v>
      </c>
      <c r="F248" s="83">
        <v>2</v>
      </c>
      <c r="G248" s="83" t="str">
        <f>CONCATENATE("USD,FLAT ",TEXT(F248,"0.00"))</f>
        <v>USD,FLAT 2.00</v>
      </c>
      <c r="H248" s="83" t="s">
        <v>473</v>
      </c>
      <c r="I248" s="83" t="s">
        <v>174</v>
      </c>
      <c r="J248" s="83">
        <v>4</v>
      </c>
      <c r="K248" s="83" t="s">
        <v>470</v>
      </c>
      <c r="L248" s="83"/>
      <c r="M248" s="83">
        <f>10+(J248*3)</f>
        <v>22</v>
      </c>
      <c r="N248" s="83" t="s">
        <v>185</v>
      </c>
      <c r="O248" s="83" t="s">
        <v>427</v>
      </c>
      <c r="P248" s="83" t="s">
        <v>426</v>
      </c>
      <c r="Q248" s="83"/>
      <c r="R248" s="83"/>
      <c r="S248" s="83" t="s">
        <v>467</v>
      </c>
      <c r="T248" s="83" t="s">
        <v>343</v>
      </c>
      <c r="U248" s="83">
        <v>8797366188</v>
      </c>
      <c r="V248" s="83" t="s">
        <v>419</v>
      </c>
      <c r="W248" s="83" t="s">
        <v>183</v>
      </c>
      <c r="X248" s="83" t="s">
        <v>420</v>
      </c>
      <c r="Y248" s="83" t="s">
        <v>421</v>
      </c>
      <c r="Z248" s="83"/>
      <c r="AU248" t="s">
        <v>634</v>
      </c>
      <c r="AV248" t="s">
        <v>635</v>
      </c>
    </row>
    <row r="249" spans="1:47" ht="16" customHeight="1" x14ac:dyDescent="0.35">
      <c r="A249" s="78" t="s">
        <v>228</v>
      </c>
      <c r="B249" s="79"/>
      <c r="C249" s="82" t="s">
        <v>425</v>
      </c>
      <c r="D249" s="82" t="str">
        <f ca="1">TEXT(TODAY(),"YYYY-MM-DD")</f>
        <v>2023-05-26</v>
      </c>
      <c r="E249" s="82" t="str">
        <f ca="1">TEXT(TODAY()+29,"YYYY-MM-DD")</f>
        <v>2023-06-24</v>
      </c>
      <c r="F249" s="82" t="s">
        <v>472</v>
      </c>
      <c r="G249" s="82" t="str">
        <f>CONCATENATE("USD,FLAT ",TEXT(F249,"0.00"))</f>
        <v>USD,FLAT 3.00</v>
      </c>
      <c r="H249" s="82" t="s">
        <v>473</v>
      </c>
      <c r="I249" s="82" t="s">
        <v>174</v>
      </c>
      <c r="J249" s="82">
        <v>4</v>
      </c>
      <c r="K249" s="82" t="s">
        <v>470</v>
      </c>
      <c r="L249" s="82"/>
      <c r="M249" s="82">
        <f>10+(J249*3)</f>
        <v>22</v>
      </c>
      <c r="N249" s="82" t="s">
        <v>185</v>
      </c>
      <c r="O249" s="82" t="s">
        <v>427</v>
      </c>
      <c r="P249" s="82" t="s">
        <v>426</v>
      </c>
      <c r="Q249" s="82"/>
      <c r="R249" s="82"/>
      <c r="S249" s="82" t="s">
        <v>467</v>
      </c>
      <c r="T249" s="82" t="s">
        <v>343</v>
      </c>
      <c r="U249" s="82">
        <v>8797366188</v>
      </c>
      <c r="V249" s="82" t="s">
        <v>419</v>
      </c>
      <c r="W249" s="82" t="s">
        <v>183</v>
      </c>
      <c r="X249" s="82" t="s">
        <v>420</v>
      </c>
      <c r="Y249" s="82" t="s">
        <v>421</v>
      </c>
      <c r="Z249" s="82"/>
      <c r="AU249" t="s">
        <v>474</v>
      </c>
    </row>
    <row r="251" spans="1:47" x14ac:dyDescent="0.35">
      <c r="A251" s="137" t="s">
        <v>375</v>
      </c>
      <c r="B251" s="138"/>
      <c r="C251" s="138"/>
      <c r="D251" s="138"/>
      <c r="E251" s="138"/>
      <c r="F251" s="138"/>
      <c r="G251" s="138"/>
      <c r="H251" s="138"/>
      <c r="I251" s="138"/>
      <c r="J251" s="138"/>
    </row>
    <row r="252" spans="1:47" x14ac:dyDescent="0.35">
      <c r="A252" s="117"/>
      <c r="B252" s="118"/>
      <c r="C252" s="142" t="s">
        <v>351</v>
      </c>
      <c r="D252" s="142"/>
      <c r="E252" s="142"/>
      <c r="F252" s="142"/>
      <c r="G252" s="142"/>
      <c r="H252" s="142"/>
      <c r="I252" s="142"/>
      <c r="J252" s="142"/>
      <c r="K252" s="142"/>
      <c r="Z252" s="70"/>
    </row>
    <row r="253" spans="1:47" x14ac:dyDescent="0.35">
      <c r="A253" s="143" t="s">
        <v>352</v>
      </c>
      <c r="B253" s="143" t="s">
        <v>353</v>
      </c>
      <c r="C253" s="145" t="s">
        <v>354</v>
      </c>
      <c r="D253" s="146"/>
      <c r="E253" s="146"/>
      <c r="F253" s="147"/>
      <c r="G253" s="148" t="s">
        <v>355</v>
      </c>
      <c r="H253" s="149"/>
      <c r="I253" s="149"/>
      <c r="J253" s="150"/>
      <c r="K253" s="151" t="s">
        <v>376</v>
      </c>
    </row>
    <row r="254" spans="1:47" x14ac:dyDescent="0.35">
      <c r="A254" s="144"/>
      <c r="B254" s="144"/>
      <c r="C254" s="65" t="s">
        <v>358</v>
      </c>
      <c r="D254" s="65" t="s">
        <v>359</v>
      </c>
      <c r="E254" s="65" t="s">
        <v>360</v>
      </c>
      <c r="F254" s="65" t="s">
        <v>361</v>
      </c>
      <c r="G254" s="66" t="s">
        <v>358</v>
      </c>
      <c r="H254" s="66" t="s">
        <v>359</v>
      </c>
      <c r="I254" s="66" t="s">
        <v>360</v>
      </c>
      <c r="J254" s="66" t="s">
        <v>361</v>
      </c>
      <c r="K254" s="152"/>
    </row>
    <row r="255" spans="1:47" x14ac:dyDescent="0.35">
      <c r="A255" s="56" t="s">
        <v>362</v>
      </c>
      <c r="B255" s="71"/>
      <c r="C255" s="30" t="str">
        <f>"$"&amp;TEXT(26880.56,"0.00")</f>
        <v>$26880.56</v>
      </c>
      <c r="D255" s="30" t="str">
        <f>"$"&amp;TEXT(1269,"0.00")</f>
        <v>$1269.00</v>
      </c>
      <c r="E255" s="30" t="str">
        <f>"$"&amp;TEXT(25611.56,"0.00")</f>
        <v>$25611.56</v>
      </c>
      <c r="F255" s="30" t="str">
        <f>TEXT(95.28,"0.00")</f>
        <v>95.28</v>
      </c>
      <c r="G255" s="30" t="str">
        <f>"$"&amp;TEXT(7242,"0.00")</f>
        <v>$7242.00</v>
      </c>
      <c r="H255" s="30" t="str">
        <f>"$"&amp;TEXT(1092,"0.00")</f>
        <v>$1092.00</v>
      </c>
      <c r="I255" s="30" t="str">
        <f>"$"&amp;TEXT(6150,"0.00")</f>
        <v>$6150.00</v>
      </c>
      <c r="J255" s="30" t="str">
        <f>TEXT(84.92,"0.00")</f>
        <v>84.92</v>
      </c>
      <c r="K255" s="30" t="str">
        <f>TEXT(271.18,"0.00")</f>
        <v>271.18</v>
      </c>
    </row>
    <row r="257" spans="1:26" x14ac:dyDescent="0.35">
      <c r="A257" s="45" t="s">
        <v>377</v>
      </c>
      <c r="B257" s="46"/>
      <c r="C257" s="46"/>
    </row>
    <row r="258" spans="1:26" x14ac:dyDescent="0.35">
      <c r="A258" s="43" t="s">
        <v>377</v>
      </c>
      <c r="B258" s="43" t="s">
        <v>378</v>
      </c>
      <c r="C258" s="43" t="s">
        <v>379</v>
      </c>
      <c r="D258" s="43" t="s">
        <v>380</v>
      </c>
      <c r="E258" s="43" t="s">
        <v>291</v>
      </c>
      <c r="F258" s="43" t="s">
        <v>189</v>
      </c>
      <c r="G258" s="43" t="s">
        <v>190</v>
      </c>
      <c r="H258" s="43" t="s">
        <v>381</v>
      </c>
      <c r="I258" s="43" t="s">
        <v>382</v>
      </c>
      <c r="J258" s="43" t="s">
        <v>383</v>
      </c>
      <c r="K258" s="43" t="s">
        <v>288</v>
      </c>
      <c r="L258" s="43" t="s">
        <v>286</v>
      </c>
    </row>
    <row r="259" spans="1:26" ht="58" x14ac:dyDescent="0.35">
      <c r="A259" s="72" t="s">
        <v>479</v>
      </c>
      <c r="B259" s="73" t="s">
        <v>436</v>
      </c>
      <c r="C259" s="73" t="s">
        <v>435</v>
      </c>
      <c r="D259" s="73" t="s">
        <v>386</v>
      </c>
      <c r="E259" s="73" t="s">
        <v>386</v>
      </c>
      <c r="F259" s="73"/>
      <c r="G259" s="73"/>
      <c r="H259" s="73"/>
      <c r="I259" s="73"/>
      <c r="J259" s="74">
        <f ca="1">TODAY()</f>
        <v>45072</v>
      </c>
      <c r="K259" s="74">
        <v>234</v>
      </c>
      <c r="L259" s="73" t="s">
        <v>159</v>
      </c>
    </row>
    <row r="261" spans="1:26" x14ac:dyDescent="0.35">
      <c r="A261" s="137" t="s">
        <v>375</v>
      </c>
      <c r="B261" s="138"/>
      <c r="C261" s="138"/>
      <c r="D261" s="138"/>
      <c r="E261" s="138"/>
      <c r="F261" s="138"/>
      <c r="G261" s="138"/>
      <c r="H261" s="138"/>
      <c r="I261" s="138"/>
      <c r="J261" s="138"/>
    </row>
    <row r="262" spans="1:26" x14ac:dyDescent="0.35">
      <c r="A262" s="119"/>
      <c r="B262" s="120"/>
      <c r="C262" s="142" t="s">
        <v>351</v>
      </c>
      <c r="D262" s="142"/>
      <c r="E262" s="142"/>
      <c r="F262" s="142"/>
      <c r="G262" s="142"/>
      <c r="H262" s="142"/>
      <c r="I262" s="142"/>
      <c r="J262" s="142"/>
      <c r="K262" s="142"/>
      <c r="Z262" s="70"/>
    </row>
    <row r="263" spans="1:26" x14ac:dyDescent="0.35">
      <c r="A263" s="143" t="s">
        <v>352</v>
      </c>
      <c r="B263" s="143" t="s">
        <v>353</v>
      </c>
      <c r="C263" s="145" t="s">
        <v>354</v>
      </c>
      <c r="D263" s="146"/>
      <c r="E263" s="146"/>
      <c r="F263" s="147"/>
      <c r="G263" s="148" t="s">
        <v>355</v>
      </c>
      <c r="H263" s="149"/>
      <c r="I263" s="149"/>
      <c r="J263" s="150"/>
      <c r="K263" s="151" t="s">
        <v>376</v>
      </c>
    </row>
    <row r="264" spans="1:26" x14ac:dyDescent="0.35">
      <c r="A264" s="144"/>
      <c r="B264" s="144"/>
      <c r="C264" s="65" t="s">
        <v>358</v>
      </c>
      <c r="D264" s="65" t="s">
        <v>359</v>
      </c>
      <c r="E264" s="65" t="s">
        <v>360</v>
      </c>
      <c r="F264" s="65" t="s">
        <v>361</v>
      </c>
      <c r="G264" s="66" t="s">
        <v>358</v>
      </c>
      <c r="H264" s="66" t="s">
        <v>359</v>
      </c>
      <c r="I264" s="66" t="s">
        <v>360</v>
      </c>
      <c r="J264" s="66" t="s">
        <v>361</v>
      </c>
      <c r="K264" s="152"/>
    </row>
    <row r="265" spans="1:26" x14ac:dyDescent="0.35">
      <c r="A265" s="56" t="s">
        <v>362</v>
      </c>
      <c r="B265" s="71"/>
      <c r="C265" s="30" t="str">
        <f>"$"&amp;TEXT(26880.56,"0.00")</f>
        <v>$26880.56</v>
      </c>
      <c r="D265" s="30" t="str">
        <f>"$"&amp;TEXT(1269,"0.00")</f>
        <v>$1269.00</v>
      </c>
      <c r="E265" s="30" t="str">
        <f>"$"&amp;TEXT(25611.56,"0.00")</f>
        <v>$25611.56</v>
      </c>
      <c r="F265" s="30" t="str">
        <f>TEXT(95.28,"0.00")</f>
        <v>95.28</v>
      </c>
      <c r="G265" s="30" t="str">
        <f>"$"&amp;TEXT(7242,"0.00")</f>
        <v>$7242.00</v>
      </c>
      <c r="H265" s="30" t="str">
        <f>"$"&amp;TEXT(1092,"0.00")</f>
        <v>$1092.00</v>
      </c>
      <c r="I265" s="30" t="str">
        <f>"$"&amp;TEXT(6150,"0.00")</f>
        <v>$6150.00</v>
      </c>
      <c r="J265" s="30" t="str">
        <f>TEXT(84.92,"0.00")</f>
        <v>84.92</v>
      </c>
      <c r="K265" s="30" t="str">
        <f>TEXT(271.18,"0.00")</f>
        <v>271.18</v>
      </c>
    </row>
    <row r="267" spans="1:26" ht="13.25" customHeight="1" x14ac:dyDescent="0.35">
      <c r="A267" s="137" t="s">
        <v>364</v>
      </c>
      <c r="B267" s="138"/>
      <c r="C267" s="138"/>
      <c r="D267" s="138"/>
      <c r="E267" s="138"/>
      <c r="F267" s="138"/>
      <c r="G267" s="138"/>
      <c r="H267" s="138"/>
      <c r="I267" s="138"/>
      <c r="J267" s="138"/>
      <c r="K267" s="138"/>
      <c r="L267" s="138"/>
    </row>
    <row r="268" spans="1:26" x14ac:dyDescent="0.35">
      <c r="A268" s="139" t="s">
        <v>131</v>
      </c>
      <c r="B268" s="139" t="s">
        <v>365</v>
      </c>
      <c r="C268" s="159" t="s">
        <v>366</v>
      </c>
      <c r="D268" s="170" t="s">
        <v>367</v>
      </c>
      <c r="E268" s="169" t="s">
        <v>351</v>
      </c>
      <c r="F268" s="169"/>
      <c r="G268" s="169"/>
      <c r="H268" s="169"/>
      <c r="I268" s="168" t="s">
        <v>368</v>
      </c>
      <c r="J268" s="168"/>
      <c r="K268" s="168"/>
      <c r="L268" s="168"/>
    </row>
    <row r="269" spans="1:26" x14ac:dyDescent="0.35">
      <c r="A269" s="140"/>
      <c r="B269" s="140"/>
      <c r="C269" s="160"/>
      <c r="D269" s="171"/>
      <c r="E269" s="145" t="s">
        <v>369</v>
      </c>
      <c r="F269" s="147"/>
      <c r="G269" s="148" t="s">
        <v>355</v>
      </c>
      <c r="H269" s="150"/>
      <c r="I269" s="145" t="s">
        <v>369</v>
      </c>
      <c r="J269" s="147"/>
      <c r="K269" s="148" t="s">
        <v>355</v>
      </c>
      <c r="L269" s="150"/>
    </row>
    <row r="270" spans="1:26" x14ac:dyDescent="0.35">
      <c r="A270" s="141"/>
      <c r="B270" s="141" t="s">
        <v>130</v>
      </c>
      <c r="C270" s="161"/>
      <c r="D270" s="172"/>
      <c r="E270" s="65" t="s">
        <v>370</v>
      </c>
      <c r="F270" s="65" t="s">
        <v>371</v>
      </c>
      <c r="G270" s="66" t="s">
        <v>372</v>
      </c>
      <c r="H270" s="66" t="s">
        <v>373</v>
      </c>
      <c r="I270" s="65" t="s">
        <v>370</v>
      </c>
      <c r="J270" s="65" t="s">
        <v>371</v>
      </c>
      <c r="K270" s="66" t="s">
        <v>372</v>
      </c>
      <c r="L270" s="66" t="s">
        <v>373</v>
      </c>
    </row>
    <row r="271" spans="1:26" x14ac:dyDescent="0.35">
      <c r="A271" s="28" t="str">
        <f>C4</f>
        <v>BANK_82_EPER_001,IND</v>
      </c>
      <c r="B271" s="41" t="s">
        <v>362</v>
      </c>
      <c r="C271" s="56" t="s">
        <v>374</v>
      </c>
      <c r="D271" s="67" t="str">
        <f>TEXT(271.18,"0.00")</f>
        <v>271.18</v>
      </c>
      <c r="E271" s="68" t="str">
        <f>"$"&amp;TEXT(26880.56,"0.00")</f>
        <v>$26880.56</v>
      </c>
      <c r="F271" s="68" t="str">
        <f>"$"&amp;TEXT(1269,"0.00")</f>
        <v>$1269.00</v>
      </c>
      <c r="G271" s="68" t="str">
        <f>"$"&amp;TEXT(7242,"0.00")</f>
        <v>$7242.00</v>
      </c>
      <c r="H271" s="68" t="str">
        <f>"$"&amp;TEXT(1092,"0.00")</f>
        <v>$1092.00</v>
      </c>
      <c r="I271" s="69" t="str">
        <f>"$"&amp;TEXT(26880.56,"0.00")</f>
        <v>$26880.56</v>
      </c>
      <c r="J271" s="69" t="str">
        <f>"$"&amp;TEXT(1269,"0.00")</f>
        <v>$1269.00</v>
      </c>
      <c r="K271" s="69" t="str">
        <f>"$"&amp;TEXT(7242,"0.00")</f>
        <v>$7242.00</v>
      </c>
      <c r="L271" s="69" t="str">
        <f>"$"&amp;TEXT(1092,"0.00")</f>
        <v>$1092.00</v>
      </c>
    </row>
    <row r="272" spans="1:26" x14ac:dyDescent="0.35">
      <c r="A272" s="56" t="s">
        <v>478</v>
      </c>
      <c r="B272" s="41" t="s">
        <v>362</v>
      </c>
      <c r="C272" s="56" t="s">
        <v>374</v>
      </c>
      <c r="D272" s="67" t="str">
        <f>TEXT(146.72,"0.00")</f>
        <v>146.72</v>
      </c>
      <c r="E272" s="68" t="str">
        <f>"$"&amp;TEXT(16294.78,"0.00")</f>
        <v>$16294.78</v>
      </c>
      <c r="F272" s="68" t="str">
        <f>"$"&amp;TEXT(1050,"0.00")</f>
        <v>$1050.00</v>
      </c>
      <c r="G272" s="68" t="str">
        <f>"$"&amp;TEXT(6604.5,"0.00")</f>
        <v>$6604.50</v>
      </c>
      <c r="H272" s="68" t="str">
        <f>"$"&amp;TEXT(1092,"0.00")</f>
        <v>$1092.00</v>
      </c>
      <c r="I272" s="69" t="str">
        <f>"$"&amp;TEXT(16294.78,"0.00")</f>
        <v>$16294.78</v>
      </c>
      <c r="J272" s="69" t="str">
        <f>"$"&amp;TEXT(1050,"0.00")</f>
        <v>$1050.00</v>
      </c>
      <c r="K272" s="69" t="str">
        <f>"$"&amp;TEXT(6604.5,"0.00")</f>
        <v>$6604.50</v>
      </c>
      <c r="L272" s="69" t="str">
        <f>"$"&amp;TEXT(1092,"0.00")</f>
        <v>$1092.00</v>
      </c>
    </row>
    <row r="273" spans="1:25" x14ac:dyDescent="0.35">
      <c r="A273" s="56" t="s">
        <v>399</v>
      </c>
      <c r="B273" s="41" t="s">
        <v>362</v>
      </c>
      <c r="C273" s="56" t="s">
        <v>374</v>
      </c>
      <c r="D273" s="67" t="str">
        <f>TEXT(1560.51,"0.00")</f>
        <v>1560.51</v>
      </c>
      <c r="E273" s="68" t="str">
        <f>"$"&amp;TEXT(10585.78,"0.00")</f>
        <v>$10585.78</v>
      </c>
      <c r="F273" s="68" t="str">
        <f>"$"&amp;TEXT(234,"0.00")</f>
        <v>$234.00</v>
      </c>
      <c r="G273" s="68" t="str">
        <f>"$"&amp;TEXT(637.5,"0.00")</f>
        <v>$637.50</v>
      </c>
      <c r="H273" s="68" t="str">
        <f>"$"&amp;TEXT(0,"0.00")</f>
        <v>$0.00</v>
      </c>
      <c r="I273" s="69" t="str">
        <f>"$"&amp;TEXT(10585.78,"0.00")</f>
        <v>$10585.78</v>
      </c>
      <c r="J273" s="69" t="str">
        <f>"$"&amp;TEXT(234,"0.00")</f>
        <v>$234.00</v>
      </c>
      <c r="K273" s="69" t="str">
        <f>"$"&amp;TEXT(637.5,"0.00")</f>
        <v>$637.50</v>
      </c>
      <c r="L273" s="69" t="str">
        <f>"$"&amp;TEXT(0,"0.00")</f>
        <v>$0.00</v>
      </c>
    </row>
    <row r="275" spans="1:25" ht="18.5" x14ac:dyDescent="0.35">
      <c r="A275" s="132" t="s">
        <v>243</v>
      </c>
      <c r="B275" s="133"/>
      <c r="C275" s="133"/>
      <c r="D275" s="133"/>
      <c r="E275" s="133"/>
      <c r="F275" s="133"/>
      <c r="G275" s="133"/>
      <c r="H275" s="133"/>
      <c r="I275" s="134"/>
      <c r="Y275" s="131"/>
    </row>
    <row r="276" spans="1:25" ht="15.5" x14ac:dyDescent="0.35">
      <c r="A276" s="25" t="s">
        <v>131</v>
      </c>
      <c r="B276" s="25" t="s">
        <v>147</v>
      </c>
      <c r="C276" s="25" t="s">
        <v>244</v>
      </c>
      <c r="D276" s="25" t="s">
        <v>245</v>
      </c>
      <c r="E276" s="25" t="s">
        <v>246</v>
      </c>
      <c r="F276" s="25" t="s">
        <v>269</v>
      </c>
      <c r="G276" s="25" t="s">
        <v>271</v>
      </c>
      <c r="H276" s="25" t="s">
        <v>270</v>
      </c>
      <c r="I276" s="25" t="s">
        <v>272</v>
      </c>
      <c r="J276" s="25" t="s">
        <v>247</v>
      </c>
      <c r="K276" s="25" t="s">
        <v>248</v>
      </c>
      <c r="L276" s="25" t="s">
        <v>249</v>
      </c>
      <c r="M276" s="25" t="s">
        <v>250</v>
      </c>
      <c r="N276" s="25" t="s">
        <v>251</v>
      </c>
      <c r="O276" s="25" t="s">
        <v>502</v>
      </c>
    </row>
    <row r="277" spans="1:25" x14ac:dyDescent="0.35">
      <c r="A277" s="28" t="s">
        <v>503</v>
      </c>
      <c r="B277" s="28" t="s">
        <v>504</v>
      </c>
      <c r="C277" s="28" t="s">
        <v>505</v>
      </c>
      <c r="D277" s="41" t="s">
        <v>506</v>
      </c>
      <c r="E277" s="31" t="s">
        <v>177</v>
      </c>
      <c r="F277" s="31"/>
      <c r="G277" s="31"/>
      <c r="H277" s="31"/>
      <c r="I277" s="31"/>
      <c r="J277" s="42" t="str">
        <f ca="1">TEXT(TODAY()-145,"DD-MMM-YY")</f>
        <v>01-Jan-23</v>
      </c>
      <c r="K277" s="42" t="str">
        <f ca="1">TEXT(TODAY()-114,"DD-MMM-YY")</f>
        <v>01-Feb-23</v>
      </c>
      <c r="L277" s="32" t="s">
        <v>174</v>
      </c>
      <c r="M277" s="32">
        <v>6</v>
      </c>
      <c r="N277" s="40">
        <v>294708599858</v>
      </c>
      <c r="O277" s="32" t="s">
        <v>483</v>
      </c>
    </row>
    <row r="278" spans="1:25" x14ac:dyDescent="0.35">
      <c r="A278" s="28" t="s">
        <v>503</v>
      </c>
      <c r="B278" s="28" t="s">
        <v>504</v>
      </c>
      <c r="C278" s="28" t="s">
        <v>505</v>
      </c>
      <c r="D278" s="30">
        <v>2946045584</v>
      </c>
      <c r="E278" s="31" t="s">
        <v>177</v>
      </c>
      <c r="F278" s="31"/>
      <c r="G278" s="31"/>
      <c r="H278" s="31"/>
      <c r="I278" s="31"/>
      <c r="J278" s="42" t="str">
        <f ca="1">TEXT(TODAY()-114,"DD-MMM-YY")</f>
        <v>01-Feb-23</v>
      </c>
      <c r="K278" s="42" t="str">
        <f ca="1">TEXT(TODAY()-86,"DD-MMM-YY")</f>
        <v>01-Mar-23</v>
      </c>
      <c r="L278" s="32" t="s">
        <v>174</v>
      </c>
      <c r="M278" s="32">
        <v>5</v>
      </c>
      <c r="N278" s="40">
        <v>294877166990</v>
      </c>
      <c r="O278" s="32" t="s">
        <v>483</v>
      </c>
    </row>
  </sheetData>
  <mergeCells count="69">
    <mergeCell ref="E268:H268"/>
    <mergeCell ref="I268:L268"/>
    <mergeCell ref="E269:F269"/>
    <mergeCell ref="G269:H269"/>
    <mergeCell ref="I269:J269"/>
    <mergeCell ref="K269:L269"/>
    <mergeCell ref="B188:B190"/>
    <mergeCell ref="A183:A184"/>
    <mergeCell ref="B183:B184"/>
    <mergeCell ref="D188:D190"/>
    <mergeCell ref="C268:C270"/>
    <mergeCell ref="D268:D270"/>
    <mergeCell ref="A195:J195"/>
    <mergeCell ref="A212:R212"/>
    <mergeCell ref="B253:B254"/>
    <mergeCell ref="C253:F253"/>
    <mergeCell ref="G253:J253"/>
    <mergeCell ref="K253:K254"/>
    <mergeCell ref="C196:K196"/>
    <mergeCell ref="A197:A198"/>
    <mergeCell ref="C197:F197"/>
    <mergeCell ref="I189:J189"/>
    <mergeCell ref="A18:C18"/>
    <mergeCell ref="A23:P23"/>
    <mergeCell ref="A68:I68"/>
    <mergeCell ref="A62:D62"/>
    <mergeCell ref="A58:D58"/>
    <mergeCell ref="A76:K76"/>
    <mergeCell ref="A78:D78"/>
    <mergeCell ref="C183:F183"/>
    <mergeCell ref="G183:J183"/>
    <mergeCell ref="K183:K184"/>
    <mergeCell ref="I188:L188"/>
    <mergeCell ref="E189:F189"/>
    <mergeCell ref="K189:L189"/>
    <mergeCell ref="E188:H188"/>
    <mergeCell ref="A188:A190"/>
    <mergeCell ref="B268:B270"/>
    <mergeCell ref="AG83:AL83"/>
    <mergeCell ref="T83:V83"/>
    <mergeCell ref="W83:X83"/>
    <mergeCell ref="Z83:AF83"/>
    <mergeCell ref="B197:B198"/>
    <mergeCell ref="G197:J197"/>
    <mergeCell ref="K197:K198"/>
    <mergeCell ref="A187:L187"/>
    <mergeCell ref="L183:L184"/>
    <mergeCell ref="A181:J181"/>
    <mergeCell ref="C182:K182"/>
    <mergeCell ref="C188:C190"/>
    <mergeCell ref="A92:R92"/>
    <mergeCell ref="A179:E179"/>
    <mergeCell ref="G189:H189"/>
    <mergeCell ref="A275:I275"/>
    <mergeCell ref="A228:R228"/>
    <mergeCell ref="A234:R234"/>
    <mergeCell ref="A240:R240"/>
    <mergeCell ref="A267:L267"/>
    <mergeCell ref="A268:A270"/>
    <mergeCell ref="A261:J261"/>
    <mergeCell ref="C262:K262"/>
    <mergeCell ref="A263:A264"/>
    <mergeCell ref="B263:B264"/>
    <mergeCell ref="C263:F263"/>
    <mergeCell ref="G263:J263"/>
    <mergeCell ref="K263:K264"/>
    <mergeCell ref="A251:J251"/>
    <mergeCell ref="C252:K252"/>
    <mergeCell ref="A253:A254"/>
  </mergeCells>
  <dataValidations count="4">
    <dataValidation type="list" allowBlank="1" showInputMessage="1" showErrorMessage="1" sqref="C14 C58 UOH220:UOH221 UEL220:UEL221 TUP220:TUP221 TKT220:TKT221 TAX220:TAX221 SRB220:SRB221 SHF220:SHF221 RXJ220:RXJ221 RNN220:RNN221 RDR220:RDR221 QTV220:QTV221 QJZ220:QJZ221 QAD220:QAD221 PQH220:PQH221 PGL220:PGL221 OWP220:OWP221 OMT220:OMT221 OCX220:OCX221 NTB220:NTB221 NJF220:NJF221 MZJ220:MZJ221 MPN220:MPN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FR220:MFR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C175:C177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IX175:IX177 ST175:ST177 ACP175:ACP177 AML175:AML177 AWH175:AWH177 BGD175:BGD177 BPZ175:BPZ177 BZV175:BZV177 CJR175:CJR177 CTN175:CTN177 DDJ175:DDJ177 DNF175:DNF177 DXB175:DXB177 EGX175:EGX177 EQT175:EQT177 FAP175:FAP177 FKL175:FKL177 FUH175:FUH177 GED175:GED177 GNZ175:GNZ177 GXV175:GXV177 HHR175:HHR177 HRN175:HRN177 IBJ175:IBJ177 ILF175:ILF177 IVB175:IVB177 JEX175:JEX177 JOT175:JOT177 JYP175:JYP177 KIL175:KIL177 KSH175:KSH177 LCD175:LCD177 LLZ175:LLZ177 LVV175:LVV177 MFR175:MFR177 MPN175:MPN177 MZJ175:MZJ177 NJF175:NJF177 NTB175:NTB177 OCX175:OCX177 OMT175:OMT177 OWP175:OWP177 PGL175:PGL177 PQH175:PQH177 QAD175:QAD177 QJZ175:QJZ177 QTV175:QTV177 RDR175:RDR177 RNN175:RNN177 RXJ175:RXJ177 SHF175:SHF177 SRB175:SRB177 TAX175:TAX177 TKT175:TKT177 TUP175:TUP177 UEL175:UEL177 UOH175:UOH177 UYD175:UYD177 VHZ175:VHZ177 VRV175:VRV177 WBR175:WBR177 WLN175:WLN177 WVJ175:WVJ177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UYD220:UYD221 NJF224:NJF226 NTB224:NTB226 OCX224:OCX226 OMT224:OMT226 OWP224:OWP226 PGL224:PGL226 PQH224:PQH226 QAD224:QAD226 QJZ224:QJZ226 QTV224:QTV226 RDR224:RDR226 RNN224:RNN226 RXJ224:RXJ226 SHF224:SHF226 SRB224:SRB226 TAX224:TAX226 TKT224:TKT226 TUP224:TUP226 UEL224:UEL226 UOH224:UOH226 UYD224:UYD226 VHZ224:VHZ226 VRV224:VRV226 WBR224:WBR226 WLN224:WLN226 WVJ224:WVJ226 IX224:IX226 ST224:ST226 ACP224:ACP226 AML224:AML226 AWH224:AWH226 BGD224:BGD226 BPZ224:BPZ226 BZV224:BZV226 CJR224:CJR226 CTN224:CTN226 DDJ224:DDJ226 DNF224:DNF226 DXB224:DXB226 EGX224:EGX226 EQT224:EQT226 FAP224:FAP226 LCD224:LCD226 FKL224:FKL226 FUH224:FUH226 GED224:GED226 GNZ224:GNZ226 GXV224:GXV226 HHR224:HHR226 HRN224:HRN226 IBJ224:IBJ226 ILF224:ILF226 IVB224:IVB226 JEX224:JEX226 JOT224:JOT226 JYP224:JYP226 KIL224:KIL226 KSH224:KSH226 LLZ224:LLZ226 LVV224:LVV226 MFR224:MFR226 MPN224:MPN226 MZJ224:MZJ226 LVV230:LVV232 LLZ230:LLZ232 KSH230:KSH232 KIL230:KIL232 JYP230:JYP232 JOT230:JOT232 JEX230:JEX232 IVB230:IVB232 ILF230:ILF232 IBJ230:IBJ232 HRN230:HRN232 HHR230:HHR232 GXV230:GXV232 GNZ230:GNZ232 GED230:GED232 FUH230:FUH232 FKL230:FKL232 LCD230:LCD232 FAP230:FAP232 EQT230:EQT232 EGX230:EGX232 DXB230:DXB232 DNF230:DNF232 DDJ230:DDJ232 CTN230:CTN232 CJR230:CJR232 BZV230:BZV232 BPZ230:BPZ232 BGD230:BGD232 AWH230:AWH232 AML230:AML232 ACP230:ACP232 ST230:ST232 IX230:IX232 WVJ230:WVJ232 WLN230:WLN232 WBR230:WBR232 VRV230:VRV232 VHZ230:VHZ232 UYD230:UYD232 UOH230:UOH232 UEL230:UEL232 TUP230:TUP232 TKT230:TKT232 TAX230:TAX232 SRB230:SRB232 SHF230:SHF232 RXJ230:RXJ232 RNN230:RNN232 RDR230:RDR232 QTV230:QTV232 QJZ230:QJZ232 QAD230:QAD232 PQH230:PQH232 PGL230:PGL232 OWP230:OWP232 OMT230:OMT232 OCX230:OCX232 NTB230:NTB232 NJF230:NJF232 MZJ230:MZJ232 MPN230:MPN232 MZJ242:MZJ244 MFR236:MFR238 LVV236:LVV238 LLZ236:LLZ238 KSH236:KSH238 KIL236:KIL238 JYP236:JYP238 JOT236:JOT238 JEX236:JEX238 IVB236:IVB238 ILF236:ILF238 IBJ236:IBJ238 HRN236:HRN238 HHR236:HHR238 GXV236:GXV238 GNZ236:GNZ238 GED236:GED238 FUH236:FUH238 FKL236:FKL238 LCD236:LCD238 FAP236:FAP238 EQT236:EQT238 EGX236:EGX238 DXB236:DXB238 DNF236:DNF238 DDJ236:DDJ238 CTN236:CTN238 CJR236:CJR238 BZV236:BZV238 BPZ236:BPZ238 BGD236:BGD238 AWH236:AWH238 AML236:AML238 ACP236:ACP238 ST236:ST238 IX236:IX238 WVJ236:WVJ238 WLN236:WLN238 WBR236:WBR238 VRV236:VRV238 VHZ236:VHZ238 UYD236:UYD238 UOH236:UOH238 UEL236:UEL238 TUP236:TUP238 TKT236:TKT238 TAX236:TAX238 SRB236:SRB238 SHF236:SHF238 RXJ236:RXJ238 RNN236:RNN238 RDR236:RDR238 QTV236:QTV238 QJZ236:QJZ238 QAD236:QAD238 PQH236:PQH238 PGL236:PGL238 OWP236:OWP238 OMT236:OMT238 OCX236:OCX238 NTB236:NTB238 NJF236:NJF238 MZJ236:MZJ238 MPN236:MPN238 NJF242:NJF244 NTB242:NTB244 OCX242:OCX244 OMT242:OMT244 OWP242:OWP244 PGL242:PGL244 PQH242:PQH244 QAD242:QAD244 QJZ242:QJZ244 QTV242:QTV244 RDR242:RDR244 RNN242:RNN244 RXJ242:RXJ244 SHF242:SHF244 SRB242:SRB244 TAX242:TAX244 TKT242:TKT244 TUP242:TUP244 UEL242:UEL244 UOH242:UOH244 UYD242:UYD244 VHZ242:VHZ244 VRV242:VRV244 WBR242:WBR244 WLN242:WLN244 WVJ242:WVJ244 IX242:IX244 ST242:ST244 ACP242:ACP244 AML242:AML244 AWH242:AWH244 BGD242:BGD244 BPZ242:BPZ244 BZV242:BZV244 CJR242:CJR244 CTN242:CTN244 DDJ242:DDJ244 DNF242:DNF244 DXB242:DXB244 EGX242:EGX244 EQT242:EQT244 FAP242:FAP244 LCD242:LCD244 FKL242:FKL244 FUH242:FUH244 GED242:GED244 GNZ242:GNZ244 GXV242:GXV244 HHR242:HHR244 HRN242:HRN244 IBJ242:IBJ244 ILF242:ILF244 IVB242:IVB244 JEX242:JEX244 JOT242:JOT244 JYP242:JYP244 KIL242:KIL244 KSH242:KSH244 LLZ242:LLZ244 LVV242:LVV244 MFR242:MFR244 MPN242:MPN244 MFR230:MFR232 MZJ247:MZJ249 NJF247:NJF249 NTB247:NTB249 OCX247:OCX249 OMT247:OMT249 OWP247:OWP249 PGL247:PGL249 PQH247:PQH249 QAD247:QAD249 QJZ247:QJZ249 QTV247:QTV249 RDR247:RDR249 RNN247:RNN249 RXJ247:RXJ249 SHF247:SHF249 SRB247:SRB249 TAX247:TAX249 TKT247:TKT249 TUP247:TUP249 UEL247:UEL249 UOH247:UOH249 UYD247:UYD249 VHZ247:VHZ249 VRV247:VRV249 WBR247:WBR249 WLN247:WLN249 WVJ247:WVJ249 IX247:IX249 ST247:ST249 ACP247:ACP249 AML247:AML249 AWH247:AWH249 BGD247:BGD249 BPZ247:BPZ249 BZV247:BZV249 CJR247:CJR249 CTN247:CTN249 DDJ247:DDJ249 DNF247:DNF249 DXB247:DXB249 EGX247:EGX249 EQT247:EQT249 FAP247:FAP249 LCD247:LCD249 FKL247:FKL249 FUH247:FUH249 GED247:GED249 GNZ247:GNZ249 GXV247:GXV249 HHR247:HHR249 HRN247:HRN249 IBJ247:IBJ249 ILF247:ILF249 IVB247:IVB249 JEX247:JEX249 JOT247:JOT249 JYP247:JYP249 KIL247:KIL249 KSH247:KSH249 LLZ247:LLZ249 LVV247:LVV249 MFR247:MFR249 MPN247:MPN24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71:C273">
      <formula1>"APPROVED, PENDING FOR APPROVAL, ERROR, ,"</formula1>
    </dataValidation>
    <dataValidation type="list" allowBlank="1" showInputMessage="1" showErrorMessage="1" sqref="N203 N206:N207 N25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75"/>
      <c r="N45" s="5">
        <v>44</v>
      </c>
      <c r="O45" s="9" t="s">
        <v>79</v>
      </c>
      <c r="P45" s="10" t="s">
        <v>78</v>
      </c>
      <c r="Q45" s="10"/>
      <c r="R45" s="10" t="s">
        <v>124</v>
      </c>
      <c r="S45" s="10"/>
    </row>
    <row r="46" spans="1:19" ht="26" x14ac:dyDescent="0.35">
      <c r="A46" s="8"/>
      <c r="B46" s="8"/>
      <c r="C46" s="8"/>
      <c r="D46" s="8"/>
      <c r="E46" s="8"/>
      <c r="F46" s="8"/>
      <c r="G46" s="8"/>
      <c r="H46" s="8"/>
      <c r="I46" s="8"/>
      <c r="J46" s="8"/>
      <c r="K46" s="8"/>
      <c r="L46" s="8"/>
      <c r="M46" s="17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2023-05-26T10:04:19Z</dcterms:modified>
</cp:coreProperties>
</file>