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2" i="2" l="1"/>
  <c r="I272" i="2"/>
  <c r="F272" i="2"/>
  <c r="F266" i="2"/>
  <c r="F256" i="2"/>
  <c r="E266" i="2"/>
  <c r="E256" i="2"/>
  <c r="D266" i="2"/>
  <c r="D256" i="2"/>
  <c r="E272" i="2"/>
  <c r="C266" i="2"/>
  <c r="C256" i="2"/>
  <c r="F200" i="2" l="1"/>
  <c r="E200" i="2"/>
  <c r="E185" i="2"/>
  <c r="D200" i="2"/>
  <c r="C200" i="2"/>
  <c r="C185" i="2"/>
  <c r="J191" i="2"/>
  <c r="I191" i="2"/>
  <c r="J194" i="2"/>
  <c r="I194" i="2"/>
  <c r="J193" i="2"/>
  <c r="I193" i="2"/>
  <c r="J192" i="2"/>
  <c r="I192" i="2"/>
  <c r="F191" i="2"/>
  <c r="E191" i="2"/>
  <c r="E193" i="2"/>
  <c r="F193" i="2"/>
  <c r="E194" i="2"/>
  <c r="F194" i="2"/>
  <c r="F192" i="2"/>
  <c r="E192" i="2"/>
  <c r="F185" i="2"/>
  <c r="D185" i="2"/>
  <c r="M106" i="2"/>
  <c r="K106" i="2"/>
  <c r="J106" i="2"/>
  <c r="D72" i="2" l="1"/>
  <c r="D74" i="2"/>
  <c r="D73" i="2"/>
  <c r="D71" i="2"/>
  <c r="D70" i="2"/>
  <c r="U239" i="2" l="1"/>
  <c r="U238" i="2"/>
  <c r="U245" i="2"/>
  <c r="U244" i="2"/>
  <c r="U243" i="2"/>
  <c r="U250" i="2"/>
  <c r="U249" i="2"/>
  <c r="U248" i="2"/>
  <c r="U237" i="2"/>
  <c r="U233" i="2"/>
  <c r="U232" i="2"/>
  <c r="U231" i="2"/>
  <c r="U227" i="2"/>
  <c r="U226" i="2"/>
  <c r="U225" i="2"/>
  <c r="U222" i="2"/>
  <c r="U221" i="2"/>
  <c r="U219" i="2"/>
  <c r="U218" i="2"/>
  <c r="U216" i="2"/>
  <c r="U215" i="2"/>
  <c r="A272" i="2" l="1"/>
  <c r="L272" i="2"/>
  <c r="K272" i="2"/>
  <c r="H272" i="2"/>
  <c r="G272" i="2"/>
  <c r="D272" i="2"/>
  <c r="L192" i="2"/>
  <c r="L191" i="2"/>
  <c r="K194" i="2"/>
  <c r="K193" i="2"/>
  <c r="K192" i="2"/>
  <c r="K191" i="2"/>
  <c r="H191" i="2"/>
  <c r="H192" i="2"/>
  <c r="H193" i="2"/>
  <c r="H194" i="2"/>
  <c r="G192" i="2"/>
  <c r="G193" i="2"/>
  <c r="G194" i="2"/>
  <c r="G191" i="2"/>
  <c r="D192" i="2"/>
  <c r="D193" i="2"/>
  <c r="D194" i="2"/>
  <c r="D191" i="2"/>
  <c r="J185" i="2" l="1"/>
  <c r="K185" i="2"/>
  <c r="K266" i="2" l="1"/>
  <c r="J266" i="2"/>
  <c r="I266" i="2"/>
  <c r="H266" i="2"/>
  <c r="G266" i="2"/>
  <c r="K256" i="2"/>
  <c r="J256" i="2"/>
  <c r="I256" i="2"/>
  <c r="H256" i="2"/>
  <c r="G256" i="2"/>
  <c r="K200" i="2"/>
  <c r="J200" i="2"/>
  <c r="H200" i="2"/>
  <c r="I200" i="2"/>
  <c r="G200" i="2"/>
  <c r="H185" i="2"/>
  <c r="I185" i="2"/>
  <c r="G185" i="2"/>
  <c r="A191" i="2"/>
  <c r="A193" i="2"/>
  <c r="L194" i="2"/>
  <c r="H90" i="2" l="1"/>
  <c r="H89" i="2"/>
  <c r="M250" i="2" l="1"/>
  <c r="G250" i="2"/>
  <c r="E250" i="2"/>
  <c r="D250" i="2"/>
  <c r="M249" i="2"/>
  <c r="G249" i="2"/>
  <c r="D249" i="2"/>
  <c r="M248" i="2"/>
  <c r="G248" i="2"/>
  <c r="D248" i="2"/>
  <c r="M245" i="2"/>
  <c r="G245" i="2"/>
  <c r="E245" i="2"/>
  <c r="D245" i="2"/>
  <c r="M244" i="2"/>
  <c r="G244" i="2"/>
  <c r="D244" i="2"/>
  <c r="M243" i="2"/>
  <c r="G243" i="2"/>
  <c r="D243" i="2"/>
  <c r="E239" i="2"/>
  <c r="D239" i="2"/>
  <c r="D238" i="2"/>
  <c r="D237" i="2"/>
  <c r="E233" i="2"/>
  <c r="D233" i="2"/>
  <c r="D232" i="2"/>
  <c r="D231" i="2"/>
  <c r="M227" i="2"/>
  <c r="J227" i="2"/>
  <c r="H227" i="2"/>
  <c r="E227" i="2"/>
  <c r="D227" i="2"/>
  <c r="M226" i="2"/>
  <c r="J226" i="2"/>
  <c r="H226" i="2"/>
  <c r="D226" i="2"/>
  <c r="M225" i="2"/>
  <c r="J225" i="2"/>
  <c r="H225" i="2"/>
  <c r="K225" i="2" s="1"/>
  <c r="D225" i="2"/>
  <c r="K227" i="2" l="1"/>
  <c r="K226" i="2"/>
  <c r="A211" i="2" l="1"/>
  <c r="A210" i="2"/>
  <c r="A209" i="2"/>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J260" i="2" l="1"/>
  <c r="H216" i="2" l="1"/>
  <c r="D216" i="2"/>
  <c r="H215" i="2"/>
  <c r="D215" i="2"/>
  <c r="D222" i="2"/>
  <c r="D221" i="2"/>
  <c r="D219" i="2"/>
  <c r="D218" i="2"/>
  <c r="L193" i="2" l="1"/>
  <c r="A208" i="2" l="1"/>
  <c r="J204" i="2" l="1"/>
  <c r="C90" i="2" l="1"/>
  <c r="C89" i="2"/>
  <c r="H85" i="2"/>
  <c r="G85" i="2"/>
  <c r="B74" i="2" l="1"/>
  <c r="K74" i="2"/>
  <c r="J74" i="2"/>
  <c r="K73" i="2"/>
  <c r="J73" i="2"/>
  <c r="K72" i="2"/>
  <c r="J72" i="2"/>
  <c r="K71" i="2"/>
  <c r="J71" i="2"/>
  <c r="K70" i="2"/>
  <c r="J70" i="2"/>
  <c r="B73" i="2"/>
  <c r="B72" i="2"/>
  <c r="B16" i="2" l="1"/>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<sst xmlns="http://schemas.openxmlformats.org/spreadsheetml/2006/main" count="1484" uniqueCount="503">
  <si>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</si>
  <si>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</si>
  <si>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</si>
  <si>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</si>
  <si>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</si>
  <si>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</si>
  <si>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</si>
  <si>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</si>
  <si>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</si>
  <si>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</si>
  <si>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</si>
  <si>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</si>
  <si>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</si>
  <si>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</si>
  <si>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</si>
  <si>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</si>
  <si>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</si>
  <si>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</si>
  <si>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</si>
  <si>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</si>
  <si>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</si>
  <si>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</si>
  <si>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</si>
  <si>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</si>
  <si>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</si>
  <si>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</si>
  <si>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</si>
  <si>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</si>
  <si>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</si>
  <si>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</si>
  <si>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</si>
  <si>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</si>
  <si>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</si>
  <si>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</si>
  <si>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</si>
  <si>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</si>
  <si>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</si>
  <si>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</si>
  <si>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</si>
  <si>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</si>
  <si>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</si>
  <si>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</si>
  <si>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</si>
  <si>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</si>
  <si>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</si>
  <si>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</si>
  <si>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</si>
  <si>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</si>
  <si>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</si>
  <si>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</si>
  <si>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</si>
  <si>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</si>
  <si>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</si>
  <si>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</si>
  <si>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</si>
  <si>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</si>
  <si>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</si>
  <si>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</si>
  <si>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</si>
  <si>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</si>
  <si>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</si>
  <si>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</si>
  <si>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</si>
  <si>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</si>
  <si>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</si>
  <si>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</si>
  <si>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</si>
  <si>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</si>
  <si>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</si>
  <si>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</si>
  <si>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</si>
  <si>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</si>
  <si>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</si>
  <si>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</si>
  <si>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</si>
  <si>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</si>
  <si>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</si>
  <si>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</si>
  <si>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</si>
  <si>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</si>
  <si>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</si>
  <si>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</si>
  <si>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</si>
  <si>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</si>
  <si>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</si>
  <si>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</si>
  <si>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</si>
  <si>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</si>
  <si>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</si>
  <si>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</si>
  <si>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</si>
  <si>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</si>
  <si>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</si>
  <si>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</si>
  <si>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</si>
  <si>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</si>
  <si>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</si>
  <si>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</si>
  <si>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</si>
  <si>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</si>
  <si>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</si>
  <si>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</si>
  <si>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</si>
  <si>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</si>
  <si>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</si>
  <si>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</si>
  <si>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</si>
  <si>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</si>
  <si>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</si>
  <si>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</si>
  <si>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</si>
  <si>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</si>
  <si>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</si>
  <si>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</si>
  <si>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</si>
  <si>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</si>
  <si>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</si>
  <si>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</si>
  <si>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</si>
  <si>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</si>
  <si>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</si>
  <si>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</si>
  <si>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</si>
  <si>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</si>
  <si>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</si>
  <si>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</si>
  <si>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</si>
  <si>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</si>
  <si>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</si>
  <si>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</si>
  <si>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</si>
  <si>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</si>
  <si>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</si>
  <si>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</si>
  <si>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</si>
  <si>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</si>
  <si>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</si>
  <si>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</si>
  <si>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</si>
  <si>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</si>
  <si>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</si>
  <si>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</si>
  <si>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</si>
  <si>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</si>
  <si>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</si>
  <si>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</si>
  <si>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</si>
  <si>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</si>
  <si>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</si>
  <si>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</si>
  <si>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</si>
  <si>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</si>
  <si>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</si>
  <si>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</si>
  <si>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</si>
  <si>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</si>
  <si>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</si>
  <si>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</si>
  <si>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</si>
  <si>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</si>
  <si>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</si>
  <si>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</si>
  <si>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</si>
  <si>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</si>
  <si>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</si>
  <si>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</si>
  <si>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</si>
  <si>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</si>
  <si>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</si>
  <si>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</si>
  <si>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</si>
  <si>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</si>
  <si>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</si>
  <si>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</si>
  <si>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</si>
  <si>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</si>
  <si>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</si>
  <si>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</si>
  <si>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</si>
  <si>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</si>
  <si>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</si>
  <si>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</si>
  <si>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</si>
  <si>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</si>
  <si>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</si>
  <si>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</si>
  <si>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</si>
  <si>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</si>
  <si>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</si>
  <si>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</si>
  <si>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</si>
  <si>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</si>
  <si>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</si>
  <si>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</si>
  <si>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</si>
  <si>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</si>
  <si>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</si>
  <si>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</si>
  <si>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</si>
  <si>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</si>
  <si>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</si>
  <si>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</si>
  <si>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</si>
  <si>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</si>
  <si>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</si>
  <si>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</si>
  <si>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</si>
  <si>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</si>
  <si>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</si>
  <si>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</si>
  <si>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</si>
  <si>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</si>
  <si>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</si>
  <si>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</si>
  <si>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</si>
  <si>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</si>
  <si>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</si>
  <si>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</si>
  <si>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</si>
  <si>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</si>
  <si>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</si>
  <si>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</si>
  <si>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</si>
  <si>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</si>
  <si>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</si>
  <si>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</si>
  <si>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</si>
  <si>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</si>
  <si>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</si>
  <si>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</si>
  <si>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</si>
  <si>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</si>
  <si>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</si>
  <si>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</si>
  <si>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</si>
  <si>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</si>
  <si>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</si>
  <si>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</si>
  <si>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</si>
  <si>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</si>
  <si>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</si>
  <si>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</si>
  <si>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</si>
  <si>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</si>
  <si>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</si>
  <si>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</si>
  <si>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</si>
  <si>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</si>
  <si>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</si>
  <si>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</si>
  <si>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</si>
  <si>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</si>
  <si>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</si>
  <si>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</si>
  <si>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</si>
  <si>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</si>
  <si>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</si>
  <si>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</si>
  <si>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</si>
  <si>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</si>
  <si>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</si>
  <si>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</si>
  <si>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</si>
  <si>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</si>
  <si>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</si>
  <si>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</si>
  <si>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</si>
  <si>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</si>
  <si>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</si>
  <si>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</si>
  <si>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</si>
  <si>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</si>
  <si>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</si>
  <si>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</si>
  <si>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</si>
  <si>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</si>
  <si>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</si>
  <si>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</si>
  <si>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</si>
  <si>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</si>
  <si>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</si>
  <si>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</si>
  <si>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</si>
  <si>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</si>
  <si>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</si>
  <si>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</si>
  <si>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</si>
  <si>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</si>
  <si>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</si>
  <si>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</si>
  <si>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</si>
  <si>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</si>
  <si>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</si>
  <si>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</si>
  <si>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</si>
  <si>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</si>
  <si>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</si>
  <si>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</si>
  <si>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</si>
  <si>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</si>
  <si>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</si>
  <si>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</si>
  <si>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</si>
  <si>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</si>
  <si>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</si>
  <si>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</si>
  <si>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</si>
  <si>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</si>
  <si>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</si>
  <si>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</si>
  <si>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</si>
  <si>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</si>
  <si>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</si>
  <si>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</si>
  <si>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</si>
  <si>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</si>
  <si>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</si>
  <si>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</si>
  <si>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</si>
  <si>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</si>
  <si>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</si>
  <si>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</si>
  <si>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</si>
  <si>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</si>
  <si>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</si>
  <si>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</si>
  <si>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</si>
  <si>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</si>
  <si>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</si>
  <si>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</si>
  <si>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</si>
  <si>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</si>
  <si>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</si>
  <si>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</si>
  <si>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</si>
  <si>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</si>
  <si>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</si>
  <si>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</si>
  <si>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</si>
  <si>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</si>
  <si>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</si>
  <si>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</si>
  <si>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</si>
  <si>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</si>
  <si>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</si>
  <si>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</si>
  <si>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</si>
  <si>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</si>
  <si>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</si>
  <si>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</si>
  <si>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</si>
  <si>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</si>
  <si>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</si>
  <si>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</si>
  <si>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</si>
  <si>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</si>
  <si>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</si>
  <si>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</si>
  <si>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</si>
  <si>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</si>
  <si>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</si>
  <si>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</si>
  <si>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</si>
  <si>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</si>
  <si>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</si>
  <si>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</si>
  <si>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</si>
  <si>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</si>
  <si>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</si>
  <si>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</si>
  <si>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</si>
  <si>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</si>
  <si>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</si>
  <si>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</si>
  <si>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</si>
  <si>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</si>
  <si>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</si>
  <si>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</si>
  <si>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</si>
  <si>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</si>
  <si>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</si>
  <si>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</si>
  <si>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</si>
  <si>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</si>
  <si>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</si>
  <si>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</si>
  <si>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</si>
  <si>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</si>
  <si>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</si>
  <si>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</si>
  <si>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</si>
  <si>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</si>
  <si>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</si>
  <si>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</si>
  <si>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</si>
  <si>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</si>
  <si>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</si>
  <si>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</si>
  <si>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</si>
  <si>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</si>
  <si>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</si>
  <si>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</si>
  <si>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</si>
  <si>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</si>
  <si>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</si>
  <si>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</si>
  <si>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</si>
  <si>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</si>
  <si>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</si>
  <si>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</si>
  <si>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</si>
  <si>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</si>
  <si>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</si>
  <si>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</si>
  <si>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</si>
  <si>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</si>
  <si>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</si>
  <si>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</si>
  <si>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</si>
  <si>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</si>
  <si>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</si>
  <si>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</si>
  <si>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</si>
  <si>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</si>
  <si>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</si>
  <si>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</si>
  <si>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</si>
  <si>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</si>
  <si>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</si>
  <si>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</si>
  <si>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</si>
  <si>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</si>
  <si>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</si>
  <si>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</si>
  <si>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</si>
  <si>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</si>
  <si>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</si>
  <si>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</si>
  <si>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</si>
  <si>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</si>
  <si>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</si>
  <si>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</si>
  <si>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</si>
  <si>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</si>
  <si>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</si>
  <si>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</si>
  <si>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</si>
  <si>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</si>
  <si>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</si>
  <si>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</si>
  <si>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</si>
  <si>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</si>
  <si>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</si>
  <si>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</si>
  <si>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</si>
  <si>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</si>
  <si>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</si>
  <si>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</si>
  <si>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</si>
  <si>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</si>
  <si>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</si>
  <si>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</si>
  <si>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</si>
  <si>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</si>
  <si>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</si>
  <si>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</si>
  <si>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</si>
  <si>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</si>
  <si>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</si>
  <si>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</si>
  <si>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</si>
  <si>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</si>
  <si>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BANK_82_Test_43811</t>
  </si>
  <si>
    <t>BANK_82_Test_43811 desc</t>
  </si>
  <si>
    <t>BANK_82_Test_43811 desc ver</t>
  </si>
  <si>
    <t>BANK_82_PRSPCH1_001</t>
  </si>
  <si>
    <t>Reg_BANK_82_PRSPCH1_001</t>
  </si>
  <si>
    <t>BANK_82_PRSPCH1CH1_001</t>
  </si>
  <si>
    <t>Reg_BANK_82_PRSPCH1CH1_001</t>
  </si>
  <si>
    <t>EAI_BANK_82_PRSPCH1_001</t>
  </si>
  <si>
    <t>EAI_BANK_82_PRSPCH1CH1_001</t>
  </si>
  <si>
    <t>External Account Identifier - EAI_BANK_82_EPPRSP_001</t>
  </si>
  <si>
    <t>BANK_82_PRSPCH1_001,IND</t>
  </si>
  <si>
    <t>PRSP</t>
  </si>
  <si>
    <t>2049157035</t>
  </si>
  <si>
    <t>3002038115</t>
  </si>
  <si>
    <t>2131846279</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</si>
  <si>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</si>
  <si>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3858425340","valueAmt":"12","priceCompDesc":"FLAT","rcMapId":"1705351562","displaySw":"true","tieredFlag":"FLAT","priceCompSequenceNo":"10"},"paTypeFlag":"RGLR","priceItemDescription":"V1-Account Opening Fee","aggregateSw":"N","priceItemCode":"PI_021","priceCurrencyCode":"USD","priceAsgnId":"3850012862","pricingStatus":"PRPD","printIfZero":"Y","ignoreSw":"N","actionFlag":"OVRD","isEligible":"false","scheduleCode":"MONTHLY","rateSchedule":"DM-RT01","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</si>
  <si>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-02-10","assignmentLevel":"Customer Price List"}]}}}</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</si>
  <si>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3858425342","valueAmt":"17","priceCompDesc":"Price Per Transaction Step Tier 1","rcMapId":"2567418376","displaySw":"true","tieredFlag":"STEP","priceCompTier":{"tierSeqNum":"10","upperLimit":"1000.00","lowerLimit":"0.00","priceCriteria":"NBRTRAN"},"priceCompSequenceNo":"100"},{"priceCompId":"3858425343","valueAmt":"17","priceCompDesc":"Price Per Transaction Step Tier 2","rcMapId":"7769990702","displaySw":"true","tieredFlag":"STEP","priceCompTier":{"tierSeqNum":"10","upperLimit":"5000.00","lowerLimit":"1000.00","priceCriteria":"NBRTRAN"},"priceCompSequenceNo":"110"},{"priceCompId":"3858425344","valueAmt":"17","priceCompDesc":"Price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3850012864","pricingStatus":"PRPD","printIfZero":"Y","ignoreSw":"N","actionFlag":"OVRD","isEligible":"false","scheduleCode":"MONTHLY","rateSchedule":"DM-NBRST","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</si>
  <si>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-02-10","assignmentLevel":"Customer Price List"}]}}}</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</si>
  <si>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3858425348","valueAmt":"17","priceCompDesc":"Threshold price per transaction1","rcMapId":"1109655113","displaySw":"true","tieredFlag":"THRS","priceCompTier":{"tierSeqNum":"10","upperLimit":"1000.00","lowerLimit":"0.00","priceCriteria":"NBRTRAN"},"priceCompSequenceNo":"100"},{"priceCompId":"3858425349","valueAmt":"17","priceCompDesc":"Threshold price per transaction 2","rcMapId":"1109655113","displaySw":"true","tieredFlag":"THRS","priceCompTier":{"tierSeqNum":"10","upperLimit":"5000.00","lowerLimit":"1000.00","priceCriteria":"NBRTRAN"},"priceCompSequenceNo":"110"},{"priceCompId":"3858425350","valueAmt":"17","priceCompDesc":"Threshold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3850012866","pricingStatus":"PRPD","printIfZero":"Y","ignoreSw":"N","actionFlag":"OVRD","isEligible":"false","scheduleCode":"MONTHLY","rateSchedule":"DM-NBRTH","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</si>
  <si>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</si>
  <si>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3858425354","valueAmt":"10","priceCompDesc":"FLAT","rcMapId":"1705351562","displaySw":"true","tieredFlag":"FLAT","priceCompSequenceNo":"10"},"paTypeFlag":"RGLR","priceItemDescription":"V2-Monthly Acct Serv Fee","aggregateSw":"N","priceItemCode":"PI_022","priceCurrencyCode":"USD","priceAsgnId":"3850012868","pricingStatus":"PRPD","printIfZero":"Y","ignoreSw":"N","actionFlag":"OVRD","isEligible":"false","scheduleCode":"MONTHLY","rateSchedule":"DM-RT01","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</si>
  <si>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3858425332","valueAmt":"11","priceCompDesc":"Price per transaction - Step Tier 1","rcMapId":"2567418376","displaySw":"true","tieredFlag":"STEP","priceCompTier":{"tierSeqNum":"10","upperLimit":"1000.00","lowerLimit":"0.00","priceCriteria":"NBRTRAN"},"priceCompSequenceNo":"100"},{"priceCompId":"3858425333","valueAmt":"12","priceCompDesc":"Price per transaction - Step Tier 2","rcMapId":"7769990702","displaySw":"true","tieredFlag":"STEP","priceCompTier":{"tierSeqNum":"10","upperLimit":"5000.00","lowerLimit":"1000.00","priceCriteria":"NBRTRAN"},"priceCompSequenceNo":"110"},{"priceCompId":"3858425334","valueAmt":"13","priceCompDesc":"Price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3850012858","pricingStatus":"PRPD","printIfZero":"Y","ignoreSw":"N","actionFlag":"OVRD","isEligible":"false","scheduleCode":"MONTHLY","rateSchedule":"DM-NBRST","startDate":"2023-02-10","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</si>
  <si>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3858425356","valueAmt":"12","priceCompDesc":"Price per transaction - Step Tier 1","rcMapId":"2567418376","displaySw":"true","tieredFlag":"STEP","priceCompTier":{"tierSeqNum":"10","upperLimit":"1000.00","lowerLimit":"0.00","priceCriteria":"NBRTRAN"},"priceCompSequenceNo":"100"},{"priceCompId":"3858425357","valueAmt":"13","priceCompDesc":"Price per transaction - Step Tier 2","rcMapId":"7769990702","displaySw":"true","tieredFlag":"STEP","priceCompTier":{"tierSeqNum":"10","upperLimit":"5000.00","lowerLimit":"1000.00","priceCriteria":"NBRTRAN"},"priceCompSequenceNo":"110"},{"priceCompId":"3858425358","valueAmt":"14","priceCompDesc":"Price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3850012870","pricingStatus":"PRPD","printIfZero":"Y","ignoreSw":"N","actionFlag":"OVRD","isEligible":"false","scheduleCode":"MONTHLY","rateSchedule":"DM-NBRST","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</si>
  <si>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3858425335","valueAmt":"11","priceCompDesc":"Threshold price per transaction","rcMapId":"1109655113","displaySw":"true","tieredFlag":"THRS","priceCompTier":{"tierSeqNum":"10","upperLimit":"1000.00","lowerLimit":"0.00","priceCriteria":"NBRTRAN"},"priceCompSequenceNo":"100"},{"priceCompId":"3858425336","valueAmt":"12","priceCompDesc":"Threshold price per transaction","rcMapId":"1109655113","displaySw":"true","tieredFlag":"THRS","priceCompTier":{"tierSeqNum":"10","upperLimit":"5000.00","lowerLimit":"1000.00","priceCriteria":"NBRTRAN"},"priceCompSequenceNo":"110"},{"priceCompId":"3858425337","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3850012859","pricingStatus":"PRPD","printIfZero":"Y","ignoreSw":"N","actionFlag":"OVRD","isEligible":"false","scheduleCode":"MONTHLY","rateSchedule":"DM-NBRTH","startDate":"2023-02-10","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</si>
  <si>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3858425362","valueAmt":"12","priceCompDesc":"Threshold price per transaction","rcMapId":"1109655113","displaySw":"true","tieredFlag":"THRS","priceCompTier":{"tierSeqNum":"10","upperLimit":"1000.00","lowerLimit":"0.00","priceCriteria":"NBRTRAN"},"priceCompSequenceNo":"100"},{"priceCompId":"3858425363","valueAmt":"13","priceCompDesc":"Threshold price per transaction","rcMapId":"1109655113","displaySw":"true","tieredFlag":"THRS","priceCompTier":{"tierSeqNum":"10","upperLimit":"5000.00","lowerLimit":"1000.00","priceCriteria":"NBRTRAN"},"priceCompSequenceNo":"110"},{"priceCompId":"3858425364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3850012872","pricingStatus":"PRPD","printIfZero":"Y","ignoreSw":"N","actionFlag":"OVRD","isEligible":"false","scheduleCode":"MONTHLY","rateSchedule":"DM-NBRTH","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</si>
  <si>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3858425339","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3850012861","pricingStatus":"PRPD","printIfZero":"Y","ignoreSw":"N","actionFlag":"OVRD","isEligible":"false","scheduleCode":"MONTHLY","rateSchedule":"DM-RT01","startDate":"2023-02-10","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</si>
  <si>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3858425368","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3850012874","pricingStatus":"PRPD","printIfZero":"Y","ignoreSw":"N","actionFlag":"OVRD","isEligible":"false","scheduleCode":"MONTHLY","rateSchedule":"DM-RT01","startDate":"2023-03-12","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</si>
  <si>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3858425338","valueAmt":"1","priceCompDesc":"FLAT","rcMapId":"1705351562","displaySw":"true","tieredFlag":"FLAT","priceCompSequenceNo":"10"},"paTypeFlag":"RGLR","priceItemDescription":"V8-Cheque Collections","aggregateSw":"Y","priceItemCode":"PI_028","priceCurrencyCode":"USD","priceAsgnId":"3850012860","pricingStatus":"PRPD","printIfZero":"Y","ignoreSw":"N","actionFlag":"OVRD","isEligible":"false","scheduleCode":"MONTHLY","rateSchedule":"DM-RT01","startDate":"2023-02-10","assignmentLevel":"Customer Agreed"}]}}}</t>
  </si>
  <si>
    <t>{"C1-DealPriceAsgnCommitmentsREST":{"modelId":"1098722966","dealId":"6046762537","entityType":"PERS","entityId":"2049157035","pricingAndCommitmentsDetails":{"entityDivision":"IND","entityIdentifierType":"COREG","entityType":"PERS","entityId":"2049157035","entityIdentifierValue":"Reg_BANK_82_PRSPCH1_001","pricingDetails":[{"txnDailyRatingCrt":"DNRT","priceCompDetails":{"priceCompId":"3858425370","valueAmt":"2","priceCompDesc":"FLAT","rcMapId":"1705351562","displaySw":"true","tieredFlag":"FLAT","priceCompSequenceNo":"10"},"paTypeFlag":"RGLR","priceItemDescription":"V8-Cheque Collections","aggregateSw":"N","priceItemCode":"PI_028","priceCurrencyCode":"USD","priceAsgnId":"3850012876","pricingStatus":"PRPD","printIfZero":"Y","ignoreSw":"N","actionFlag":"OVRD","isEligible":"false","scheduleCode":"MONTHLY","rateSchedule":"DM-RT01","startDate":"2023-03-12","assignmentLevel":"Customer Agreed"}]}}}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</si>
</sst>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49" fontId="0" fillId="17" borderId="1" xfId="0" applyNumberFormat="1" applyFill="1" applyBorder="1" applyAlignment="1">
      <alignment horizontal="left" vertical="top"/>
    </xf>
    <xf numFmtId="0" fontId="0" fillId="0" borderId="0" xfId="0" applyNumberFormat="1"/>
    <xf numFmtId="0" fontId="11" fillId="13" borderId="0" xfId="0" applyNumberFormat="1" applyFont="1" applyFill="1" applyBorder="1" applyAlignment="1">
      <alignment horizontal="left" vertical="top"/>
    </xf>
    <xf numFmtId="0" fontId="11" fillId="10"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8" borderId="0" xfId="0" applyFont="1" applyFill="1" applyAlignment="1">
      <alignment horizontal="left"/>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3" borderId="6" xfId="0" applyFont="1" applyFill="1" applyBorder="1" applyAlignment="1">
      <alignment horizontal="center" vertical="top"/>
    </xf>
    <xf numFmtId="0" fontId="11" fillId="15" borderId="6" xfId="0" applyFont="1" applyFill="1" applyBorder="1" applyAlignment="1">
      <alignment horizontal="center"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2"/>
  <sheetViews>
    <sheetView tabSelected="1" topLeftCell="X64" zoomScale="64" zoomScaleNormal="64" workbookViewId="0">
      <selection activeCell="AO86" activeCellId="1" sqref="AO85 AO86"/>
    </sheetView>
  </sheetViews>
  <sheetFormatPr defaultRowHeight="14.5" x14ac:dyDescent="0.35"/>
  <cols>
    <col min="1" max="1" width="24.6328125" customWidth="1" collapsed="1"/>
    <col min="2" max="2" width="39" customWidth="1" collapsed="1"/>
    <col min="3" max="16" width="24.6328125" customWidth="1" collapsed="1"/>
    <col min="21" max="21" width="10.90625" bestFit="1" customWidth="1" collapsed="1"/>
    <col min="48" max="48" width="10.4531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464</v>
      </c>
      <c r="D4" s="28" t="s">
        <v>139</v>
      </c>
      <c r="E4" s="28" t="s">
        <v>140</v>
      </c>
      <c r="F4" s="28"/>
      <c r="G4" s="28"/>
      <c r="H4" s="28"/>
      <c r="I4" s="28" t="s">
        <v>141</v>
      </c>
      <c r="J4" s="28" t="s">
        <v>465</v>
      </c>
    </row>
    <row r="5" spans="1:118" x14ac:dyDescent="0.35">
      <c r="A5" s="28" t="s">
        <v>484</v>
      </c>
      <c r="B5" s="28"/>
      <c r="C5" s="28" t="s">
        <v>475</v>
      </c>
      <c r="D5" s="28" t="s">
        <v>139</v>
      </c>
      <c r="E5" s="28" t="s">
        <v>140</v>
      </c>
      <c r="F5" s="28"/>
      <c r="G5" s="28"/>
      <c r="H5" s="28"/>
      <c r="I5" s="28" t="s">
        <v>141</v>
      </c>
      <c r="J5" s="28" t="s">
        <v>476</v>
      </c>
    </row>
    <row r="6" spans="1:118" x14ac:dyDescent="0.35">
      <c r="A6" s="28" t="s">
        <v>485</v>
      </c>
      <c r="B6" s="28"/>
      <c r="C6" s="28" t="s">
        <v>477</v>
      </c>
      <c r="D6" s="28" t="s">
        <v>139</v>
      </c>
      <c r="E6" s="28" t="s">
        <v>140</v>
      </c>
      <c r="F6" s="28"/>
      <c r="G6" s="28"/>
      <c r="H6" s="28"/>
      <c r="I6" s="28" t="s">
        <v>141</v>
      </c>
      <c r="J6" s="28" t="s">
        <v>478</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466</v>
      </c>
      <c r="K10" s="28"/>
    </row>
    <row r="11" spans="1:118" x14ac:dyDescent="0.35">
      <c r="A11" s="28" t="s">
        <v>484</v>
      </c>
      <c r="B11" s="28" t="str">
        <f>C5</f>
        <v>BANK_82_PRSPCH1_001</v>
      </c>
      <c r="C11" s="28"/>
      <c r="D11" s="28" t="s">
        <v>152</v>
      </c>
      <c r="E11" s="28" t="s">
        <v>153</v>
      </c>
      <c r="F11" s="28" t="s">
        <v>154</v>
      </c>
      <c r="G11" s="28" t="s">
        <v>155</v>
      </c>
      <c r="H11" s="28" t="s">
        <v>156</v>
      </c>
      <c r="I11" s="28" t="s">
        <v>157</v>
      </c>
      <c r="J11" s="28" t="s">
        <v>479</v>
      </c>
      <c r="K11" s="28"/>
    </row>
    <row r="12" spans="1:118" x14ac:dyDescent="0.35">
      <c r="A12" s="28" t="s">
        <v>485</v>
      </c>
      <c r="B12" s="28" t="str">
        <f>C6</f>
        <v>BANK_82_PRSPCH1CH1_001</v>
      </c>
      <c r="C12" s="28"/>
      <c r="D12" s="28" t="s">
        <v>152</v>
      </c>
      <c r="E12" s="28" t="s">
        <v>153</v>
      </c>
      <c r="F12" s="28" t="s">
        <v>154</v>
      </c>
      <c r="G12" s="28" t="s">
        <v>155</v>
      </c>
      <c r="H12" s="28" t="s">
        <v>156</v>
      </c>
      <c r="I12" s="28" t="s">
        <v>157</v>
      </c>
      <c r="J12" s="28" t="s">
        <v>480</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41" t="s">
        <v>486</v>
      </c>
      <c r="D16" s="31" t="s">
        <v>153</v>
      </c>
      <c r="E16" s="32" t="s">
        <v>164</v>
      </c>
      <c r="F16" s="31" t="s">
        <v>154</v>
      </c>
      <c r="G16" s="32"/>
      <c r="H16" s="31" t="s">
        <v>165</v>
      </c>
      <c r="I16" s="14"/>
    </row>
    <row r="18" spans="1:117" ht="18.5" x14ac:dyDescent="0.35">
      <c r="A18" s="163" t="s">
        <v>172</v>
      </c>
      <c r="B18" s="163"/>
      <c r="C18" s="163"/>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4" t="s">
        <v>180</v>
      </c>
      <c r="B23" s="165"/>
      <c r="C23" s="165"/>
      <c r="D23" s="165"/>
      <c r="E23" s="165"/>
      <c r="F23" s="165"/>
      <c r="G23" s="165"/>
      <c r="H23" s="165"/>
      <c r="I23" s="165"/>
      <c r="J23" s="165"/>
      <c r="K23" s="165"/>
      <c r="L23" s="165"/>
      <c r="M23" s="165"/>
      <c r="N23" s="165"/>
      <c r="O23" s="165"/>
      <c r="P23" s="16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6" t="s">
        <v>259</v>
      </c>
      <c r="B58" s="167"/>
      <c r="C58" s="167"/>
      <c r="D58" s="168"/>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66" t="s">
        <v>252</v>
      </c>
      <c r="B62" s="167"/>
      <c r="C62" s="167"/>
      <c r="D62" s="168"/>
    </row>
    <row r="63" spans="1:117" ht="15.5" x14ac:dyDescent="0.35">
      <c r="A63" s="26" t="s">
        <v>253</v>
      </c>
      <c r="B63" s="27" t="s">
        <v>254</v>
      </c>
      <c r="C63" s="27" t="s">
        <v>240</v>
      </c>
      <c r="D63" s="26" t="s">
        <v>255</v>
      </c>
      <c r="E63" s="26" t="s">
        <v>187</v>
      </c>
      <c r="F63" s="25" t="s">
        <v>166</v>
      </c>
      <c r="G63" s="25"/>
    </row>
    <row r="64" spans="1:117" x14ac:dyDescent="0.35">
      <c r="A64" s="31" t="s">
        <v>256</v>
      </c>
      <c r="B64" s="28" t="s">
        <v>464</v>
      </c>
      <c r="C64" s="31" t="s">
        <v>171</v>
      </c>
      <c r="D64" s="31" t="s">
        <v>195</v>
      </c>
      <c r="E64" s="31" t="s">
        <v>257</v>
      </c>
      <c r="F64" s="31" t="s">
        <v>168</v>
      </c>
      <c r="G64" s="31"/>
    </row>
    <row r="65" spans="1:14" x14ac:dyDescent="0.35">
      <c r="A65" s="31" t="s">
        <v>256</v>
      </c>
      <c r="B65" s="28" t="s">
        <v>464</v>
      </c>
      <c r="C65" s="31" t="s">
        <v>248</v>
      </c>
      <c r="D65" s="31" t="s">
        <v>195</v>
      </c>
      <c r="E65" s="31" t="s">
        <v>258</v>
      </c>
      <c r="F65" s="31" t="s">
        <v>168</v>
      </c>
      <c r="G65" s="31"/>
    </row>
    <row r="66" spans="1:14" x14ac:dyDescent="0.35">
      <c r="A66" s="31" t="s">
        <v>256</v>
      </c>
      <c r="B66" s="28" t="s">
        <v>464</v>
      </c>
      <c r="C66" s="31" t="s">
        <v>247</v>
      </c>
      <c r="D66" s="31" t="s">
        <v>195</v>
      </c>
      <c r="E66" s="31" t="s">
        <v>258</v>
      </c>
      <c r="F66" s="31" t="s">
        <v>168</v>
      </c>
      <c r="G66" s="31"/>
    </row>
    <row r="68" spans="1:14" ht="18.5" x14ac:dyDescent="0.35">
      <c r="A68" s="166" t="s">
        <v>237</v>
      </c>
      <c r="B68" s="167"/>
      <c r="C68" s="167"/>
      <c r="D68" s="167"/>
      <c r="E68" s="167"/>
      <c r="F68" s="167"/>
      <c r="G68" s="167"/>
      <c r="H68" s="167"/>
      <c r="I68" s="168"/>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464</v>
      </c>
      <c r="B70" s="28">
        <f>C10</f>
        <v>2131846854</v>
      </c>
      <c r="C70" s="28" t="s">
        <v>466</v>
      </c>
      <c r="D70" s="41" t="str">
        <f>C16</f>
        <v>2131846279</v>
      </c>
      <c r="E70" s="31" t="s">
        <v>171</v>
      </c>
      <c r="F70" s="31"/>
      <c r="G70" s="31"/>
      <c r="H70" s="31"/>
      <c r="I70" s="31"/>
      <c r="J70" s="42" t="str">
        <f ca="1">TEXT(TODAY()-60,"MM-DD-YYYY")</f>
        <v>03-17-2023</v>
      </c>
      <c r="K70" s="42" t="str">
        <f ca="1">TEXT(TODAY()-30,"MM-DD-YYYY")</f>
        <v>04-16-2023</v>
      </c>
      <c r="L70" s="32" t="s">
        <v>168</v>
      </c>
      <c r="M70" s="32">
        <v>12</v>
      </c>
      <c r="N70" s="40"/>
    </row>
    <row r="71" spans="1:14" x14ac:dyDescent="0.35">
      <c r="A71" s="28" t="s">
        <v>464</v>
      </c>
      <c r="B71" s="28">
        <f>C10</f>
        <v>2131846854</v>
      </c>
      <c r="C71" s="28" t="s">
        <v>466</v>
      </c>
      <c r="D71" s="41" t="str">
        <f>C16</f>
        <v>2131846279</v>
      </c>
      <c r="E71" s="31" t="s">
        <v>171</v>
      </c>
      <c r="F71" s="31"/>
      <c r="G71" s="31"/>
      <c r="H71" s="31"/>
      <c r="I71" s="31"/>
      <c r="J71" s="42" t="str">
        <f ca="1">TEXT(TODAY()-90,"MM-DD-YYYY")</f>
        <v>02-15-2023</v>
      </c>
      <c r="K71" s="42" t="str">
        <f ca="1">TEXT(TODAY()-61,"MM-DD-YYYY")</f>
        <v>03-16-2023</v>
      </c>
      <c r="L71" s="32" t="s">
        <v>168</v>
      </c>
      <c r="M71" s="32">
        <v>13</v>
      </c>
      <c r="N71" s="40"/>
    </row>
    <row r="72" spans="1:14" x14ac:dyDescent="0.35">
      <c r="A72" s="28" t="s">
        <v>464</v>
      </c>
      <c r="B72" s="28">
        <f>C10</f>
        <v>2131846854</v>
      </c>
      <c r="C72" s="28" t="s">
        <v>466</v>
      </c>
      <c r="D72" s="41" t="str">
        <f>C16</f>
        <v>2131846279</v>
      </c>
      <c r="E72" s="31" t="s">
        <v>248</v>
      </c>
      <c r="F72" s="31"/>
      <c r="G72" s="31"/>
      <c r="H72" s="31"/>
      <c r="I72" s="31"/>
      <c r="J72" s="42" t="str">
        <f ca="1">TEXT(TODAY()-120,"MM-DD-YYYY")</f>
        <v>01-16-2023</v>
      </c>
      <c r="K72" s="42" t="str">
        <f ca="1">TEXT(TODAY()-91,"MM-DD-YYYY")</f>
        <v>02-14-2023</v>
      </c>
      <c r="L72" s="32" t="s">
        <v>168</v>
      </c>
      <c r="M72" s="32">
        <v>6</v>
      </c>
      <c r="N72" s="40"/>
    </row>
    <row r="73" spans="1:14" x14ac:dyDescent="0.35">
      <c r="A73" s="28" t="s">
        <v>464</v>
      </c>
      <c r="B73" s="28">
        <f>C10</f>
        <v>2131846854</v>
      </c>
      <c r="C73" s="28" t="s">
        <v>466</v>
      </c>
      <c r="D73" s="41" t="str">
        <f>C16</f>
        <v>2131846279</v>
      </c>
      <c r="E73" s="31" t="s">
        <v>247</v>
      </c>
      <c r="F73" s="31" t="s">
        <v>260</v>
      </c>
      <c r="G73" s="31" t="s">
        <v>153</v>
      </c>
      <c r="H73" s="31" t="s">
        <v>261</v>
      </c>
      <c r="I73" s="31" t="s">
        <v>262</v>
      </c>
      <c r="J73" s="42" t="str">
        <f ca="1">TEXT(TODAY()-150,"MM-DD-YYYY")</f>
        <v>12-17-2022</v>
      </c>
      <c r="K73" s="42" t="str">
        <f ca="1">TEXT(TODAY()-121,"MM-DD-YYYY")</f>
        <v>01-15-2023</v>
      </c>
      <c r="L73" s="32" t="s">
        <v>168</v>
      </c>
      <c r="M73" s="32">
        <v>7</v>
      </c>
      <c r="N73" s="40"/>
    </row>
    <row r="74" spans="1:14" x14ac:dyDescent="0.35">
      <c r="A74" s="28" t="s">
        <v>464</v>
      </c>
      <c r="B74" s="41">
        <f>C10</f>
        <v>2131846854</v>
      </c>
      <c r="C74" s="28" t="s">
        <v>466</v>
      </c>
      <c r="D74" s="41" t="str">
        <f>C16</f>
        <v>2131846279</v>
      </c>
      <c r="E74" s="31" t="s">
        <v>247</v>
      </c>
      <c r="F74" s="31" t="s">
        <v>260</v>
      </c>
      <c r="G74" s="31" t="s">
        <v>153</v>
      </c>
      <c r="H74" s="31" t="s">
        <v>261</v>
      </c>
      <c r="I74" s="31" t="s">
        <v>267</v>
      </c>
      <c r="J74" s="42" t="str">
        <f ca="1">TEXT(TODAY()-180,"MM-DD-YYYY")</f>
        <v>11-17-2022</v>
      </c>
      <c r="K74" s="42" t="str">
        <f ca="1">TEXT(TODAY()-151,"MM-DD-YYYY")</f>
        <v>12-16-2022</v>
      </c>
      <c r="L74" s="32" t="s">
        <v>168</v>
      </c>
      <c r="M74" s="32">
        <v>10</v>
      </c>
      <c r="N74" s="40"/>
    </row>
    <row r="76" spans="1:14" ht="50.4" customHeight="1" x14ac:dyDescent="0.35">
      <c r="A76" s="169" t="s">
        <v>268</v>
      </c>
      <c r="B76" s="169"/>
      <c r="C76" s="169"/>
      <c r="D76" s="169"/>
      <c r="E76" s="169"/>
      <c r="F76" s="169"/>
      <c r="G76" s="169"/>
      <c r="H76" s="169"/>
      <c r="I76" s="169"/>
      <c r="J76" s="169"/>
      <c r="K76" s="169"/>
    </row>
    <row r="78" spans="1:14" ht="16.75" customHeight="1" x14ac:dyDescent="0.35">
      <c r="A78" s="170" t="s">
        <v>269</v>
      </c>
      <c r="B78" s="170"/>
      <c r="C78" s="170"/>
      <c r="D78" s="170"/>
    </row>
    <row r="79" spans="1:14" x14ac:dyDescent="0.35">
      <c r="A79" s="43" t="s">
        <v>270</v>
      </c>
      <c r="B79" s="43" t="s">
        <v>271</v>
      </c>
      <c r="C79" s="43" t="s">
        <v>130</v>
      </c>
      <c r="D79" s="43" t="s">
        <v>272</v>
      </c>
    </row>
    <row r="80" spans="1:14" x14ac:dyDescent="0.35">
      <c r="A80" s="32" t="s">
        <v>273</v>
      </c>
      <c r="B80" s="28">
        <v>2049157035</v>
      </c>
      <c r="C80" s="44" t="s">
        <v>274</v>
      </c>
      <c r="D80" s="28" t="s">
        <v>482</v>
      </c>
    </row>
    <row r="82" spans="1:78" x14ac:dyDescent="0.35">
      <c r="A82" s="45" t="s">
        <v>275</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276</v>
      </c>
      <c r="B83" s="47" t="s">
        <v>277</v>
      </c>
      <c r="C83" s="47" t="s">
        <v>278</v>
      </c>
      <c r="D83" s="47" t="s">
        <v>279</v>
      </c>
      <c r="E83" s="47" t="s">
        <v>280</v>
      </c>
      <c r="F83" s="47" t="s">
        <v>281</v>
      </c>
      <c r="G83" s="47" t="s">
        <v>282</v>
      </c>
      <c r="H83" s="47" t="s">
        <v>283</v>
      </c>
      <c r="I83" s="47" t="s">
        <v>284</v>
      </c>
      <c r="J83" s="47" t="s">
        <v>285</v>
      </c>
      <c r="K83" s="47" t="s">
        <v>286</v>
      </c>
      <c r="L83" s="47" t="s">
        <v>287</v>
      </c>
      <c r="M83" s="47" t="s">
        <v>288</v>
      </c>
      <c r="N83" s="47" t="s">
        <v>289</v>
      </c>
      <c r="O83" s="47" t="s">
        <v>290</v>
      </c>
      <c r="P83" s="47" t="s">
        <v>291</v>
      </c>
      <c r="Q83" s="47" t="s">
        <v>292</v>
      </c>
      <c r="R83" s="47" t="s">
        <v>293</v>
      </c>
      <c r="S83" s="48" t="s">
        <v>294</v>
      </c>
      <c r="T83" s="156" t="s">
        <v>295</v>
      </c>
      <c r="U83" s="157"/>
      <c r="V83" s="158"/>
      <c r="W83" s="156" t="s">
        <v>296</v>
      </c>
      <c r="X83" s="158"/>
      <c r="Y83" s="49"/>
      <c r="Z83" s="153" t="s">
        <v>297</v>
      </c>
      <c r="AA83" s="154"/>
      <c r="AB83" s="154"/>
      <c r="AC83" s="154"/>
      <c r="AD83" s="154"/>
      <c r="AE83" s="154"/>
      <c r="AF83" s="155"/>
      <c r="AG83" s="153" t="s">
        <v>298</v>
      </c>
      <c r="AH83" s="154"/>
      <c r="AI83" s="154"/>
      <c r="AJ83" s="154"/>
      <c r="AK83" s="154"/>
      <c r="AL83" s="155"/>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299</v>
      </c>
      <c r="U84" s="54" t="s">
        <v>300</v>
      </c>
      <c r="V84" s="54" t="s">
        <v>301</v>
      </c>
      <c r="W84" s="54" t="s">
        <v>302</v>
      </c>
      <c r="X84" s="54" t="s">
        <v>303</v>
      </c>
      <c r="Y84" s="54" t="s">
        <v>304</v>
      </c>
      <c r="Z84" s="54" t="s">
        <v>305</v>
      </c>
      <c r="AA84" s="54" t="s">
        <v>306</v>
      </c>
      <c r="AB84" s="54" t="s">
        <v>307</v>
      </c>
      <c r="AC84" s="54" t="s">
        <v>308</v>
      </c>
      <c r="AD84" s="54" t="s">
        <v>309</v>
      </c>
      <c r="AE84" s="54" t="s">
        <v>310</v>
      </c>
      <c r="AF84" s="54" t="s">
        <v>311</v>
      </c>
      <c r="AG84" s="54" t="s">
        <v>312</v>
      </c>
      <c r="AH84" s="54" t="s">
        <v>313</v>
      </c>
      <c r="AI84" s="54" t="s">
        <v>314</v>
      </c>
      <c r="AJ84" s="54" t="s">
        <v>315</v>
      </c>
      <c r="AK84" s="54" t="s">
        <v>316</v>
      </c>
      <c r="AL84" s="54" t="s">
        <v>317</v>
      </c>
      <c r="AM84" s="53" t="s">
        <v>318</v>
      </c>
      <c r="AN84" s="54" t="s">
        <v>319</v>
      </c>
      <c r="AO84" s="54" t="s">
        <v>320</v>
      </c>
      <c r="AP84" s="55" t="s">
        <v>321</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483</v>
      </c>
      <c r="B85" s="28" t="s">
        <v>484</v>
      </c>
      <c r="C85" s="56" t="s">
        <v>472</v>
      </c>
      <c r="D85" s="57" t="s">
        <v>342</v>
      </c>
      <c r="E85" s="41" t="s">
        <v>155</v>
      </c>
      <c r="F85" s="56" t="s">
        <v>322</v>
      </c>
      <c r="G85" s="58" t="str">
        <f ca="1">TEXT(TODAY(),"YYYY-MM-DD")</f>
        <v>2023-05-16</v>
      </c>
      <c r="H85" s="58" t="str">
        <f ca="1">TEXT(TODAY(),"YYYY-MM-DD")</f>
        <v>2023-05-16</v>
      </c>
      <c r="I85" s="56">
        <v>12</v>
      </c>
      <c r="J85" s="56">
        <v>12</v>
      </c>
      <c r="K85" s="56">
        <v>12</v>
      </c>
      <c r="L85" s="56" t="s">
        <v>473</v>
      </c>
      <c r="M85" s="56" t="s">
        <v>474</v>
      </c>
      <c r="N85" s="30" t="s">
        <v>324</v>
      </c>
      <c r="O85" s="30" t="s">
        <v>323</v>
      </c>
      <c r="P85" s="30" t="s">
        <v>324</v>
      </c>
      <c r="Q85" s="30" t="s">
        <v>324</v>
      </c>
      <c r="R85" s="30" t="s">
        <v>323</v>
      </c>
      <c r="S85" s="41"/>
      <c r="T85" s="41" t="s">
        <v>325</v>
      </c>
      <c r="U85" s="41" t="s">
        <v>326</v>
      </c>
      <c r="V85" s="41"/>
      <c r="W85" s="41" t="s">
        <v>327</v>
      </c>
      <c r="X85" s="41" t="s">
        <v>328</v>
      </c>
      <c r="Y85" s="41"/>
      <c r="Z85" s="41" t="s">
        <v>448</v>
      </c>
      <c r="AA85" s="41"/>
      <c r="AB85" s="41"/>
      <c r="AC85" s="41" t="s">
        <v>449</v>
      </c>
      <c r="AD85" s="41" t="s">
        <v>323</v>
      </c>
      <c r="AE85" s="41" t="s">
        <v>323</v>
      </c>
      <c r="AF85" s="41" t="s">
        <v>324</v>
      </c>
      <c r="AG85" s="41"/>
      <c r="AH85" s="41"/>
      <c r="AI85" s="41"/>
      <c r="AJ85" s="41" t="s">
        <v>324</v>
      </c>
      <c r="AK85" s="41" t="s">
        <v>324</v>
      </c>
      <c r="AL85" s="41" t="s">
        <v>324</v>
      </c>
      <c r="AM85" s="56"/>
      <c r="AN85" s="56">
        <v>21</v>
      </c>
      <c r="AO85" s="56">
        <v>22</v>
      </c>
      <c r="AP85" s="56">
        <v>5</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329</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330</v>
      </c>
      <c r="G88" s="24" t="s">
        <v>331</v>
      </c>
      <c r="H88" s="24" t="s">
        <v>332</v>
      </c>
      <c r="I88" s="24" t="s">
        <v>333</v>
      </c>
      <c r="J88" s="24" t="s">
        <v>334</v>
      </c>
      <c r="K88" s="24" t="s">
        <v>335</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2023-05-16</v>
      </c>
      <c r="D89" s="34" t="s">
        <v>153</v>
      </c>
      <c r="E89" s="34" t="s">
        <v>340</v>
      </c>
      <c r="F89" s="62" t="str">
        <f ca="1">TEXT(TODAY()+365,"YYYY-MM-DD")</f>
        <v>2024-05-15</v>
      </c>
      <c r="G89" s="58" t="s">
        <v>324</v>
      </c>
      <c r="H89" s="28">
        <f>B80</f>
        <v>2049157035</v>
      </c>
      <c r="I89" s="34" t="s">
        <v>336</v>
      </c>
      <c r="J89" s="34" t="s">
        <v>341</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338</v>
      </c>
      <c r="B90" s="34" t="s">
        <v>339</v>
      </c>
      <c r="C90" s="34" t="str">
        <f ca="1">TEXT(TODAY(),"YYYY-MM-DD")</f>
        <v>2023-05-16</v>
      </c>
      <c r="D90" s="34" t="s">
        <v>153</v>
      </c>
      <c r="E90" s="34" t="s">
        <v>177</v>
      </c>
      <c r="F90" s="62" t="str">
        <f ca="1">TEXT(TODAY()+365,"YYYY-MM-DD")</f>
        <v>2024-05-15</v>
      </c>
      <c r="G90" s="58" t="s">
        <v>324</v>
      </c>
      <c r="H90" s="28">
        <f>B80</f>
        <v>2049157035</v>
      </c>
      <c r="I90" s="34" t="s">
        <v>336</v>
      </c>
      <c r="J90" s="34" t="s">
        <v>337</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35" t="s">
        <v>429</v>
      </c>
      <c r="B92" s="136"/>
      <c r="C92" s="136"/>
      <c r="D92" s="136"/>
      <c r="E92" s="136"/>
      <c r="F92" s="136"/>
      <c r="G92" s="136"/>
      <c r="H92" s="136"/>
      <c r="I92" s="136"/>
      <c r="J92" s="136"/>
      <c r="K92" s="136"/>
      <c r="L92" s="136"/>
      <c r="M92" s="136"/>
      <c r="N92" s="136"/>
      <c r="O92" s="136"/>
      <c r="P92" s="136"/>
      <c r="Q92" s="136"/>
      <c r="R92" s="136"/>
      <c r="S92" s="84"/>
      <c r="AE92" s="52"/>
      <c r="AF92" s="52"/>
      <c r="AG92" s="52"/>
    </row>
    <row r="93" spans="1:78" x14ac:dyDescent="0.35">
      <c r="A93" s="85" t="s">
        <v>392</v>
      </c>
      <c r="B93" s="85" t="s">
        <v>393</v>
      </c>
      <c r="C93" s="85" t="s">
        <v>394</v>
      </c>
      <c r="D93" s="88" t="s">
        <v>282</v>
      </c>
      <c r="E93" s="88" t="s">
        <v>294</v>
      </c>
      <c r="F93" s="88" t="s">
        <v>187</v>
      </c>
      <c r="G93" s="85" t="s">
        <v>395</v>
      </c>
      <c r="H93" s="89" t="s">
        <v>396</v>
      </c>
      <c r="I93" s="88" t="s">
        <v>166</v>
      </c>
      <c r="J93" s="88" t="s">
        <v>397</v>
      </c>
      <c r="K93" s="90" t="s">
        <v>351</v>
      </c>
      <c r="L93" s="88" t="s">
        <v>398</v>
      </c>
      <c r="M93" s="90" t="s">
        <v>352</v>
      </c>
      <c r="N93" s="88" t="s">
        <v>399</v>
      </c>
      <c r="O93" s="88" t="s">
        <v>400</v>
      </c>
      <c r="P93" s="88" t="s">
        <v>359</v>
      </c>
      <c r="Q93" s="88" t="s">
        <v>401</v>
      </c>
      <c r="R93" s="88" t="s">
        <v>402</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167</v>
      </c>
      <c r="B94" s="79"/>
      <c r="C94" s="92" t="s">
        <v>417</v>
      </c>
      <c r="D94" s="92"/>
      <c r="E94" s="92"/>
      <c r="F94" s="92">
        <v>21.33</v>
      </c>
      <c r="G94" s="92" t="str">
        <f>CONCATENATE("USD,FLAT ",TEXT(F94,"0.00"))</f>
        <v>USD,FLAT 21.33</v>
      </c>
      <c r="H94" s="94" t="str">
        <f>TEXT(21.33,"0.00")</f>
        <v>21.33</v>
      </c>
      <c r="I94" s="92" t="s">
        <v>168</v>
      </c>
      <c r="J94" s="121">
        <v>2</v>
      </c>
      <c r="K94" s="94" t="str">
        <f>TEXT(42.66,"0.00")</f>
        <v>42.66</v>
      </c>
      <c r="L94" s="92"/>
      <c r="M94" s="94" t="str">
        <f>TEXT(26,"0")</f>
        <v>26</v>
      </c>
      <c r="N94" s="92"/>
      <c r="O94" s="92" t="s">
        <v>415</v>
      </c>
      <c r="P94" s="92" t="s">
        <v>414</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430</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416</v>
      </c>
      <c r="D96" s="82"/>
      <c r="E96" s="82"/>
      <c r="F96" s="82"/>
      <c r="G96" s="82"/>
      <c r="H96" s="82"/>
      <c r="I96" s="82"/>
      <c r="J96" s="82"/>
      <c r="K96" s="100"/>
      <c r="L96" s="82"/>
      <c r="M96" s="101"/>
      <c r="N96" s="82"/>
      <c r="O96" s="82"/>
      <c r="P96" s="82"/>
      <c r="Q96" s="82"/>
      <c r="R96" s="82"/>
      <c r="S96" s="102"/>
    </row>
    <row r="97" spans="1:19" x14ac:dyDescent="0.35">
      <c r="A97" s="79"/>
      <c r="B97" s="79"/>
      <c r="C97" s="103" t="s">
        <v>431</v>
      </c>
      <c r="D97" s="103"/>
      <c r="E97" s="103"/>
      <c r="F97" s="103"/>
      <c r="G97" s="103"/>
      <c r="H97" s="103"/>
      <c r="I97" s="103"/>
      <c r="J97" s="103"/>
      <c r="K97" s="104"/>
      <c r="L97" s="103"/>
      <c r="M97" s="105"/>
      <c r="N97" s="103"/>
      <c r="O97" s="103"/>
      <c r="P97" s="103"/>
      <c r="Q97" s="103"/>
      <c r="R97" s="103"/>
      <c r="S97" s="106"/>
    </row>
    <row r="98" spans="1:19" x14ac:dyDescent="0.35">
      <c r="A98" s="91" t="s">
        <v>169</v>
      </c>
      <c r="B98" s="79"/>
      <c r="C98" s="92" t="s">
        <v>417</v>
      </c>
      <c r="D98" s="92"/>
      <c r="E98" s="92"/>
      <c r="F98" s="92">
        <v>25</v>
      </c>
      <c r="G98" s="92" t="str">
        <f>CONCATENATE("USD,FLAT ",TEXT(F98,"0.00"))</f>
        <v>USD,FLAT 25.00</v>
      </c>
      <c r="H98" s="94" t="str">
        <f>TEXT(25,"0")</f>
        <v>25</v>
      </c>
      <c r="I98" s="92" t="s">
        <v>168</v>
      </c>
      <c r="J98" s="121">
        <v>2</v>
      </c>
      <c r="K98" s="94" t="str">
        <f>TEXT(50,"0")</f>
        <v>50</v>
      </c>
      <c r="L98" s="92"/>
      <c r="M98" s="94" t="str">
        <f>TEXT(26,"0")</f>
        <v>26</v>
      </c>
      <c r="N98" s="92" t="s">
        <v>339</v>
      </c>
      <c r="O98" s="92" t="s">
        <v>419</v>
      </c>
      <c r="P98" s="92" t="s">
        <v>414</v>
      </c>
      <c r="Q98" s="92"/>
      <c r="R98" s="92"/>
      <c r="S98" s="95"/>
    </row>
    <row r="99" spans="1:19" x14ac:dyDescent="0.35">
      <c r="A99" s="79"/>
      <c r="B99" s="79"/>
      <c r="C99" s="96" t="s">
        <v>430</v>
      </c>
      <c r="D99" s="96"/>
      <c r="E99" s="96"/>
      <c r="F99" s="96"/>
      <c r="G99" s="96"/>
      <c r="H99" s="113"/>
      <c r="I99" s="96"/>
      <c r="J99" s="122"/>
      <c r="K99" s="97"/>
      <c r="L99" s="96"/>
      <c r="M99" s="98"/>
      <c r="N99" s="96"/>
      <c r="O99" s="96"/>
      <c r="P99" s="96"/>
      <c r="Q99" s="96"/>
      <c r="R99" s="96"/>
      <c r="S99" s="99"/>
    </row>
    <row r="100" spans="1:19" x14ac:dyDescent="0.35">
      <c r="A100" s="79"/>
      <c r="B100" s="79"/>
      <c r="C100" s="82" t="s">
        <v>416</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431</v>
      </c>
      <c r="D101" s="103"/>
      <c r="E101" s="103"/>
      <c r="F101" s="103"/>
      <c r="G101" s="103"/>
      <c r="H101" s="103"/>
      <c r="I101" s="103"/>
      <c r="J101" s="103"/>
      <c r="K101" s="104"/>
      <c r="L101" s="103"/>
      <c r="M101" s="105"/>
      <c r="N101" s="103"/>
      <c r="O101" s="103"/>
      <c r="P101" s="103"/>
      <c r="Q101" s="103"/>
      <c r="R101" s="103"/>
      <c r="S101" s="106"/>
    </row>
    <row r="102" spans="1:19" x14ac:dyDescent="0.35">
      <c r="A102" s="91" t="s">
        <v>170</v>
      </c>
      <c r="B102" s="79"/>
      <c r="C102" s="92" t="s">
        <v>417</v>
      </c>
      <c r="D102" s="92"/>
      <c r="E102" s="92"/>
      <c r="F102" s="92">
        <v>23</v>
      </c>
      <c r="G102" s="92" t="str">
        <f>CONCATENATE("USD,FLAT ",TEXT(F102,"0.00"))</f>
        <v>USD,FLAT 23.00</v>
      </c>
      <c r="H102" s="94" t="str">
        <f>TEXT(25,"0")</f>
        <v>25</v>
      </c>
      <c r="I102" s="92" t="s">
        <v>168</v>
      </c>
      <c r="J102" s="121">
        <v>2</v>
      </c>
      <c r="K102" s="94" t="str">
        <f>TEXT(50,"0")</f>
        <v>50</v>
      </c>
      <c r="L102" s="92"/>
      <c r="M102" s="94" t="str">
        <f>TEXT(26,"0")</f>
        <v>26</v>
      </c>
      <c r="N102" s="92" t="s">
        <v>339</v>
      </c>
      <c r="O102" s="92" t="s">
        <v>419</v>
      </c>
      <c r="P102" s="92" t="s">
        <v>414</v>
      </c>
      <c r="Q102" s="92"/>
      <c r="R102" s="92"/>
      <c r="S102" s="95"/>
    </row>
    <row r="103" spans="1:19" x14ac:dyDescent="0.35">
      <c r="A103" s="79"/>
      <c r="B103" s="79"/>
      <c r="C103" s="96" t="s">
        <v>430</v>
      </c>
      <c r="D103" s="96"/>
      <c r="E103" s="96"/>
      <c r="F103" s="96"/>
      <c r="G103" s="96"/>
      <c r="H103" s="113"/>
      <c r="I103" s="96"/>
      <c r="J103" s="122"/>
      <c r="K103" s="97"/>
      <c r="L103" s="96"/>
      <c r="M103" s="98"/>
      <c r="N103" s="96"/>
      <c r="O103" s="96"/>
      <c r="P103" s="96"/>
      <c r="Q103" s="96"/>
      <c r="R103" s="96"/>
      <c r="S103" s="99"/>
    </row>
    <row r="104" spans="1:19" x14ac:dyDescent="0.35">
      <c r="A104" s="79"/>
      <c r="B104" s="79"/>
      <c r="C104" s="82" t="s">
        <v>416</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431</v>
      </c>
      <c r="D105" s="103"/>
      <c r="E105" s="103"/>
      <c r="F105" s="103"/>
      <c r="G105" s="103"/>
      <c r="H105" s="103"/>
      <c r="I105" s="103"/>
      <c r="J105" s="103"/>
      <c r="K105" s="104"/>
      <c r="L105" s="103"/>
      <c r="M105" s="105"/>
      <c r="N105" s="103"/>
      <c r="O105" s="103"/>
      <c r="P105" s="103"/>
      <c r="Q105" s="103"/>
      <c r="R105" s="103"/>
      <c r="S105" s="106"/>
    </row>
    <row r="106" spans="1:19" x14ac:dyDescent="0.35">
      <c r="A106" s="91" t="s">
        <v>171</v>
      </c>
      <c r="B106" s="79"/>
      <c r="C106" s="92" t="s">
        <v>417</v>
      </c>
      <c r="D106" s="92"/>
      <c r="E106" s="92"/>
      <c r="F106" s="92">
        <v>25</v>
      </c>
      <c r="G106" s="92" t="str">
        <f>CONCATENATE("USD,FLAT ",TEXT(F106,"0.00"))</f>
        <v>USD,FLAT 25.00</v>
      </c>
      <c r="H106" s="94" t="str">
        <f>TEXT(25,"0")</f>
        <v>25</v>
      </c>
      <c r="I106" s="92" t="s">
        <v>168</v>
      </c>
      <c r="J106" s="121" t="str">
        <f>TEXT(72,"0")</f>
        <v>72</v>
      </c>
      <c r="K106" s="94" t="str">
        <f>TEXT(1800,"0")</f>
        <v>1800</v>
      </c>
      <c r="L106" s="92"/>
      <c r="M106" s="94" t="str">
        <f>TEXT(236,"0")</f>
        <v>236</v>
      </c>
      <c r="N106" s="92" t="s">
        <v>339</v>
      </c>
      <c r="O106" s="92" t="s">
        <v>419</v>
      </c>
      <c r="P106" s="92" t="s">
        <v>414</v>
      </c>
      <c r="Q106" s="92"/>
      <c r="R106" s="92"/>
      <c r="S106" s="95"/>
    </row>
    <row r="107" spans="1:19" x14ac:dyDescent="0.35">
      <c r="A107" s="79"/>
      <c r="B107" s="79"/>
      <c r="C107" s="96" t="s">
        <v>430</v>
      </c>
      <c r="D107" s="96"/>
      <c r="E107" s="96"/>
      <c r="F107" s="96"/>
      <c r="G107" s="96"/>
      <c r="H107" s="113"/>
      <c r="I107" s="96"/>
      <c r="J107" s="122"/>
      <c r="K107" s="97"/>
      <c r="L107" s="96"/>
      <c r="M107" s="97"/>
      <c r="N107" s="96"/>
      <c r="O107" s="96"/>
      <c r="P107" s="96"/>
      <c r="Q107" s="96"/>
      <c r="R107" s="96"/>
      <c r="S107" s="99"/>
    </row>
    <row r="108" spans="1:19" x14ac:dyDescent="0.35">
      <c r="A108" s="79"/>
      <c r="B108" s="79"/>
      <c r="C108" s="82" t="s">
        <v>416</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431</v>
      </c>
      <c r="D109" s="103"/>
      <c r="E109" s="103"/>
      <c r="F109" s="103"/>
      <c r="G109" s="103"/>
      <c r="H109" s="103"/>
      <c r="I109" s="103"/>
      <c r="J109" s="103"/>
      <c r="K109" s="104"/>
      <c r="L109" s="103"/>
      <c r="M109" s="104"/>
      <c r="N109" s="103"/>
      <c r="O109" s="103"/>
      <c r="P109" s="103"/>
      <c r="Q109" s="103"/>
      <c r="R109" s="103"/>
      <c r="S109" s="106"/>
    </row>
    <row r="110" spans="1:19" x14ac:dyDescent="0.35">
      <c r="A110" s="107" t="s">
        <v>432</v>
      </c>
      <c r="B110" s="107"/>
      <c r="C110" s="107" t="s">
        <v>417</v>
      </c>
      <c r="D110" s="107"/>
      <c r="E110" s="107"/>
      <c r="F110" s="107"/>
      <c r="G110" s="107"/>
      <c r="H110" s="107"/>
      <c r="I110" s="107"/>
      <c r="J110" s="123"/>
      <c r="K110" s="108"/>
      <c r="L110" s="107"/>
      <c r="M110" s="108"/>
      <c r="N110" s="107"/>
      <c r="O110" s="107"/>
      <c r="P110" s="107"/>
      <c r="Q110" s="107"/>
      <c r="R110" s="107"/>
      <c r="S110" s="109"/>
    </row>
    <row r="111" spans="1:19" x14ac:dyDescent="0.35">
      <c r="A111" s="107" t="s">
        <v>432</v>
      </c>
      <c r="B111" s="107"/>
      <c r="C111" s="107" t="s">
        <v>430</v>
      </c>
      <c r="D111" s="107"/>
      <c r="E111" s="107"/>
      <c r="F111" s="107"/>
      <c r="G111" s="107"/>
      <c r="H111" s="107"/>
      <c r="I111" s="107"/>
      <c r="J111" s="123"/>
      <c r="K111" s="108"/>
      <c r="L111" s="107"/>
      <c r="M111" s="108"/>
      <c r="N111" s="107"/>
      <c r="O111" s="107"/>
      <c r="P111" s="107"/>
      <c r="Q111" s="107"/>
      <c r="R111" s="107"/>
      <c r="S111" s="109"/>
    </row>
    <row r="112" spans="1:19" x14ac:dyDescent="0.35">
      <c r="A112" s="110" t="s">
        <v>433</v>
      </c>
      <c r="B112" s="110"/>
      <c r="C112" s="110" t="s">
        <v>417</v>
      </c>
      <c r="D112" s="110"/>
      <c r="E112" s="110"/>
      <c r="F112" s="110"/>
      <c r="G112" s="110"/>
      <c r="H112" s="110"/>
      <c r="I112" s="110"/>
      <c r="J112" s="124"/>
      <c r="K112" s="111"/>
      <c r="L112" s="110"/>
      <c r="M112" s="111"/>
      <c r="N112" s="110"/>
      <c r="O112" s="110"/>
      <c r="P112" s="110"/>
      <c r="Q112" s="110"/>
      <c r="R112" s="110"/>
      <c r="S112" s="112"/>
    </row>
    <row r="113" spans="1:19" x14ac:dyDescent="0.35">
      <c r="A113" s="110" t="s">
        <v>433</v>
      </c>
      <c r="B113" s="110"/>
      <c r="C113" s="110" t="s">
        <v>430</v>
      </c>
      <c r="D113" s="110"/>
      <c r="E113" s="110"/>
      <c r="F113" s="110"/>
      <c r="G113" s="110"/>
      <c r="H113" s="110"/>
      <c r="I113" s="110"/>
      <c r="J113" s="124"/>
      <c r="K113" s="111"/>
      <c r="L113" s="110"/>
      <c r="M113" s="111"/>
      <c r="N113" s="110"/>
      <c r="O113" s="110"/>
      <c r="P113" s="110"/>
      <c r="Q113" s="110"/>
      <c r="R113" s="110"/>
      <c r="S113" s="112"/>
    </row>
    <row r="114" spans="1:19" x14ac:dyDescent="0.35">
      <c r="A114" s="91" t="s">
        <v>194</v>
      </c>
      <c r="B114" s="79"/>
      <c r="C114" s="92" t="s">
        <v>417</v>
      </c>
      <c r="D114" s="92"/>
      <c r="E114" s="92"/>
      <c r="F114" s="125">
        <v>0.25</v>
      </c>
      <c r="G114" s="92" t="str">
        <f>CONCATENATE("USD,FLAT ",TEXT(F114,"0.00"))</f>
        <v>USD,FLAT 0.25</v>
      </c>
      <c r="H114" s="92">
        <v>0.25</v>
      </c>
      <c r="I114" s="92" t="s">
        <v>168</v>
      </c>
      <c r="J114" s="121">
        <v>2</v>
      </c>
      <c r="K114" s="94" t="str">
        <f>TEXT(0.5,"0.0")</f>
        <v>0.5</v>
      </c>
      <c r="L114" s="92"/>
      <c r="M114" s="94" t="str">
        <f>TEXT(26,"0")</f>
        <v>26</v>
      </c>
      <c r="N114" s="92" t="s">
        <v>179</v>
      </c>
      <c r="O114" s="92" t="s">
        <v>419</v>
      </c>
      <c r="P114" s="92" t="s">
        <v>434</v>
      </c>
      <c r="Q114" s="92"/>
      <c r="R114" s="92"/>
      <c r="S114" s="95"/>
    </row>
    <row r="115" spans="1:19" x14ac:dyDescent="0.35">
      <c r="A115" s="79"/>
      <c r="B115" s="79"/>
      <c r="C115" s="96" t="s">
        <v>430</v>
      </c>
      <c r="D115" s="96"/>
      <c r="E115" s="96"/>
      <c r="F115" s="96"/>
      <c r="G115" s="96"/>
      <c r="H115" s="96"/>
      <c r="I115" s="113"/>
      <c r="J115" s="122"/>
      <c r="K115" s="97"/>
      <c r="L115" s="96"/>
      <c r="M115" s="98"/>
      <c r="N115" s="96"/>
      <c r="O115" s="96"/>
      <c r="P115" s="96"/>
      <c r="Q115" s="96"/>
      <c r="R115" s="96"/>
      <c r="S115" s="99"/>
    </row>
    <row r="116" spans="1:19" x14ac:dyDescent="0.35">
      <c r="A116" s="79"/>
      <c r="B116" s="79"/>
      <c r="C116" s="82" t="s">
        <v>416</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431</v>
      </c>
      <c r="D117" s="103"/>
      <c r="E117" s="103"/>
      <c r="F117" s="103"/>
      <c r="G117" s="103"/>
      <c r="H117" s="103"/>
      <c r="I117" s="103"/>
      <c r="J117" s="103"/>
      <c r="K117" s="104"/>
      <c r="L117" s="103"/>
      <c r="M117" s="105"/>
      <c r="N117" s="103"/>
      <c r="O117" s="103"/>
      <c r="P117" s="103"/>
      <c r="Q117" s="103"/>
      <c r="R117" s="103"/>
      <c r="S117" s="106"/>
    </row>
    <row r="118" spans="1:19" x14ac:dyDescent="0.35">
      <c r="A118" s="91" t="s">
        <v>200</v>
      </c>
      <c r="B118" s="79"/>
      <c r="C118" s="92" t="s">
        <v>417</v>
      </c>
      <c r="D118" s="92"/>
      <c r="E118" s="92"/>
      <c r="F118" s="125">
        <v>112.04</v>
      </c>
      <c r="G118" s="92" t="str">
        <f>CONCATENATE("USD,FLAT ",TEXT(F118,"0.00"))</f>
        <v>USD,FLAT 112.04</v>
      </c>
      <c r="H118" s="92" t="str">
        <f>TEXT(112.04,"0.00")</f>
        <v>112.04</v>
      </c>
      <c r="I118" s="92" t="s">
        <v>168</v>
      </c>
      <c r="J118" s="121">
        <v>2</v>
      </c>
      <c r="K118" s="94" t="str">
        <f>TEXT(224.08,"0.00")</f>
        <v>224.08</v>
      </c>
      <c r="L118" s="92"/>
      <c r="M118" s="94" t="str">
        <f>TEXT(26,"0")</f>
        <v>26</v>
      </c>
      <c r="N118" s="92" t="s">
        <v>179</v>
      </c>
      <c r="O118" s="92" t="s">
        <v>419</v>
      </c>
      <c r="P118" s="92" t="s">
        <v>434</v>
      </c>
      <c r="Q118" s="92"/>
      <c r="R118" s="92"/>
      <c r="S118" s="95"/>
    </row>
    <row r="119" spans="1:19" x14ac:dyDescent="0.35">
      <c r="A119" s="79"/>
      <c r="B119" s="79"/>
      <c r="C119" s="96" t="s">
        <v>430</v>
      </c>
      <c r="D119" s="96"/>
      <c r="E119" s="96"/>
      <c r="F119" s="96"/>
      <c r="G119" s="96"/>
      <c r="H119" s="96"/>
      <c r="I119" s="113"/>
      <c r="J119" s="122"/>
      <c r="K119" s="97"/>
      <c r="L119" s="96"/>
      <c r="M119" s="97"/>
      <c r="N119" s="96"/>
      <c r="O119" s="96"/>
      <c r="P119" s="96"/>
      <c r="Q119" s="96"/>
      <c r="R119" s="96"/>
      <c r="S119" s="99"/>
    </row>
    <row r="120" spans="1:19" x14ac:dyDescent="0.35">
      <c r="A120" s="79"/>
      <c r="B120" s="79"/>
      <c r="C120" s="82" t="s">
        <v>416</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431</v>
      </c>
      <c r="D121" s="103"/>
      <c r="E121" s="103"/>
      <c r="F121" s="103"/>
      <c r="G121" s="103"/>
      <c r="H121" s="103"/>
      <c r="I121" s="103"/>
      <c r="J121" s="103"/>
      <c r="K121" s="104"/>
      <c r="L121" s="103"/>
      <c r="M121" s="104"/>
      <c r="N121" s="103"/>
      <c r="O121" s="103"/>
      <c r="P121" s="103"/>
      <c r="Q121" s="103"/>
      <c r="R121" s="103"/>
      <c r="S121" s="106"/>
    </row>
    <row r="122" spans="1:19" x14ac:dyDescent="0.35">
      <c r="A122" s="91" t="s">
        <v>203</v>
      </c>
      <c r="B122" s="79"/>
      <c r="C122" s="92" t="s">
        <v>417</v>
      </c>
      <c r="D122" s="92"/>
      <c r="E122" s="92"/>
      <c r="F122" s="125">
        <v>276.25</v>
      </c>
      <c r="G122" s="92" t="str">
        <f>CONCATENATE("USD,FLAT ",TEXT(F122,"0.00"))</f>
        <v>USD,FLAT 276.25</v>
      </c>
      <c r="H122" s="92" t="str">
        <f>TEXT(276.25,"0.00")</f>
        <v>276.25</v>
      </c>
      <c r="I122" s="92" t="s">
        <v>168</v>
      </c>
      <c r="J122" s="121"/>
      <c r="K122" s="94" t="str">
        <f>TEXT(13812.5,"0.0")</f>
        <v>13812.5</v>
      </c>
      <c r="L122" s="92"/>
      <c r="M122" s="93">
        <v>0</v>
      </c>
      <c r="N122" s="92" t="s">
        <v>179</v>
      </c>
      <c r="O122" s="92" t="s">
        <v>419</v>
      </c>
      <c r="P122" s="92" t="s">
        <v>414</v>
      </c>
      <c r="Q122" s="92"/>
      <c r="R122" s="92"/>
      <c r="S122" s="95"/>
    </row>
    <row r="123" spans="1:19" x14ac:dyDescent="0.35">
      <c r="A123" s="79"/>
      <c r="B123" s="79"/>
      <c r="C123" s="96" t="s">
        <v>430</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416</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431</v>
      </c>
      <c r="D125" s="103"/>
      <c r="E125" s="103"/>
      <c r="F125" s="103"/>
      <c r="G125" s="103"/>
      <c r="H125" s="103"/>
      <c r="I125" s="103"/>
      <c r="J125" s="103"/>
      <c r="K125" s="104"/>
      <c r="L125" s="103"/>
      <c r="M125" s="104"/>
      <c r="N125" s="103"/>
      <c r="O125" s="103"/>
      <c r="P125" s="103"/>
      <c r="Q125" s="103"/>
      <c r="R125" s="103"/>
      <c r="S125" s="106"/>
    </row>
    <row r="126" spans="1:19" x14ac:dyDescent="0.35">
      <c r="A126" s="91" t="s">
        <v>206</v>
      </c>
      <c r="B126" s="79"/>
      <c r="C126" s="92" t="s">
        <v>417</v>
      </c>
      <c r="D126" s="92"/>
      <c r="E126" s="92"/>
      <c r="F126" s="125">
        <v>112.04</v>
      </c>
      <c r="G126" s="92" t="str">
        <f>CONCATENATE("USD,FLAT ",TEXT(F126,"0.00"))</f>
        <v>USD,FLAT 112.04</v>
      </c>
      <c r="H126" s="92" t="str">
        <f>TEXT(112.04,"0.00")</f>
        <v>112.04</v>
      </c>
      <c r="I126" s="92" t="s">
        <v>168</v>
      </c>
      <c r="J126" s="121"/>
      <c r="K126" s="94" t="str">
        <f>TEXT(5602,"0")</f>
        <v>5602</v>
      </c>
      <c r="L126" s="92"/>
      <c r="M126" s="93">
        <v>0</v>
      </c>
      <c r="N126" s="92" t="s">
        <v>179</v>
      </c>
      <c r="O126" s="92" t="s">
        <v>419</v>
      </c>
      <c r="P126" s="92" t="s">
        <v>414</v>
      </c>
      <c r="Q126" s="92"/>
      <c r="R126" s="92"/>
      <c r="S126" s="95"/>
    </row>
    <row r="127" spans="1:19" x14ac:dyDescent="0.35">
      <c r="A127" s="79"/>
      <c r="B127" s="79"/>
      <c r="C127" s="96" t="s">
        <v>430</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416</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431</v>
      </c>
      <c r="D129" s="103"/>
      <c r="E129" s="103"/>
      <c r="F129" s="103"/>
      <c r="G129" s="103"/>
      <c r="H129" s="103"/>
      <c r="I129" s="103"/>
      <c r="J129" s="103"/>
      <c r="K129" s="104"/>
      <c r="L129" s="103"/>
      <c r="M129" s="104"/>
      <c r="N129" s="103"/>
      <c r="O129" s="103"/>
      <c r="P129" s="103"/>
      <c r="Q129" s="103"/>
      <c r="R129" s="103"/>
      <c r="S129" s="106"/>
    </row>
    <row r="130" spans="1:19" x14ac:dyDescent="0.35">
      <c r="A130" s="110" t="s">
        <v>435</v>
      </c>
      <c r="B130" s="110"/>
      <c r="C130" s="110" t="s">
        <v>417</v>
      </c>
      <c r="D130" s="110"/>
      <c r="E130" s="110"/>
      <c r="F130" s="110"/>
      <c r="G130" s="110"/>
      <c r="H130" s="110"/>
      <c r="I130" s="110"/>
      <c r="J130" s="124"/>
      <c r="K130" s="111"/>
      <c r="L130" s="110"/>
      <c r="M130" s="111"/>
      <c r="N130" s="110"/>
      <c r="O130" s="110"/>
      <c r="P130" s="110"/>
      <c r="Q130" s="110"/>
      <c r="R130" s="110"/>
      <c r="S130" s="112"/>
    </row>
    <row r="131" spans="1:19" x14ac:dyDescent="0.35">
      <c r="A131" s="110" t="s">
        <v>435</v>
      </c>
      <c r="B131" s="110"/>
      <c r="C131" s="110" t="s">
        <v>430</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207</v>
      </c>
      <c r="B132" s="79"/>
      <c r="C132" s="92" t="s">
        <v>417</v>
      </c>
      <c r="D132" s="92"/>
      <c r="E132" s="92"/>
      <c r="F132" s="126" t="s">
        <v>445</v>
      </c>
      <c r="G132" s="94" t="s">
        <v>410</v>
      </c>
      <c r="H132" s="126" t="str">
        <f>TEXT(24.33,"0.00")</f>
        <v>24.33</v>
      </c>
      <c r="I132" s="92" t="s">
        <v>168</v>
      </c>
      <c r="J132" s="121">
        <v>2</v>
      </c>
      <c r="K132" s="94" t="str">
        <f>TEXT(48.66,"0.00")</f>
        <v>48.66</v>
      </c>
      <c r="L132" s="92"/>
      <c r="M132" s="94" t="str">
        <f>TEXT(26,"0")</f>
        <v>26</v>
      </c>
      <c r="N132" s="92"/>
      <c r="O132" s="92" t="s">
        <v>415</v>
      </c>
      <c r="P132" s="92" t="s">
        <v>418</v>
      </c>
      <c r="Q132" s="92"/>
      <c r="R132" s="92"/>
      <c r="S132" s="95"/>
    </row>
    <row r="133" spans="1:19" x14ac:dyDescent="0.35">
      <c r="A133" s="79"/>
      <c r="B133" s="79"/>
      <c r="C133" s="96" t="s">
        <v>430</v>
      </c>
      <c r="D133" s="96"/>
      <c r="E133" s="96"/>
      <c r="F133" s="96"/>
      <c r="G133" s="96"/>
      <c r="H133" s="96"/>
      <c r="I133" s="96"/>
      <c r="J133" s="122"/>
      <c r="K133" s="97"/>
      <c r="L133" s="96"/>
      <c r="M133" s="98"/>
      <c r="N133" s="96"/>
      <c r="O133" s="96"/>
      <c r="P133" s="96"/>
      <c r="Q133" s="96"/>
      <c r="R133" s="96"/>
      <c r="S133" s="99"/>
    </row>
    <row r="134" spans="1:19" x14ac:dyDescent="0.35">
      <c r="A134" s="79"/>
      <c r="B134" s="79"/>
      <c r="C134" s="82" t="s">
        <v>416</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431</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214</v>
      </c>
      <c r="B136" s="79"/>
      <c r="C136" s="92" t="s">
        <v>417</v>
      </c>
      <c r="D136" s="92"/>
      <c r="E136" s="92"/>
      <c r="F136" s="126" t="s">
        <v>446</v>
      </c>
      <c r="G136" s="94" t="s">
        <v>420</v>
      </c>
      <c r="H136" s="126" t="str">
        <f>TEXT(25.33,"0.00")</f>
        <v>25.33</v>
      </c>
      <c r="I136" s="92" t="s">
        <v>168</v>
      </c>
      <c r="J136" s="121">
        <v>2</v>
      </c>
      <c r="K136" s="94" t="str">
        <f>TEXT(50.66,"0.00")</f>
        <v>50.66</v>
      </c>
      <c r="L136" s="92"/>
      <c r="M136" s="94" t="str">
        <f>TEXT(26,"0")</f>
        <v>26</v>
      </c>
      <c r="N136" s="92"/>
      <c r="O136" s="92" t="s">
        <v>415</v>
      </c>
      <c r="P136" s="92" t="s">
        <v>418</v>
      </c>
      <c r="Q136" s="92"/>
      <c r="R136" s="92"/>
      <c r="S136" s="95"/>
    </row>
    <row r="137" spans="1:19" x14ac:dyDescent="0.35">
      <c r="A137" s="79"/>
      <c r="B137" s="79"/>
      <c r="C137" s="96" t="s">
        <v>430</v>
      </c>
      <c r="D137" s="96"/>
      <c r="E137" s="96"/>
      <c r="F137" s="96"/>
      <c r="G137" s="96"/>
      <c r="H137" s="96"/>
      <c r="I137" s="96"/>
      <c r="J137" s="122"/>
      <c r="K137" s="97"/>
      <c r="L137" s="96"/>
      <c r="M137" s="98"/>
      <c r="N137" s="96"/>
      <c r="O137" s="96"/>
      <c r="P137" s="96"/>
      <c r="Q137" s="96"/>
      <c r="R137" s="96"/>
      <c r="S137" s="99"/>
    </row>
    <row r="138" spans="1:19" x14ac:dyDescent="0.35">
      <c r="A138" s="79"/>
      <c r="B138" s="79"/>
      <c r="C138" s="82" t="s">
        <v>416</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431</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216</v>
      </c>
      <c r="B140" s="79"/>
      <c r="C140" s="92" t="s">
        <v>417</v>
      </c>
      <c r="D140" s="92"/>
      <c r="E140" s="92"/>
      <c r="F140" s="126" t="s">
        <v>447</v>
      </c>
      <c r="G140" s="94" t="s">
        <v>436</v>
      </c>
      <c r="H140" s="126" t="str">
        <f>TEXT(38.12,"0.00")</f>
        <v>38.12</v>
      </c>
      <c r="I140" s="92" t="s">
        <v>168</v>
      </c>
      <c r="J140" s="121">
        <v>2</v>
      </c>
      <c r="K140" s="94" t="str">
        <f>TEXT(76.24,"0.00")</f>
        <v>76.24</v>
      </c>
      <c r="L140" s="92"/>
      <c r="M140" s="94" t="str">
        <f>TEXT(26,"0")</f>
        <v>26</v>
      </c>
      <c r="N140" s="92" t="s">
        <v>179</v>
      </c>
      <c r="O140" s="92" t="s">
        <v>419</v>
      </c>
      <c r="P140" s="92" t="s">
        <v>418</v>
      </c>
      <c r="Q140" s="92"/>
      <c r="R140" s="92"/>
      <c r="S140" s="95"/>
    </row>
    <row r="141" spans="1:19" x14ac:dyDescent="0.35">
      <c r="A141" s="79"/>
      <c r="B141" s="79"/>
      <c r="C141" s="96" t="s">
        <v>430</v>
      </c>
      <c r="D141" s="96"/>
      <c r="E141" s="96"/>
      <c r="F141" s="96"/>
      <c r="G141" s="96"/>
      <c r="H141" s="96"/>
      <c r="I141" s="96"/>
      <c r="J141" s="122"/>
      <c r="K141" s="97"/>
      <c r="L141" s="96"/>
      <c r="M141" s="97"/>
      <c r="N141" s="96"/>
      <c r="O141" s="96"/>
      <c r="P141" s="96"/>
      <c r="Q141" s="96"/>
      <c r="R141" s="96"/>
      <c r="S141" s="99"/>
    </row>
    <row r="142" spans="1:19" x14ac:dyDescent="0.35">
      <c r="A142" s="79"/>
      <c r="B142" s="79"/>
      <c r="C142" s="82" t="s">
        <v>416</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431</v>
      </c>
      <c r="D143" s="103"/>
      <c r="E143" s="103"/>
      <c r="F143" s="103"/>
      <c r="G143" s="103"/>
      <c r="H143" s="103"/>
      <c r="I143" s="103"/>
      <c r="J143" s="103"/>
      <c r="K143" s="104"/>
      <c r="L143" s="103"/>
      <c r="M143" s="104"/>
      <c r="N143" s="103"/>
      <c r="O143" s="103"/>
      <c r="P143" s="103"/>
      <c r="Q143" s="103"/>
      <c r="R143" s="103"/>
      <c r="S143" s="106"/>
    </row>
    <row r="144" spans="1:19" x14ac:dyDescent="0.35">
      <c r="A144" s="110" t="s">
        <v>437</v>
      </c>
      <c r="B144" s="110"/>
      <c r="C144" s="110" t="s">
        <v>417</v>
      </c>
      <c r="D144" s="110"/>
      <c r="E144" s="110"/>
      <c r="F144" s="110"/>
      <c r="G144" s="110"/>
      <c r="H144" s="110"/>
      <c r="I144" s="110"/>
      <c r="J144" s="124"/>
      <c r="K144" s="111"/>
      <c r="L144" s="110"/>
      <c r="M144" s="111"/>
      <c r="N144" s="110"/>
      <c r="O144" s="110"/>
      <c r="P144" s="110"/>
      <c r="Q144" s="110"/>
      <c r="R144" s="110"/>
      <c r="S144" s="112"/>
    </row>
    <row r="145" spans="1:19" x14ac:dyDescent="0.35">
      <c r="A145" s="110" t="s">
        <v>437</v>
      </c>
      <c r="B145" s="110"/>
      <c r="C145" s="110" t="s">
        <v>430</v>
      </c>
      <c r="D145" s="110"/>
      <c r="E145" s="110"/>
      <c r="F145" s="110"/>
      <c r="G145" s="110"/>
      <c r="H145" s="110"/>
      <c r="I145" s="110"/>
      <c r="J145" s="124"/>
      <c r="K145" s="111"/>
      <c r="L145" s="110"/>
      <c r="M145" s="111"/>
      <c r="N145" s="110"/>
      <c r="O145" s="110"/>
      <c r="P145" s="110"/>
      <c r="Q145" s="110"/>
      <c r="R145" s="110"/>
      <c r="S145" s="112"/>
    </row>
    <row r="146" spans="1:19" x14ac:dyDescent="0.35">
      <c r="A146" s="91" t="s">
        <v>219</v>
      </c>
      <c r="B146" s="79"/>
      <c r="C146" s="92" t="s">
        <v>417</v>
      </c>
      <c r="D146" s="92"/>
      <c r="E146" s="92"/>
      <c r="F146" s="114">
        <v>0.15</v>
      </c>
      <c r="G146" s="92" t="str">
        <f>CONCATENATE("USD,FLAT ",TEXT(F146,"0.00"))</f>
        <v>USD,FLAT 0.15</v>
      </c>
      <c r="H146" s="114" t="str">
        <f>TEXT(3000.15,"0.00")</f>
        <v>3000.15</v>
      </c>
      <c r="I146" s="92" t="s">
        <v>168</v>
      </c>
      <c r="J146" s="121">
        <v>2</v>
      </c>
      <c r="K146" s="127" t="str">
        <f>TEXT(6000.3,"0.0")</f>
        <v>6000.3</v>
      </c>
      <c r="L146" s="92"/>
      <c r="M146" s="94" t="str">
        <f>TEXT(26,"0")</f>
        <v>26</v>
      </c>
      <c r="N146" s="92" t="s">
        <v>179</v>
      </c>
      <c r="O146" s="92" t="s">
        <v>419</v>
      </c>
      <c r="P146" s="92" t="s">
        <v>418</v>
      </c>
      <c r="Q146" s="92"/>
      <c r="R146" s="92"/>
      <c r="S146" s="95"/>
    </row>
    <row r="147" spans="1:19" x14ac:dyDescent="0.35">
      <c r="A147" s="79"/>
      <c r="B147" s="79"/>
      <c r="C147" s="96" t="s">
        <v>430</v>
      </c>
      <c r="D147" s="96"/>
      <c r="E147" s="96"/>
      <c r="F147" s="96"/>
      <c r="G147" s="96"/>
      <c r="H147" s="96"/>
      <c r="I147" s="96"/>
      <c r="J147" s="122"/>
      <c r="K147" s="97"/>
      <c r="L147" s="96"/>
      <c r="M147" s="98"/>
      <c r="N147" s="96"/>
      <c r="O147" s="96"/>
      <c r="P147" s="96"/>
      <c r="Q147" s="96"/>
      <c r="R147" s="96"/>
      <c r="S147" s="99"/>
    </row>
    <row r="148" spans="1:19" x14ac:dyDescent="0.35">
      <c r="A148" s="79"/>
      <c r="B148" s="79"/>
      <c r="C148" s="82" t="s">
        <v>416</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431</v>
      </c>
      <c r="D149" s="103"/>
      <c r="E149" s="103"/>
      <c r="F149" s="103"/>
      <c r="G149" s="103"/>
      <c r="H149" s="103"/>
      <c r="I149" s="103"/>
      <c r="J149" s="103"/>
      <c r="K149" s="104"/>
      <c r="L149" s="103"/>
      <c r="M149" s="105"/>
      <c r="N149" s="103"/>
      <c r="O149" s="103"/>
      <c r="P149" s="103"/>
      <c r="Q149" s="103"/>
      <c r="R149" s="103"/>
      <c r="S149" s="106"/>
    </row>
    <row r="150" spans="1:19" x14ac:dyDescent="0.35">
      <c r="A150" s="91" t="s">
        <v>222</v>
      </c>
      <c r="B150" s="79"/>
      <c r="C150" s="92" t="s">
        <v>417</v>
      </c>
      <c r="D150" s="92"/>
      <c r="E150" s="92"/>
      <c r="F150" s="114">
        <v>2.0499999999999998</v>
      </c>
      <c r="G150" s="92" t="str">
        <f>CONCATENATE("USD,FLAT ",TEXT(F150,"0.00"))</f>
        <v>USD,FLAT 2.05</v>
      </c>
      <c r="H150" s="114" t="str">
        <f>TEXT(28.33,"0.00")</f>
        <v>28.33</v>
      </c>
      <c r="I150" s="92" t="s">
        <v>168</v>
      </c>
      <c r="J150" s="121">
        <v>2</v>
      </c>
      <c r="K150" s="94" t="str">
        <f>TEXT(56.66,"0.00")</f>
        <v>56.66</v>
      </c>
      <c r="L150" s="92"/>
      <c r="M150" s="94" t="str">
        <f>TEXT(26,"0")</f>
        <v>26</v>
      </c>
      <c r="N150" s="92"/>
      <c r="O150" s="92" t="s">
        <v>415</v>
      </c>
      <c r="P150" s="92" t="s">
        <v>418</v>
      </c>
      <c r="Q150" s="92"/>
      <c r="R150" s="92"/>
      <c r="S150" s="95"/>
    </row>
    <row r="151" spans="1:19" x14ac:dyDescent="0.35">
      <c r="A151" s="79"/>
      <c r="B151" s="79"/>
      <c r="C151" s="96" t="s">
        <v>430</v>
      </c>
      <c r="D151" s="96"/>
      <c r="E151" s="96"/>
      <c r="F151" s="96"/>
      <c r="G151" s="96"/>
      <c r="H151" s="96"/>
      <c r="I151" s="96"/>
      <c r="J151" s="122"/>
      <c r="K151" s="97"/>
      <c r="L151" s="96"/>
      <c r="M151" s="97"/>
      <c r="N151" s="96"/>
      <c r="O151" s="96"/>
      <c r="P151" s="96"/>
      <c r="Q151" s="96"/>
      <c r="R151" s="96"/>
      <c r="S151" s="99"/>
    </row>
    <row r="152" spans="1:19" x14ac:dyDescent="0.35">
      <c r="A152" s="79"/>
      <c r="B152" s="79"/>
      <c r="C152" s="82" t="s">
        <v>416</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431</v>
      </c>
      <c r="D153" s="103"/>
      <c r="E153" s="103"/>
      <c r="F153" s="103"/>
      <c r="G153" s="103"/>
      <c r="H153" s="103"/>
      <c r="I153" s="103"/>
      <c r="J153" s="103"/>
      <c r="K153" s="104"/>
      <c r="L153" s="103"/>
      <c r="M153" s="104"/>
      <c r="N153" s="103"/>
      <c r="O153" s="103"/>
      <c r="P153" s="103"/>
      <c r="Q153" s="103"/>
      <c r="R153" s="103"/>
      <c r="S153" s="106"/>
    </row>
    <row r="154" spans="1:19" x14ac:dyDescent="0.35">
      <c r="A154" s="91" t="s">
        <v>222</v>
      </c>
      <c r="B154" s="79" t="s">
        <v>438</v>
      </c>
      <c r="C154" s="92" t="s">
        <v>417</v>
      </c>
      <c r="D154" s="92"/>
      <c r="E154" s="92"/>
      <c r="F154" s="114">
        <v>0.75</v>
      </c>
      <c r="G154" s="92" t="str">
        <f>CONCATENATE("USD,FLAT ",TEXT(F154,"0.00"))</f>
        <v>USD,FLAT 0.75</v>
      </c>
      <c r="H154" s="114" t="str">
        <f>TEXT(0.75,"0.00")</f>
        <v>0.75</v>
      </c>
      <c r="I154" s="92" t="s">
        <v>168</v>
      </c>
      <c r="J154" s="121">
        <v>2</v>
      </c>
      <c r="K154" s="94" t="str">
        <f>TEXT(1.5,"0.0")</f>
        <v>1.5</v>
      </c>
      <c r="L154" s="92"/>
      <c r="M154" s="94" t="str">
        <f>TEXT(26,"0")</f>
        <v>26</v>
      </c>
      <c r="N154" s="92" t="s">
        <v>179</v>
      </c>
      <c r="O154" s="92" t="s">
        <v>419</v>
      </c>
      <c r="P154" s="92" t="s">
        <v>418</v>
      </c>
      <c r="Q154" s="92"/>
      <c r="R154" s="92"/>
      <c r="S154" s="95"/>
    </row>
    <row r="155" spans="1:19" x14ac:dyDescent="0.35">
      <c r="A155" s="79"/>
      <c r="B155" s="79"/>
      <c r="C155" s="96" t="s">
        <v>430</v>
      </c>
      <c r="D155" s="96"/>
      <c r="E155" s="96"/>
      <c r="F155" s="96"/>
      <c r="G155" s="96"/>
      <c r="H155" s="96"/>
      <c r="I155" s="96"/>
      <c r="J155" s="122"/>
      <c r="K155" s="97"/>
      <c r="L155" s="96"/>
      <c r="M155" s="98"/>
      <c r="N155" s="96"/>
      <c r="O155" s="96"/>
      <c r="P155" s="96"/>
      <c r="Q155" s="96"/>
      <c r="R155" s="96"/>
      <c r="S155" s="99"/>
    </row>
    <row r="156" spans="1:19" x14ac:dyDescent="0.35">
      <c r="A156" s="79"/>
      <c r="B156" s="79"/>
      <c r="C156" s="82" t="s">
        <v>416</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431</v>
      </c>
      <c r="D157" s="103"/>
      <c r="E157" s="103"/>
      <c r="F157" s="103"/>
      <c r="G157" s="103"/>
      <c r="H157" s="103"/>
      <c r="I157" s="103"/>
      <c r="J157" s="103"/>
      <c r="K157" s="104"/>
      <c r="L157" s="103"/>
      <c r="M157" s="105"/>
      <c r="N157" s="103"/>
      <c r="O157" s="103"/>
      <c r="P157" s="103"/>
      <c r="Q157" s="103"/>
      <c r="R157" s="103"/>
      <c r="S157" s="106"/>
    </row>
    <row r="158" spans="1:19" x14ac:dyDescent="0.35">
      <c r="A158" s="91" t="s">
        <v>222</v>
      </c>
      <c r="B158" s="79" t="s">
        <v>421</v>
      </c>
      <c r="C158" s="92" t="s">
        <v>417</v>
      </c>
      <c r="D158" s="92"/>
      <c r="E158" s="92"/>
      <c r="F158" s="114" t="str">
        <f>TEXT(28.34,"0.00")</f>
        <v>28.34</v>
      </c>
      <c r="G158" s="92" t="str">
        <f>CONCATENATE("USD,FLAT ",TEXT(F158,"0.00"))</f>
        <v>USD,FLAT 28.34</v>
      </c>
      <c r="H158" s="114" t="str">
        <f>TEXT(28.34,"0.00")</f>
        <v>28.34</v>
      </c>
      <c r="I158" s="92" t="s">
        <v>168</v>
      </c>
      <c r="J158" s="121">
        <v>2</v>
      </c>
      <c r="K158" s="94" t="str">
        <f>TEXT(56.68,"0.00")</f>
        <v>56.68</v>
      </c>
      <c r="L158" s="92"/>
      <c r="M158" s="94" t="str">
        <f>TEXT(26,"0")</f>
        <v>26</v>
      </c>
      <c r="N158" s="92"/>
      <c r="O158" s="92" t="s">
        <v>415</v>
      </c>
      <c r="P158" s="92" t="s">
        <v>418</v>
      </c>
      <c r="Q158" s="92"/>
      <c r="R158" s="92"/>
      <c r="S158" s="95"/>
    </row>
    <row r="159" spans="1:19" x14ac:dyDescent="0.35">
      <c r="A159" s="79"/>
      <c r="B159" s="79"/>
      <c r="C159" s="96" t="s">
        <v>430</v>
      </c>
      <c r="D159" s="96"/>
      <c r="E159" s="96"/>
      <c r="F159" s="96"/>
      <c r="G159" s="96"/>
      <c r="H159" s="96"/>
      <c r="I159" s="96"/>
      <c r="J159" s="122"/>
      <c r="K159" s="97"/>
      <c r="L159" s="96"/>
      <c r="M159" s="97"/>
      <c r="N159" s="96"/>
      <c r="O159" s="96"/>
      <c r="P159" s="96"/>
      <c r="Q159" s="96"/>
      <c r="R159" s="96"/>
      <c r="S159" s="99"/>
    </row>
    <row r="160" spans="1:19" x14ac:dyDescent="0.35">
      <c r="A160" s="79"/>
      <c r="B160" s="79"/>
      <c r="C160" s="82" t="s">
        <v>416</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431</v>
      </c>
      <c r="D161" s="103"/>
      <c r="E161" s="103"/>
      <c r="F161" s="103"/>
      <c r="G161" s="103"/>
      <c r="H161" s="103"/>
      <c r="I161" s="103"/>
      <c r="J161" s="103"/>
      <c r="K161" s="104"/>
      <c r="L161" s="103"/>
      <c r="M161" s="104"/>
      <c r="N161" s="103"/>
      <c r="O161" s="103"/>
      <c r="P161" s="103"/>
      <c r="Q161" s="103"/>
      <c r="R161" s="103"/>
      <c r="S161" s="106"/>
    </row>
    <row r="162" spans="1:19" x14ac:dyDescent="0.35">
      <c r="A162" s="91" t="s">
        <v>222</v>
      </c>
      <c r="B162" s="79" t="s">
        <v>439</v>
      </c>
      <c r="C162" s="92" t="s">
        <v>417</v>
      </c>
      <c r="D162" s="92"/>
      <c r="E162" s="92"/>
      <c r="F162" s="114">
        <v>6.67</v>
      </c>
      <c r="G162" s="92" t="str">
        <f>CONCATENATE("USD,FLAT ",TEXT(F162,"0.00"))</f>
        <v>USD,FLAT 6.67</v>
      </c>
      <c r="H162" s="114" t="str">
        <f>TEXT(6.67,"0.00")</f>
        <v>6.67</v>
      </c>
      <c r="I162" s="92" t="s">
        <v>168</v>
      </c>
      <c r="J162" s="121">
        <v>2</v>
      </c>
      <c r="K162" s="94" t="str">
        <f>TEXT(13.34,"0.00")</f>
        <v>13.34</v>
      </c>
      <c r="L162" s="114"/>
      <c r="M162" s="94" t="str">
        <f>TEXT(26,"0")</f>
        <v>26</v>
      </c>
      <c r="N162" s="92" t="s">
        <v>179</v>
      </c>
      <c r="O162" s="92" t="s">
        <v>419</v>
      </c>
      <c r="P162" s="92" t="s">
        <v>418</v>
      </c>
      <c r="Q162" s="92"/>
      <c r="R162" s="92"/>
      <c r="S162" s="95"/>
    </row>
    <row r="163" spans="1:19" x14ac:dyDescent="0.35">
      <c r="A163" s="79"/>
      <c r="B163" s="79"/>
      <c r="C163" s="96" t="s">
        <v>430</v>
      </c>
      <c r="D163" s="96"/>
      <c r="E163" s="96"/>
      <c r="F163" s="96"/>
      <c r="G163" s="96"/>
      <c r="H163" s="96"/>
      <c r="I163" s="96"/>
      <c r="J163" s="122"/>
      <c r="K163" s="97"/>
      <c r="L163" s="96"/>
      <c r="M163" s="98"/>
      <c r="N163" s="96"/>
      <c r="O163" s="96"/>
      <c r="P163" s="96"/>
      <c r="Q163" s="96"/>
      <c r="R163" s="96"/>
      <c r="S163" s="99"/>
    </row>
    <row r="164" spans="1:19" x14ac:dyDescent="0.35">
      <c r="A164" s="79"/>
      <c r="B164" s="79"/>
      <c r="C164" s="82" t="s">
        <v>416</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431</v>
      </c>
      <c r="D165" s="103"/>
      <c r="E165" s="103"/>
      <c r="F165" s="103"/>
      <c r="G165" s="103"/>
      <c r="H165" s="103"/>
      <c r="I165" s="103"/>
      <c r="J165" s="103"/>
      <c r="K165" s="104"/>
      <c r="L165" s="103"/>
      <c r="M165" s="105"/>
      <c r="N165" s="103"/>
      <c r="O165" s="103"/>
      <c r="P165" s="103"/>
      <c r="Q165" s="103"/>
      <c r="R165" s="103"/>
      <c r="S165" s="106"/>
    </row>
    <row r="166" spans="1:19" x14ac:dyDescent="0.35">
      <c r="A166" s="91" t="s">
        <v>229</v>
      </c>
      <c r="B166" s="79"/>
      <c r="C166" s="92" t="s">
        <v>417</v>
      </c>
      <c r="D166" s="92"/>
      <c r="E166" s="92"/>
      <c r="F166" s="114">
        <v>0.4</v>
      </c>
      <c r="G166" s="92" t="str">
        <f>CONCATENATE("USD,FLAT ",TEXT(F166,"0.00"))</f>
        <v>USD,FLAT 0.40</v>
      </c>
      <c r="H166" s="114" t="str">
        <f>TEXT(0.4,"0.0")</f>
        <v>0.4</v>
      </c>
      <c r="I166" s="92" t="s">
        <v>168</v>
      </c>
      <c r="J166" s="121">
        <v>2</v>
      </c>
      <c r="K166" s="94" t="str">
        <f>TEXT(0.8,"0.0")</f>
        <v>0.8</v>
      </c>
      <c r="L166" s="92"/>
      <c r="M166" s="94" t="str">
        <f>TEXT(26,"0")</f>
        <v>26</v>
      </c>
      <c r="N166" s="92" t="s">
        <v>179</v>
      </c>
      <c r="O166" s="92" t="s">
        <v>419</v>
      </c>
      <c r="P166" s="92" t="s">
        <v>418</v>
      </c>
      <c r="Q166" s="92"/>
      <c r="R166" s="92"/>
      <c r="S166" s="95"/>
    </row>
    <row r="167" spans="1:19" x14ac:dyDescent="0.35">
      <c r="A167" s="79"/>
      <c r="B167" s="79"/>
      <c r="C167" s="96" t="s">
        <v>430</v>
      </c>
      <c r="D167" s="96"/>
      <c r="E167" s="96"/>
      <c r="F167" s="96"/>
      <c r="G167" s="96"/>
      <c r="H167" s="96"/>
      <c r="I167" s="96"/>
      <c r="J167" s="122"/>
      <c r="K167" s="97"/>
      <c r="L167" s="96"/>
      <c r="M167" s="97"/>
      <c r="N167" s="96"/>
      <c r="O167" s="96"/>
      <c r="P167" s="96"/>
      <c r="Q167" s="96"/>
      <c r="R167" s="96"/>
      <c r="S167" s="99"/>
    </row>
    <row r="168" spans="1:19" x14ac:dyDescent="0.35">
      <c r="A168" s="79"/>
      <c r="B168" s="79"/>
      <c r="C168" s="82" t="s">
        <v>416</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431</v>
      </c>
      <c r="D169" s="103"/>
      <c r="E169" s="103"/>
      <c r="F169" s="103"/>
      <c r="G169" s="103"/>
      <c r="H169" s="103"/>
      <c r="I169" s="103"/>
      <c r="J169" s="103"/>
      <c r="K169" s="104"/>
      <c r="L169" s="103"/>
      <c r="M169" s="104"/>
      <c r="N169" s="103"/>
      <c r="O169" s="103"/>
      <c r="P169" s="103"/>
      <c r="Q169" s="103"/>
      <c r="R169" s="103"/>
      <c r="S169" s="106"/>
    </row>
    <row r="170" spans="1:19" x14ac:dyDescent="0.35">
      <c r="A170" s="91" t="s">
        <v>231</v>
      </c>
      <c r="B170" s="79"/>
      <c r="C170" s="92" t="s">
        <v>417</v>
      </c>
      <c r="D170" s="92"/>
      <c r="E170" s="92"/>
      <c r="F170" s="114">
        <v>0.6</v>
      </c>
      <c r="G170" s="92" t="str">
        <f>CONCATENATE("USD,FLAT ",TEXT(F170,"0.00"))</f>
        <v>USD,FLAT 0.60</v>
      </c>
      <c r="H170" s="114" t="str">
        <f>TEXT(0.6,"0.0")</f>
        <v>0.6</v>
      </c>
      <c r="I170" s="92" t="s">
        <v>168</v>
      </c>
      <c r="J170" s="121">
        <v>2</v>
      </c>
      <c r="K170" s="94" t="str">
        <f>TEXT(1.2,"0.0")</f>
        <v>1.2</v>
      </c>
      <c r="L170" s="92"/>
      <c r="M170" s="94" t="str">
        <f>TEXT(26,"0")</f>
        <v>26</v>
      </c>
      <c r="N170" s="92" t="s">
        <v>179</v>
      </c>
      <c r="O170" s="92" t="s">
        <v>419</v>
      </c>
      <c r="P170" s="92" t="s">
        <v>418</v>
      </c>
      <c r="Q170" s="92"/>
      <c r="R170" s="92"/>
      <c r="S170" s="95"/>
    </row>
    <row r="171" spans="1:19" x14ac:dyDescent="0.35">
      <c r="A171" s="79"/>
      <c r="B171" s="79"/>
      <c r="C171" s="96" t="s">
        <v>430</v>
      </c>
      <c r="D171" s="96"/>
      <c r="E171" s="96"/>
      <c r="F171" s="96"/>
      <c r="G171" s="96"/>
      <c r="H171" s="96"/>
      <c r="I171" s="96"/>
      <c r="J171" s="122"/>
      <c r="K171" s="97"/>
      <c r="L171" s="96"/>
      <c r="M171" s="98"/>
      <c r="N171" s="96"/>
      <c r="O171" s="96"/>
      <c r="P171" s="96"/>
      <c r="Q171" s="96"/>
      <c r="R171" s="96"/>
      <c r="S171" s="99"/>
    </row>
    <row r="172" spans="1:19" x14ac:dyDescent="0.35">
      <c r="A172" s="79"/>
      <c r="B172" s="79"/>
      <c r="C172" s="82" t="s">
        <v>416</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431</v>
      </c>
      <c r="D173" s="103"/>
      <c r="E173" s="103"/>
      <c r="F173" s="103"/>
      <c r="G173" s="103"/>
      <c r="H173" s="103"/>
      <c r="I173" s="103"/>
      <c r="J173" s="103"/>
      <c r="K173" s="104"/>
      <c r="L173" s="103"/>
      <c r="M173" s="105"/>
      <c r="N173" s="103"/>
      <c r="O173" s="103"/>
      <c r="P173" s="103"/>
      <c r="Q173" s="103"/>
      <c r="R173" s="103"/>
      <c r="S173" s="106"/>
    </row>
    <row r="174" spans="1:19" x14ac:dyDescent="0.35">
      <c r="A174" s="91" t="s">
        <v>424</v>
      </c>
      <c r="B174" s="115"/>
      <c r="C174" s="92" t="s">
        <v>417</v>
      </c>
      <c r="D174" s="92"/>
      <c r="E174" s="92"/>
      <c r="F174" s="92">
        <v>16.66</v>
      </c>
      <c r="G174" s="92" t="str">
        <f>CONCATENATE("USD,FLAT ",TEXT(F174,"0.00"))</f>
        <v>USD,FLAT 16.66</v>
      </c>
      <c r="H174" s="92" t="str">
        <f>TEXT(16.66,"0.00")</f>
        <v>16.66</v>
      </c>
      <c r="I174" s="92" t="s">
        <v>168</v>
      </c>
      <c r="J174" s="121">
        <v>2</v>
      </c>
      <c r="K174" s="94" t="str">
        <f>TEXT(33.32,"0.00")</f>
        <v>33.32</v>
      </c>
      <c r="L174" s="92"/>
      <c r="M174" s="94" t="str">
        <f>TEXT(26,"0")</f>
        <v>26</v>
      </c>
      <c r="N174" s="92" t="s">
        <v>179</v>
      </c>
      <c r="O174" s="92" t="s">
        <v>419</v>
      </c>
      <c r="P174" s="92" t="s">
        <v>418</v>
      </c>
      <c r="Q174" s="92"/>
      <c r="R174" s="92"/>
      <c r="S174" s="95"/>
    </row>
    <row r="175" spans="1:19" x14ac:dyDescent="0.35">
      <c r="A175" s="79"/>
      <c r="B175" s="115"/>
      <c r="C175" s="96" t="s">
        <v>430</v>
      </c>
      <c r="D175" s="96"/>
      <c r="E175" s="96"/>
      <c r="F175" s="96"/>
      <c r="G175" s="96"/>
      <c r="H175" s="96"/>
      <c r="I175" s="96"/>
      <c r="J175" s="122"/>
      <c r="K175" s="97"/>
      <c r="L175" s="96"/>
      <c r="M175" s="96"/>
      <c r="N175" s="96"/>
      <c r="O175" s="96"/>
      <c r="P175" s="96"/>
      <c r="Q175" s="96"/>
      <c r="R175" s="96"/>
      <c r="S175" s="99"/>
    </row>
    <row r="176" spans="1:19" x14ac:dyDescent="0.35">
      <c r="A176" s="79"/>
      <c r="B176" s="79"/>
      <c r="C176" s="82" t="s">
        <v>416</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431</v>
      </c>
      <c r="D177" s="103"/>
      <c r="E177" s="103"/>
      <c r="F177" s="103"/>
      <c r="G177" s="103"/>
      <c r="H177" s="103"/>
      <c r="I177" s="103"/>
      <c r="J177" s="103"/>
      <c r="K177" s="128"/>
      <c r="L177" s="103"/>
      <c r="M177" s="103"/>
      <c r="N177" s="103"/>
      <c r="O177" s="103"/>
      <c r="P177" s="103"/>
      <c r="Q177" s="103"/>
      <c r="R177" s="103"/>
      <c r="S177" s="106"/>
    </row>
    <row r="179" spans="1:19" x14ac:dyDescent="0.35">
      <c r="A179" s="162" t="s">
        <v>442</v>
      </c>
      <c r="B179" s="162"/>
      <c r="C179" s="162"/>
      <c r="D179" s="162"/>
      <c r="E179" s="162"/>
    </row>
    <row r="181" spans="1:19" x14ac:dyDescent="0.35">
      <c r="A181" s="137" t="s">
        <v>343</v>
      </c>
      <c r="B181" s="138"/>
      <c r="C181" s="138"/>
      <c r="D181" s="138"/>
      <c r="E181" s="138"/>
      <c r="F181" s="138"/>
      <c r="G181" s="138"/>
      <c r="H181" s="138"/>
      <c r="I181" s="138"/>
      <c r="J181" s="138"/>
    </row>
    <row r="182" spans="1:19" x14ac:dyDescent="0.35">
      <c r="A182" s="63"/>
      <c r="B182" s="64"/>
      <c r="C182" s="142" t="s">
        <v>344</v>
      </c>
      <c r="D182" s="142"/>
      <c r="E182" s="142"/>
      <c r="F182" s="142"/>
      <c r="G182" s="142"/>
      <c r="H182" s="142"/>
      <c r="I182" s="142"/>
      <c r="J182" s="142"/>
      <c r="K182" s="142"/>
    </row>
    <row r="183" spans="1:19" x14ac:dyDescent="0.35">
      <c r="A183" s="143" t="s">
        <v>345</v>
      </c>
      <c r="B183" s="143" t="s">
        <v>346</v>
      </c>
      <c r="C183" s="145" t="s">
        <v>347</v>
      </c>
      <c r="D183" s="146"/>
      <c r="E183" s="146"/>
      <c r="F183" s="147"/>
      <c r="G183" s="148" t="s">
        <v>348</v>
      </c>
      <c r="H183" s="149"/>
      <c r="I183" s="149"/>
      <c r="J183" s="150"/>
      <c r="K183" s="143" t="s">
        <v>349</v>
      </c>
      <c r="L183" s="143" t="s">
        <v>350</v>
      </c>
    </row>
    <row r="184" spans="1:19" x14ac:dyDescent="0.35">
      <c r="A184" s="144"/>
      <c r="B184" s="144"/>
      <c r="C184" s="65" t="s">
        <v>351</v>
      </c>
      <c r="D184" s="65" t="s">
        <v>352</v>
      </c>
      <c r="E184" s="65" t="s">
        <v>353</v>
      </c>
      <c r="F184" s="65" t="s">
        <v>354</v>
      </c>
      <c r="G184" s="66" t="s">
        <v>351</v>
      </c>
      <c r="H184" s="66" t="s">
        <v>352</v>
      </c>
      <c r="I184" s="66" t="s">
        <v>353</v>
      </c>
      <c r="J184" s="66" t="s">
        <v>354</v>
      </c>
      <c r="K184" s="144"/>
      <c r="L184" s="144"/>
    </row>
    <row r="185" spans="1:19" x14ac:dyDescent="0.35">
      <c r="A185" s="41" t="s">
        <v>355</v>
      </c>
      <c r="B185" s="41" t="s">
        <v>356</v>
      </c>
      <c r="C185" s="30" t="str">
        <f>TEXT(23210.8,"0.0")</f>
        <v>23210.8</v>
      </c>
      <c r="D185" s="30" t="str">
        <f>TEXT(678,"0")</f>
        <v>678</v>
      </c>
      <c r="E185" s="30" t="str">
        <f>TEXT(22532.8,"0.0")</f>
        <v>22532.8</v>
      </c>
      <c r="F185" s="30" t="str">
        <f>TEXT(97.08,"0.00")</f>
        <v>97.08</v>
      </c>
      <c r="G185" s="30" t="str">
        <f>TEXT(0,"0")</f>
        <v>0</v>
      </c>
      <c r="H185" s="30" t="str">
        <f t="shared" ref="H185:I185" si="0">TEXT(0,"0")</f>
        <v>0</v>
      </c>
      <c r="I185" s="30" t="str">
        <f t="shared" si="0"/>
        <v>0</v>
      </c>
      <c r="J185" s="30" t="str">
        <f>TEXT(0,"0")</f>
        <v>0</v>
      </c>
      <c r="K185" s="30" t="str">
        <f>TEXT(0,"0")</f>
        <v>0</v>
      </c>
      <c r="L185" s="41" t="s">
        <v>155</v>
      </c>
    </row>
    <row r="187" spans="1:19" ht="13.25" customHeight="1" x14ac:dyDescent="0.35">
      <c r="A187" s="137" t="s">
        <v>357</v>
      </c>
      <c r="B187" s="138"/>
      <c r="C187" s="138"/>
      <c r="D187" s="138"/>
      <c r="E187" s="138"/>
      <c r="F187" s="138"/>
      <c r="G187" s="138"/>
      <c r="H187" s="138"/>
      <c r="I187" s="138"/>
      <c r="J187" s="138"/>
      <c r="K187" s="138"/>
      <c r="L187" s="138"/>
    </row>
    <row r="188" spans="1:19" x14ac:dyDescent="0.35">
      <c r="A188" s="139" t="s">
        <v>131</v>
      </c>
      <c r="B188" s="139" t="s">
        <v>358</v>
      </c>
      <c r="C188" s="159" t="s">
        <v>359</v>
      </c>
      <c r="D188" s="173" t="s">
        <v>360</v>
      </c>
      <c r="E188" s="172" t="s">
        <v>344</v>
      </c>
      <c r="F188" s="172"/>
      <c r="G188" s="172"/>
      <c r="H188" s="172"/>
      <c r="I188" s="171" t="s">
        <v>361</v>
      </c>
      <c r="J188" s="171"/>
      <c r="K188" s="171"/>
      <c r="L188" s="171"/>
    </row>
    <row r="189" spans="1:19" x14ac:dyDescent="0.35">
      <c r="A189" s="140"/>
      <c r="B189" s="140"/>
      <c r="C189" s="160"/>
      <c r="D189" s="174"/>
      <c r="E189" s="145" t="s">
        <v>362</v>
      </c>
      <c r="F189" s="147"/>
      <c r="G189" s="148" t="s">
        <v>348</v>
      </c>
      <c r="H189" s="150"/>
      <c r="I189" s="145" t="s">
        <v>362</v>
      </c>
      <c r="J189" s="147"/>
      <c r="K189" s="148" t="s">
        <v>348</v>
      </c>
      <c r="L189" s="150"/>
    </row>
    <row r="190" spans="1:19" x14ac:dyDescent="0.35">
      <c r="A190" s="141"/>
      <c r="B190" s="141" t="s">
        <v>130</v>
      </c>
      <c r="C190" s="161"/>
      <c r="D190" s="175"/>
      <c r="E190" s="65" t="s">
        <v>363</v>
      </c>
      <c r="F190" s="65" t="s">
        <v>364</v>
      </c>
      <c r="G190" s="66" t="s">
        <v>365</v>
      </c>
      <c r="H190" s="66" t="s">
        <v>366</v>
      </c>
      <c r="I190" s="65" t="s">
        <v>363</v>
      </c>
      <c r="J190" s="65" t="s">
        <v>364</v>
      </c>
      <c r="K190" s="66" t="s">
        <v>365</v>
      </c>
      <c r="L190" s="66" t="s">
        <v>366</v>
      </c>
    </row>
    <row r="191" spans="1:19" x14ac:dyDescent="0.35">
      <c r="A191" s="41" t="str">
        <f>C5</f>
        <v>BANK_82_PRSPCH1_001</v>
      </c>
      <c r="B191" s="41" t="s">
        <v>355</v>
      </c>
      <c r="C191" s="56" t="s">
        <v>367</v>
      </c>
      <c r="D191" s="67" t="str">
        <f>TEXT(0,"0.00")</f>
        <v>0.00</v>
      </c>
      <c r="E191" s="68" t="str">
        <f>"$"&amp;TEXT(23210.8,"0.00")</f>
        <v>$23210.80</v>
      </c>
      <c r="F191" s="68" t="str">
        <f>"$"&amp;TEXT(678,"0.00")</f>
        <v>$678.00</v>
      </c>
      <c r="G191" s="68" t="str">
        <f>"$"&amp;TEXT(0,"0.00")</f>
        <v>$0.00</v>
      </c>
      <c r="H191" s="68" t="str">
        <f>"$"&amp;TEXT(0,"0.00")</f>
        <v>$0.00</v>
      </c>
      <c r="I191" s="69" t="str">
        <f>"$"&amp;TEXT(23210.8,"0.00")</f>
        <v>$23210.80</v>
      </c>
      <c r="J191" s="69" t="str">
        <f>"$"&amp;TEXT(678,"0.00")</f>
        <v>$678.00</v>
      </c>
      <c r="K191" s="69" t="str">
        <f>"$"&amp;TEXT(0,"0.00")</f>
        <v>$0.00</v>
      </c>
      <c r="L191" s="69" t="str">
        <f>"$"&amp;TEXT(0,"0.00")</f>
        <v>$0.00</v>
      </c>
    </row>
    <row r="192" spans="1:19" x14ac:dyDescent="0.35">
      <c r="A192" s="56" t="s">
        <v>467</v>
      </c>
      <c r="B192" s="41" t="s">
        <v>355</v>
      </c>
      <c r="C192" s="56" t="s">
        <v>367</v>
      </c>
      <c r="D192" s="67" t="str">
        <f t="shared" ref="D192:D194" si="1">TEXT(0,"0.00")</f>
        <v>0.00</v>
      </c>
      <c r="E192" s="68" t="str">
        <f>"$"&amp;TEXT(11605.4,"0.00")</f>
        <v>$11605.40</v>
      </c>
      <c r="F192" s="68" t="str">
        <f>"$"&amp;TEXT(339,"0.00")</f>
        <v>$339.00</v>
      </c>
      <c r="G192" s="68" t="str">
        <f t="shared" ref="G192:H194" si="2">"$"&amp;TEXT(0,"0.00")</f>
        <v>$0.00</v>
      </c>
      <c r="H192" s="68" t="str">
        <f t="shared" si="2"/>
        <v>$0.00</v>
      </c>
      <c r="I192" s="69" t="str">
        <f>"$"&amp;TEXT(11605.4,"0.00")</f>
        <v>$11605.40</v>
      </c>
      <c r="J192" s="69" t="str">
        <f>"$"&amp;TEXT(339,"0.00")</f>
        <v>$339.00</v>
      </c>
      <c r="K192" s="69" t="str">
        <f t="shared" ref="K192:K194" si="3">"$"&amp;TEXT(0,"0.00")</f>
        <v>$0.00</v>
      </c>
      <c r="L192" s="69" t="str">
        <f>"$"&amp;TEXT(0,"0.00")</f>
        <v>$0.00</v>
      </c>
    </row>
    <row r="193" spans="1:26" x14ac:dyDescent="0.35">
      <c r="A193" s="41" t="str">
        <f>C6</f>
        <v>BANK_82_PRSPCH1CH1_001</v>
      </c>
      <c r="B193" s="41" t="s">
        <v>355</v>
      </c>
      <c r="C193" s="56" t="s">
        <v>367</v>
      </c>
      <c r="D193" s="67" t="str">
        <f t="shared" si="1"/>
        <v>0.00</v>
      </c>
      <c r="E193" s="68" t="str">
        <f t="shared" ref="E193:E194" si="4">"$"&amp;TEXT(11605.4,"0.00")</f>
        <v>$11605.40</v>
      </c>
      <c r="F193" s="68" t="str">
        <f t="shared" ref="F193:F194" si="5">"$"&amp;TEXT(339,"0.00")</f>
        <v>$339.00</v>
      </c>
      <c r="G193" s="68" t="str">
        <f t="shared" si="2"/>
        <v>$0.00</v>
      </c>
      <c r="H193" s="68" t="str">
        <f t="shared" si="2"/>
        <v>$0.00</v>
      </c>
      <c r="I193" s="69" t="str">
        <f t="shared" ref="I193:I194" si="6">"$"&amp;TEXT(11605.4,"0.00")</f>
        <v>$11605.40</v>
      </c>
      <c r="J193" s="69" t="str">
        <f t="shared" ref="J193:J194" si="7">"$"&amp;TEXT(339,"0.00")</f>
        <v>$339.00</v>
      </c>
      <c r="K193" s="69" t="str">
        <f t="shared" si="3"/>
        <v>$0.00</v>
      </c>
      <c r="L193" s="69" t="str">
        <f>"$"&amp;TEXT(0,"0.00")</f>
        <v>$0.00</v>
      </c>
    </row>
    <row r="194" spans="1:26" x14ac:dyDescent="0.35">
      <c r="A194" s="56" t="s">
        <v>481</v>
      </c>
      <c r="B194" s="41" t="s">
        <v>355</v>
      </c>
      <c r="C194" s="56" t="s">
        <v>367</v>
      </c>
      <c r="D194" s="67" t="str">
        <f t="shared" si="1"/>
        <v>0.00</v>
      </c>
      <c r="E194" s="68" t="str">
        <f t="shared" si="4"/>
        <v>$11605.40</v>
      </c>
      <c r="F194" s="68" t="str">
        <f t="shared" si="5"/>
        <v>$339.00</v>
      </c>
      <c r="G194" s="68" t="str">
        <f t="shared" si="2"/>
        <v>$0.00</v>
      </c>
      <c r="H194" s="68" t="str">
        <f t="shared" si="2"/>
        <v>$0.00</v>
      </c>
      <c r="I194" s="69" t="str">
        <f t="shared" si="6"/>
        <v>$11605.40</v>
      </c>
      <c r="J194" s="69" t="str">
        <f t="shared" si="7"/>
        <v>$339.00</v>
      </c>
      <c r="K194" s="69" t="str">
        <f t="shared" si="3"/>
        <v>$0.00</v>
      </c>
      <c r="L194" s="69" t="str">
        <f>"$"&amp;TEXT(0,"0.00")</f>
        <v>$0.00</v>
      </c>
    </row>
    <row r="196" spans="1:26" x14ac:dyDescent="0.35">
      <c r="A196" s="137" t="s">
        <v>368</v>
      </c>
      <c r="B196" s="138"/>
      <c r="C196" s="138"/>
      <c r="D196" s="138"/>
      <c r="E196" s="138"/>
      <c r="F196" s="138"/>
      <c r="G196" s="138"/>
      <c r="H196" s="138"/>
      <c r="I196" s="138"/>
      <c r="J196" s="138"/>
    </row>
    <row r="197" spans="1:26" x14ac:dyDescent="0.35">
      <c r="A197" s="63"/>
      <c r="B197" s="64"/>
      <c r="C197" s="142" t="s">
        <v>344</v>
      </c>
      <c r="D197" s="142"/>
      <c r="E197" s="142"/>
      <c r="F197" s="142"/>
      <c r="G197" s="142"/>
      <c r="H197" s="142"/>
      <c r="I197" s="142"/>
      <c r="J197" s="142"/>
      <c r="K197" s="142"/>
      <c r="Z197" s="70"/>
    </row>
    <row r="198" spans="1:26" x14ac:dyDescent="0.35">
      <c r="A198" s="143" t="s">
        <v>345</v>
      </c>
      <c r="B198" s="143" t="s">
        <v>346</v>
      </c>
      <c r="C198" s="145" t="s">
        <v>347</v>
      </c>
      <c r="D198" s="146"/>
      <c r="E198" s="146"/>
      <c r="F198" s="147"/>
      <c r="G198" s="148" t="s">
        <v>348</v>
      </c>
      <c r="H198" s="149"/>
      <c r="I198" s="149"/>
      <c r="J198" s="150"/>
      <c r="K198" s="151" t="s">
        <v>369</v>
      </c>
    </row>
    <row r="199" spans="1:26" x14ac:dyDescent="0.35">
      <c r="A199" s="144"/>
      <c r="B199" s="144"/>
      <c r="C199" s="65" t="s">
        <v>351</v>
      </c>
      <c r="D199" s="65" t="s">
        <v>352</v>
      </c>
      <c r="E199" s="65" t="s">
        <v>353</v>
      </c>
      <c r="F199" s="65" t="s">
        <v>354</v>
      </c>
      <c r="G199" s="66" t="s">
        <v>351</v>
      </c>
      <c r="H199" s="66" t="s">
        <v>352</v>
      </c>
      <c r="I199" s="66" t="s">
        <v>353</v>
      </c>
      <c r="J199" s="66" t="s">
        <v>354</v>
      </c>
      <c r="K199" s="152"/>
    </row>
    <row r="200" spans="1:26" x14ac:dyDescent="0.35">
      <c r="A200" s="56" t="s">
        <v>355</v>
      </c>
      <c r="B200" s="71"/>
      <c r="C200" s="30" t="str">
        <f>"$"&amp;TEXT(23210.8,"0.00")</f>
        <v>$23210.80</v>
      </c>
      <c r="D200" s="30" t="str">
        <f>"$"&amp;TEXT(678,"0.00")</f>
        <v>$678.00</v>
      </c>
      <c r="E200" s="30" t="str">
        <f>"$"&amp;TEXT(22532.8,"0.00")</f>
        <v>$22532.80</v>
      </c>
      <c r="F200" s="30" t="str">
        <f>TEXT(97.08,"0.00")</f>
        <v>97.08</v>
      </c>
      <c r="G200" s="30" t="str">
        <f>"$"&amp;TEXT(0,"0.00")</f>
        <v>$0.00</v>
      </c>
      <c r="H200" s="30" t="str">
        <f t="shared" ref="H200:I200" si="8">"$"&amp;TEXT(0,"0.00")</f>
        <v>$0.00</v>
      </c>
      <c r="I200" s="30" t="str">
        <f t="shared" si="8"/>
        <v>$0.00</v>
      </c>
      <c r="J200" s="30" t="str">
        <f>TEXT(0,"0.00")</f>
        <v>0.00</v>
      </c>
      <c r="K200" s="30" t="str">
        <f>TEXT(0,"0.00")</f>
        <v>0.00</v>
      </c>
    </row>
    <row r="202" spans="1:26" x14ac:dyDescent="0.35">
      <c r="A202" s="45" t="s">
        <v>370</v>
      </c>
      <c r="B202" s="46"/>
      <c r="C202" s="46"/>
    </row>
    <row r="203" spans="1:26" x14ac:dyDescent="0.35">
      <c r="A203" s="43" t="s">
        <v>370</v>
      </c>
      <c r="B203" s="43" t="s">
        <v>371</v>
      </c>
      <c r="C203" s="43" t="s">
        <v>372</v>
      </c>
      <c r="D203" s="43" t="s">
        <v>373</v>
      </c>
      <c r="E203" s="43" t="s">
        <v>285</v>
      </c>
      <c r="F203" s="43" t="s">
        <v>183</v>
      </c>
      <c r="G203" s="43" t="s">
        <v>184</v>
      </c>
      <c r="H203" s="43" t="s">
        <v>374</v>
      </c>
      <c r="I203" s="43" t="s">
        <v>375</v>
      </c>
      <c r="J203" s="43" t="s">
        <v>376</v>
      </c>
      <c r="K203" s="43" t="s">
        <v>282</v>
      </c>
      <c r="L203" s="43" t="s">
        <v>280</v>
      </c>
    </row>
    <row r="204" spans="1:26" ht="72.5" x14ac:dyDescent="0.35">
      <c r="A204" s="72" t="s">
        <v>377</v>
      </c>
      <c r="B204" s="73" t="s">
        <v>378</v>
      </c>
      <c r="C204" s="73" t="s">
        <v>378</v>
      </c>
      <c r="D204" s="73" t="s">
        <v>379</v>
      </c>
      <c r="E204" s="73" t="s">
        <v>380</v>
      </c>
      <c r="F204" s="73"/>
      <c r="G204" s="73"/>
      <c r="H204" s="73"/>
      <c r="I204" s="73"/>
      <c r="J204" s="74">
        <f ca="1">TODAY()</f>
        <v>45062</v>
      </c>
      <c r="K204" s="74">
        <v>234</v>
      </c>
      <c r="L204" s="73" t="s">
        <v>155</v>
      </c>
    </row>
    <row r="206" spans="1:26" x14ac:dyDescent="0.35">
      <c r="A206" s="45" t="s">
        <v>381</v>
      </c>
      <c r="B206" s="46"/>
      <c r="C206" s="46"/>
    </row>
    <row r="207" spans="1:26" x14ac:dyDescent="0.35">
      <c r="A207" s="43" t="s">
        <v>382</v>
      </c>
      <c r="B207" s="43" t="s">
        <v>383</v>
      </c>
      <c r="C207" s="43" t="s">
        <v>384</v>
      </c>
      <c r="D207" s="43" t="s">
        <v>385</v>
      </c>
    </row>
    <row r="208" spans="1:26" x14ac:dyDescent="0.35">
      <c r="A208" s="75" t="str">
        <f ca="1">TEXT(TODAY(),"YYYY-MM-DD")</f>
        <v>2023-05-16</v>
      </c>
      <c r="B208" s="76" t="s">
        <v>388</v>
      </c>
      <c r="C208" s="76" t="s">
        <v>386</v>
      </c>
      <c r="D208" s="76" t="s">
        <v>387</v>
      </c>
    </row>
    <row r="209" spans="1:47" x14ac:dyDescent="0.35">
      <c r="A209" s="75" t="str">
        <f ca="1">TEXT(TODAY(),"YYYY-MM-DD")</f>
        <v>2023-05-16</v>
      </c>
      <c r="B209" s="76" t="s">
        <v>389</v>
      </c>
      <c r="C209" s="76" t="s">
        <v>386</v>
      </c>
      <c r="D209" s="76" t="s">
        <v>387</v>
      </c>
    </row>
    <row r="210" spans="1:47" x14ac:dyDescent="0.35">
      <c r="A210" s="75" t="str">
        <f ca="1">TEXT(TODAY(),"YYYY-MM-DD")</f>
        <v>2023-05-16</v>
      </c>
      <c r="B210" s="76" t="s">
        <v>390</v>
      </c>
      <c r="C210" s="76" t="s">
        <v>386</v>
      </c>
      <c r="D210" s="76" t="s">
        <v>391</v>
      </c>
    </row>
    <row r="211" spans="1:47" x14ac:dyDescent="0.35">
      <c r="A211" s="75" t="str">
        <f ca="1">TEXT(TODAY(),"YYYY-MM-DD")</f>
        <v>2023-05-16</v>
      </c>
      <c r="B211" s="76" t="s">
        <v>440</v>
      </c>
      <c r="C211" s="76" t="s">
        <v>386</v>
      </c>
      <c r="D211" s="76" t="s">
        <v>441</v>
      </c>
    </row>
    <row r="213" spans="1:47" x14ac:dyDescent="0.35">
      <c r="A213" s="135" t="s">
        <v>443</v>
      </c>
      <c r="B213" s="136"/>
      <c r="C213" s="136"/>
      <c r="D213" s="136"/>
      <c r="E213" s="136"/>
      <c r="F213" s="136"/>
      <c r="G213" s="136"/>
      <c r="H213" s="136"/>
      <c r="I213" s="136"/>
      <c r="J213" s="136"/>
      <c r="K213" s="136"/>
      <c r="L213" s="136"/>
      <c r="M213" s="136"/>
      <c r="N213" s="136"/>
      <c r="O213" s="136"/>
      <c r="P213" s="136"/>
      <c r="Q213" s="136"/>
      <c r="R213" s="136"/>
      <c r="S213" s="118"/>
      <c r="T213" s="118"/>
      <c r="U213" s="118"/>
      <c r="V213" s="118"/>
      <c r="W213" s="118"/>
      <c r="X213" s="118"/>
      <c r="Y213" s="118"/>
      <c r="Z213" s="118"/>
    </row>
    <row r="214" spans="1:47" x14ac:dyDescent="0.35">
      <c r="A214" s="77" t="s">
        <v>392</v>
      </c>
      <c r="B214" s="77" t="s">
        <v>393</v>
      </c>
      <c r="C214" s="77" t="s">
        <v>394</v>
      </c>
      <c r="D214" s="77" t="s">
        <v>282</v>
      </c>
      <c r="E214" s="77" t="s">
        <v>294</v>
      </c>
      <c r="F214" s="77" t="s">
        <v>187</v>
      </c>
      <c r="G214" s="77" t="s">
        <v>395</v>
      </c>
      <c r="H214" s="77" t="s">
        <v>396</v>
      </c>
      <c r="I214" s="77" t="s">
        <v>166</v>
      </c>
      <c r="J214" s="77" t="s">
        <v>397</v>
      </c>
      <c r="K214" s="77" t="s">
        <v>351</v>
      </c>
      <c r="L214" s="77" t="s">
        <v>398</v>
      </c>
      <c r="M214" s="77" t="s">
        <v>352</v>
      </c>
      <c r="N214" s="77" t="s">
        <v>399</v>
      </c>
      <c r="O214" s="77" t="s">
        <v>400</v>
      </c>
      <c r="P214" s="77" t="s">
        <v>359</v>
      </c>
      <c r="Q214" s="77" t="s">
        <v>401</v>
      </c>
      <c r="R214" s="77" t="s">
        <v>402</v>
      </c>
      <c r="S214" s="77" t="s">
        <v>403</v>
      </c>
      <c r="T214" s="77" t="s">
        <v>333</v>
      </c>
      <c r="U214" s="77" t="s">
        <v>332</v>
      </c>
      <c r="V214" s="77" t="s">
        <v>404</v>
      </c>
      <c r="W214" s="77" t="s">
        <v>405</v>
      </c>
      <c r="X214" s="77" t="s">
        <v>406</v>
      </c>
      <c r="Y214" s="77" t="s">
        <v>407</v>
      </c>
      <c r="Z214" s="77" t="s">
        <v>408</v>
      </c>
    </row>
    <row r="215" spans="1:47" ht="19" customHeight="1" x14ac:dyDescent="0.35">
      <c r="A215" s="78" t="s">
        <v>194</v>
      </c>
      <c r="B215" s="79"/>
      <c r="C215" s="80" t="s">
        <v>409</v>
      </c>
      <c r="D215" s="81" t="str">
        <f ca="1">TEXT(TODAY(),"YYYY-MM-DD")</f>
        <v>2023-05-16</v>
      </c>
      <c r="E215" s="80"/>
      <c r="F215" s="81">
        <v>13</v>
      </c>
      <c r="G215" s="81" t="s">
        <v>410</v>
      </c>
      <c r="H215" s="81">
        <f>F215</f>
        <v>13</v>
      </c>
      <c r="I215" s="80" t="s">
        <v>168</v>
      </c>
      <c r="J215" s="81"/>
      <c r="K215" s="81"/>
      <c r="L215" s="81"/>
      <c r="M215" s="81"/>
      <c r="N215" s="80"/>
      <c r="O215" s="80"/>
      <c r="P215" s="80"/>
      <c r="Q215" s="80"/>
      <c r="R215" s="80"/>
      <c r="S215" s="80" t="s">
        <v>199</v>
      </c>
      <c r="T215" s="80" t="s">
        <v>336</v>
      </c>
      <c r="U215" s="80">
        <f>B80</f>
        <v>2049157035</v>
      </c>
      <c r="V215" s="80" t="s">
        <v>411</v>
      </c>
      <c r="W215" s="80" t="s">
        <v>177</v>
      </c>
      <c r="X215" s="80" t="s">
        <v>412</v>
      </c>
      <c r="Y215" s="80" t="s">
        <v>413</v>
      </c>
      <c r="Z215" s="80"/>
      <c r="AU215" t="s">
        <v>487</v>
      </c>
    </row>
    <row r="216" spans="1:47" ht="19" customHeight="1" x14ac:dyDescent="0.35">
      <c r="A216" s="78" t="s">
        <v>194</v>
      </c>
      <c r="B216" s="79"/>
      <c r="C216" s="83" t="s">
        <v>416</v>
      </c>
      <c r="D216" s="83" t="str">
        <f ca="1">TEXT(TODAY()+30,"YYYY-MM-DD")</f>
        <v>2023-06-15</v>
      </c>
      <c r="E216" s="83"/>
      <c r="F216" s="83">
        <v>12</v>
      </c>
      <c r="G216" s="83" t="s">
        <v>410</v>
      </c>
      <c r="H216" s="83">
        <f>F216</f>
        <v>12</v>
      </c>
      <c r="I216" s="83" t="s">
        <v>168</v>
      </c>
      <c r="J216" s="83"/>
      <c r="K216" s="83"/>
      <c r="L216" s="83"/>
      <c r="M216" s="83"/>
      <c r="N216" s="83"/>
      <c r="O216" s="83"/>
      <c r="P216" s="83"/>
      <c r="Q216" s="83"/>
      <c r="R216" s="83"/>
      <c r="S216" s="83" t="s">
        <v>199</v>
      </c>
      <c r="T216" s="83" t="s">
        <v>336</v>
      </c>
      <c r="U216" s="80">
        <f>B80</f>
        <v>2049157035</v>
      </c>
      <c r="V216" s="83" t="s">
        <v>411</v>
      </c>
      <c r="W216" s="83" t="s">
        <v>177</v>
      </c>
      <c r="X216" s="83" t="s">
        <v>412</v>
      </c>
      <c r="Y216" s="83" t="s">
        <v>413</v>
      </c>
      <c r="Z216" s="83"/>
      <c r="AU216" t="s">
        <v>488</v>
      </c>
    </row>
    <row r="218" spans="1:47" ht="16" customHeight="1" x14ac:dyDescent="0.35">
      <c r="A218" s="78" t="s">
        <v>247</v>
      </c>
      <c r="B218" s="78" t="s">
        <v>423</v>
      </c>
      <c r="C218" s="80" t="s">
        <v>409</v>
      </c>
      <c r="D218" s="80" t="str">
        <f ca="1">TEXT(TODAY(),"YYYY-MM-DD")</f>
        <v>2023-05-16</v>
      </c>
      <c r="E218" s="80"/>
      <c r="F218" s="80" t="s">
        <v>425</v>
      </c>
      <c r="G218" s="80" t="s">
        <v>410</v>
      </c>
      <c r="H218" s="80"/>
      <c r="I218" s="80" t="s">
        <v>168</v>
      </c>
      <c r="J218" s="80"/>
      <c r="K218" s="80"/>
      <c r="L218" s="80"/>
      <c r="M218" s="80"/>
      <c r="N218" s="80"/>
      <c r="O218" s="80"/>
      <c r="P218" s="80"/>
      <c r="Q218" s="80"/>
      <c r="R218" s="80"/>
      <c r="S218" s="80"/>
      <c r="T218" s="80" t="s">
        <v>336</v>
      </c>
      <c r="U218" s="80">
        <f>B80</f>
        <v>2049157035</v>
      </c>
      <c r="V218" s="80" t="s">
        <v>411</v>
      </c>
      <c r="W218" s="80" t="s">
        <v>177</v>
      </c>
      <c r="X218" s="80" t="s">
        <v>412</v>
      </c>
      <c r="Y218" s="80" t="s">
        <v>413</v>
      </c>
      <c r="Z218" s="80"/>
      <c r="AU218" t="s">
        <v>489</v>
      </c>
    </row>
    <row r="219" spans="1:47" ht="16" customHeight="1" x14ac:dyDescent="0.35">
      <c r="A219" s="78" t="s">
        <v>247</v>
      </c>
      <c r="B219" s="78" t="s">
        <v>423</v>
      </c>
      <c r="C219" s="83" t="s">
        <v>416</v>
      </c>
      <c r="D219" s="83" t="str">
        <f ca="1">TEXT(TODAY()+30,"YYYY-MM-DD")</f>
        <v>2023-06-15</v>
      </c>
      <c r="E219" s="83"/>
      <c r="F219" s="83" t="s">
        <v>444</v>
      </c>
      <c r="G219" s="83" t="s">
        <v>410</v>
      </c>
      <c r="H219" s="83"/>
      <c r="I219" s="83" t="s">
        <v>168</v>
      </c>
      <c r="J219" s="83"/>
      <c r="K219" s="83"/>
      <c r="L219" s="83"/>
      <c r="M219" s="83"/>
      <c r="N219" s="83"/>
      <c r="O219" s="83"/>
      <c r="P219" s="83"/>
      <c r="Q219" s="83"/>
      <c r="R219" s="83"/>
      <c r="S219" s="83"/>
      <c r="T219" s="83" t="s">
        <v>336</v>
      </c>
      <c r="U219" s="131">
        <f>B80</f>
        <v>2049157035</v>
      </c>
      <c r="V219" s="83" t="s">
        <v>411</v>
      </c>
      <c r="W219" s="83" t="s">
        <v>177</v>
      </c>
      <c r="X219" s="83" t="s">
        <v>412</v>
      </c>
      <c r="Y219" s="83" t="s">
        <v>413</v>
      </c>
      <c r="Z219" s="83"/>
      <c r="AU219" t="s">
        <v>490</v>
      </c>
    </row>
    <row r="221" spans="1:47" ht="16" customHeight="1" x14ac:dyDescent="0.35">
      <c r="A221" s="78" t="s">
        <v>247</v>
      </c>
      <c r="B221" s="78" t="s">
        <v>422</v>
      </c>
      <c r="C221" s="80" t="s">
        <v>409</v>
      </c>
      <c r="D221" s="80" t="str">
        <f ca="1">TEXT(TODAY(),"YYYY-MM-DD")</f>
        <v>2023-05-16</v>
      </c>
      <c r="E221" s="80"/>
      <c r="F221" s="80" t="s">
        <v>426</v>
      </c>
      <c r="G221" s="80" t="s">
        <v>410</v>
      </c>
      <c r="H221" s="80"/>
      <c r="I221" s="80" t="s">
        <v>168</v>
      </c>
      <c r="J221" s="80"/>
      <c r="K221" s="80"/>
      <c r="L221" s="80"/>
      <c r="M221" s="80"/>
      <c r="N221" s="80"/>
      <c r="O221" s="80"/>
      <c r="P221" s="80"/>
      <c r="Q221" s="80"/>
      <c r="R221" s="80"/>
      <c r="S221" s="80"/>
      <c r="T221" s="80" t="s">
        <v>336</v>
      </c>
      <c r="U221" s="80">
        <f>B80</f>
        <v>2049157035</v>
      </c>
      <c r="V221" s="80" t="s">
        <v>411</v>
      </c>
      <c r="W221" s="80" t="s">
        <v>177</v>
      </c>
      <c r="X221" s="80" t="s">
        <v>412</v>
      </c>
      <c r="Y221" s="80" t="s">
        <v>413</v>
      </c>
      <c r="Z221" s="80"/>
      <c r="AU221" t="s">
        <v>491</v>
      </c>
    </row>
    <row r="222" spans="1:47" ht="16" customHeight="1" x14ac:dyDescent="0.35">
      <c r="A222" s="78" t="s">
        <v>247</v>
      </c>
      <c r="B222" s="78" t="s">
        <v>422</v>
      </c>
      <c r="C222" s="83" t="s">
        <v>416</v>
      </c>
      <c r="D222" s="83" t="str">
        <f ca="1">TEXT(TODAY()+30,"YYYY-MM-DD")</f>
        <v>2023-06-15</v>
      </c>
      <c r="E222" s="83"/>
      <c r="F222" s="83" t="s">
        <v>444</v>
      </c>
      <c r="G222" s="83" t="s">
        <v>410</v>
      </c>
      <c r="H222" s="83"/>
      <c r="I222" s="83" t="s">
        <v>168</v>
      </c>
      <c r="J222" s="83"/>
      <c r="K222" s="83"/>
      <c r="L222" s="83"/>
      <c r="M222" s="83"/>
      <c r="N222" s="83"/>
      <c r="O222" s="83"/>
      <c r="P222" s="83"/>
      <c r="Q222" s="83"/>
      <c r="R222" s="83"/>
      <c r="S222" s="83"/>
      <c r="T222" s="83" t="s">
        <v>336</v>
      </c>
      <c r="U222" s="131">
        <f>B80</f>
        <v>2049157035</v>
      </c>
      <c r="V222" s="83" t="s">
        <v>411</v>
      </c>
      <c r="W222" s="83" t="s">
        <v>177</v>
      </c>
      <c r="X222" s="83" t="s">
        <v>412</v>
      </c>
      <c r="Y222" s="83" t="s">
        <v>413</v>
      </c>
      <c r="Z222" s="83"/>
      <c r="AU222" t="s">
        <v>492</v>
      </c>
    </row>
    <row r="224" spans="1:47" x14ac:dyDescent="0.35">
      <c r="A224" s="77" t="s">
        <v>392</v>
      </c>
      <c r="B224" s="77" t="s">
        <v>393</v>
      </c>
      <c r="C224" s="77" t="s">
        <v>394</v>
      </c>
      <c r="D224" s="77" t="s">
        <v>282</v>
      </c>
      <c r="E224" s="77" t="s">
        <v>294</v>
      </c>
      <c r="F224" s="77" t="s">
        <v>187</v>
      </c>
      <c r="G224" s="77" t="s">
        <v>395</v>
      </c>
      <c r="H224" s="77" t="s">
        <v>396</v>
      </c>
      <c r="I224" s="77" t="s">
        <v>166</v>
      </c>
      <c r="J224" s="77" t="s">
        <v>397</v>
      </c>
      <c r="K224" s="77" t="s">
        <v>351</v>
      </c>
      <c r="L224" s="77" t="s">
        <v>398</v>
      </c>
      <c r="M224" s="77" t="s">
        <v>352</v>
      </c>
      <c r="N224" s="77" t="s">
        <v>399</v>
      </c>
      <c r="O224" s="77" t="s">
        <v>400</v>
      </c>
      <c r="P224" s="77" t="s">
        <v>359</v>
      </c>
      <c r="Q224" s="77" t="s">
        <v>401</v>
      </c>
      <c r="R224" s="77" t="s">
        <v>402</v>
      </c>
      <c r="S224" s="77" t="s">
        <v>403</v>
      </c>
      <c r="T224" s="77" t="s">
        <v>333</v>
      </c>
      <c r="U224" s="77" t="s">
        <v>332</v>
      </c>
      <c r="V224" s="77" t="s">
        <v>404</v>
      </c>
      <c r="W224" s="77" t="s">
        <v>405</v>
      </c>
      <c r="X224" s="77" t="s">
        <v>406</v>
      </c>
      <c r="Y224" s="77" t="s">
        <v>407</v>
      </c>
      <c r="Z224" s="77" t="s">
        <v>408</v>
      </c>
    </row>
    <row r="225" spans="1:47" x14ac:dyDescent="0.35">
      <c r="A225" s="78" t="s">
        <v>200</v>
      </c>
      <c r="B225" s="79"/>
      <c r="C225" s="80" t="s">
        <v>409</v>
      </c>
      <c r="D225" s="80" t="str">
        <f ca="1">TEXT(TODAY(),"YYYY-MM-DD")</f>
        <v>2023-05-16</v>
      </c>
      <c r="E225" s="81"/>
      <c r="F225" s="81">
        <v>11</v>
      </c>
      <c r="G225" s="81" t="s">
        <v>410</v>
      </c>
      <c r="H225" s="81">
        <f>F225</f>
        <v>11</v>
      </c>
      <c r="I225" s="80" t="s">
        <v>168</v>
      </c>
      <c r="J225" s="81" t="str">
        <f>TEXT(4,"0")</f>
        <v>4</v>
      </c>
      <c r="K225" s="81" t="str">
        <f>TEXT(H225*J225,"0")</f>
        <v>44</v>
      </c>
      <c r="L225" s="81"/>
      <c r="M225" s="81" t="str">
        <f>TEXT(52,"0")</f>
        <v>52</v>
      </c>
      <c r="N225" s="80" t="s">
        <v>179</v>
      </c>
      <c r="O225" s="80" t="s">
        <v>419</v>
      </c>
      <c r="P225" s="80" t="s">
        <v>414</v>
      </c>
      <c r="Q225" s="80" t="s">
        <v>450</v>
      </c>
      <c r="R225" s="80"/>
      <c r="S225" s="80" t="s">
        <v>199</v>
      </c>
      <c r="T225" s="80" t="s">
        <v>336</v>
      </c>
      <c r="U225" s="80">
        <f>B80</f>
        <v>2049157035</v>
      </c>
      <c r="V225" s="80" t="s">
        <v>411</v>
      </c>
      <c r="W225" s="80" t="s">
        <v>177</v>
      </c>
      <c r="X225" s="80" t="s">
        <v>412</v>
      </c>
      <c r="Y225" s="80" t="s">
        <v>413</v>
      </c>
      <c r="Z225" s="80"/>
      <c r="AU225" t="s">
        <v>493</v>
      </c>
    </row>
    <row r="226" spans="1:47" x14ac:dyDescent="0.35">
      <c r="A226" s="78" t="s">
        <v>200</v>
      </c>
      <c r="B226" s="79"/>
      <c r="C226" s="83" t="s">
        <v>416</v>
      </c>
      <c r="D226" s="83" t="str">
        <f ca="1">TEXT(TODAY()+30,"YYYY-MM-DD")</f>
        <v>2023-06-15</v>
      </c>
      <c r="E226" s="83"/>
      <c r="F226" s="83">
        <v>10</v>
      </c>
      <c r="G226" s="83" t="s">
        <v>410</v>
      </c>
      <c r="H226" s="83">
        <f>F226</f>
        <v>10</v>
      </c>
      <c r="I226" s="83" t="s">
        <v>168</v>
      </c>
      <c r="J226" s="83" t="str">
        <f>TEXT(4,"0")</f>
        <v>4</v>
      </c>
      <c r="K226" s="83" t="str">
        <f>TEXT(H226*J226,"0")</f>
        <v>40</v>
      </c>
      <c r="L226" s="83"/>
      <c r="M226" s="83" t="str">
        <f>TEXT(52,"0")</f>
        <v>52</v>
      </c>
      <c r="N226" s="83"/>
      <c r="O226" s="83" t="s">
        <v>415</v>
      </c>
      <c r="P226" s="83" t="s">
        <v>414</v>
      </c>
      <c r="Q226" s="83" t="s">
        <v>450</v>
      </c>
      <c r="R226" s="83"/>
      <c r="S226" s="83" t="s">
        <v>199</v>
      </c>
      <c r="T226" s="83" t="s">
        <v>336</v>
      </c>
      <c r="U226" s="131">
        <f>B80</f>
        <v>2049157035</v>
      </c>
      <c r="V226" s="83" t="s">
        <v>411</v>
      </c>
      <c r="W226" s="83" t="s">
        <v>177</v>
      </c>
      <c r="X226" s="83" t="s">
        <v>412</v>
      </c>
      <c r="Y226" s="83" t="s">
        <v>413</v>
      </c>
      <c r="Z226" s="83"/>
      <c r="AU226" t="s">
        <v>494</v>
      </c>
    </row>
    <row r="227" spans="1:47" x14ac:dyDescent="0.35">
      <c r="A227" s="78" t="s">
        <v>200</v>
      </c>
      <c r="B227" s="79"/>
      <c r="C227" s="82" t="s">
        <v>417</v>
      </c>
      <c r="D227" s="82" t="str">
        <f ca="1">TEXT(TODAY(),"YYYY-MM-DD")</f>
        <v>2023-05-16</v>
      </c>
      <c r="E227" s="82" t="str">
        <f ca="1">TEXT(TODAY()+29,"YYYY-MM-DD")</f>
        <v>2023-06-14</v>
      </c>
      <c r="F227" s="82">
        <v>11</v>
      </c>
      <c r="G227" s="82" t="s">
        <v>410</v>
      </c>
      <c r="H227" s="82">
        <f>F227</f>
        <v>11</v>
      </c>
      <c r="I227" s="82" t="s">
        <v>168</v>
      </c>
      <c r="J227" s="82" t="str">
        <f>TEXT(4,"0")</f>
        <v>4</v>
      </c>
      <c r="K227" s="82" t="str">
        <f>TEXT(H227*J227,"0")</f>
        <v>44</v>
      </c>
      <c r="L227" s="82"/>
      <c r="M227" s="82" t="str">
        <f>TEXT(52,"0")</f>
        <v>52</v>
      </c>
      <c r="N227" s="82"/>
      <c r="O227" s="82" t="s">
        <v>415</v>
      </c>
      <c r="P227" s="82" t="s">
        <v>414</v>
      </c>
      <c r="Q227" s="82" t="s">
        <v>450</v>
      </c>
      <c r="R227" s="82"/>
      <c r="S227" s="82" t="s">
        <v>199</v>
      </c>
      <c r="T227" s="82" t="s">
        <v>336</v>
      </c>
      <c r="U227" s="100">
        <f>B80</f>
        <v>2049157035</v>
      </c>
      <c r="V227" s="82" t="s">
        <v>411</v>
      </c>
      <c r="W227" s="82" t="s">
        <v>177</v>
      </c>
      <c r="X227" s="82" t="s">
        <v>412</v>
      </c>
      <c r="Y227" s="82" t="s">
        <v>413</v>
      </c>
      <c r="Z227" s="82"/>
      <c r="AU227" t="s">
        <v>469</v>
      </c>
    </row>
    <row r="229" spans="1:47" x14ac:dyDescent="0.35">
      <c r="A229" s="135" t="s">
        <v>451</v>
      </c>
      <c r="B229" s="136"/>
      <c r="C229" s="136"/>
      <c r="D229" s="136"/>
      <c r="E229" s="136"/>
      <c r="F229" s="136"/>
      <c r="G229" s="136"/>
      <c r="H229" s="136"/>
      <c r="I229" s="136"/>
      <c r="J229" s="136"/>
      <c r="K229" s="136"/>
      <c r="L229" s="136"/>
      <c r="M229" s="136"/>
      <c r="N229" s="136"/>
      <c r="O229" s="136"/>
      <c r="P229" s="136"/>
      <c r="Q229" s="136"/>
      <c r="R229" s="136"/>
      <c r="S229" s="129"/>
      <c r="T229" s="129"/>
      <c r="U229" s="129"/>
      <c r="V229" s="129"/>
      <c r="W229" s="129"/>
      <c r="X229" s="129"/>
      <c r="Y229" s="129"/>
      <c r="Z229" s="129"/>
    </row>
    <row r="230" spans="1:47" x14ac:dyDescent="0.35">
      <c r="A230" s="77" t="s">
        <v>392</v>
      </c>
      <c r="B230" s="77" t="s">
        <v>393</v>
      </c>
      <c r="C230" s="77" t="s">
        <v>394</v>
      </c>
      <c r="D230" s="77" t="s">
        <v>282</v>
      </c>
      <c r="E230" s="77" t="s">
        <v>294</v>
      </c>
      <c r="F230" s="77" t="s">
        <v>187</v>
      </c>
      <c r="G230" s="77" t="s">
        <v>395</v>
      </c>
      <c r="H230" s="77" t="s">
        <v>396</v>
      </c>
      <c r="I230" s="77" t="s">
        <v>166</v>
      </c>
      <c r="J230" s="77" t="s">
        <v>397</v>
      </c>
      <c r="K230" s="77" t="s">
        <v>351</v>
      </c>
      <c r="L230" s="77" t="s">
        <v>398</v>
      </c>
      <c r="M230" s="77" t="s">
        <v>352</v>
      </c>
      <c r="N230" s="77" t="s">
        <v>399</v>
      </c>
      <c r="O230" s="77" t="s">
        <v>400</v>
      </c>
      <c r="P230" s="77" t="s">
        <v>359</v>
      </c>
      <c r="Q230" s="77" t="s">
        <v>401</v>
      </c>
      <c r="R230" s="77" t="s">
        <v>402</v>
      </c>
      <c r="S230" s="77" t="s">
        <v>403</v>
      </c>
      <c r="T230" s="77" t="s">
        <v>333</v>
      </c>
      <c r="U230" s="77" t="s">
        <v>332</v>
      </c>
      <c r="V230" s="77" t="s">
        <v>404</v>
      </c>
      <c r="W230" s="77" t="s">
        <v>405</v>
      </c>
      <c r="X230" s="77" t="s">
        <v>406</v>
      </c>
      <c r="Y230" s="77" t="s">
        <v>407</v>
      </c>
      <c r="Z230" s="77" t="s">
        <v>408</v>
      </c>
    </row>
    <row r="231" spans="1:47" ht="19" customHeight="1" x14ac:dyDescent="0.35">
      <c r="A231" s="79" t="s">
        <v>207</v>
      </c>
      <c r="B231" s="79"/>
      <c r="C231" s="80" t="s">
        <v>409</v>
      </c>
      <c r="D231" s="81" t="str">
        <f ca="1">TEXT(TODAY(),"YYYY-MM-DD")</f>
        <v>2023-05-16</v>
      </c>
      <c r="E231" s="80"/>
      <c r="F231" s="80" t="s">
        <v>452</v>
      </c>
      <c r="G231" s="80" t="s">
        <v>410</v>
      </c>
      <c r="H231" s="80" t="s">
        <v>210</v>
      </c>
      <c r="I231" s="80" t="s">
        <v>168</v>
      </c>
      <c r="J231" s="80" t="s">
        <v>453</v>
      </c>
      <c r="K231" s="80" t="s">
        <v>454</v>
      </c>
      <c r="L231" s="80"/>
      <c r="M231" s="80" t="s">
        <v>455</v>
      </c>
      <c r="N231" s="80" t="s">
        <v>179</v>
      </c>
      <c r="O231" s="80" t="s">
        <v>419</v>
      </c>
      <c r="P231" s="80" t="s">
        <v>418</v>
      </c>
      <c r="Q231" s="80"/>
      <c r="R231" s="80"/>
      <c r="S231" s="130" t="s">
        <v>456</v>
      </c>
      <c r="T231" s="80" t="s">
        <v>336</v>
      </c>
      <c r="U231" s="80">
        <f>B80</f>
        <v>2049157035</v>
      </c>
      <c r="V231" s="80" t="s">
        <v>411</v>
      </c>
      <c r="W231" s="80">
        <v>1</v>
      </c>
      <c r="X231" s="80">
        <v>0</v>
      </c>
      <c r="Y231" s="80"/>
      <c r="Z231" s="80"/>
      <c r="AU231" t="s">
        <v>495</v>
      </c>
    </row>
    <row r="232" spans="1:47" ht="19" customHeight="1" x14ac:dyDescent="0.35">
      <c r="A232" s="79" t="s">
        <v>207</v>
      </c>
      <c r="B232" s="79"/>
      <c r="C232" s="83" t="s">
        <v>416</v>
      </c>
      <c r="D232" s="83" t="str">
        <f ca="1">TEXT(TODAY()+30,"YYYY-MM-DD")</f>
        <v>2023-06-15</v>
      </c>
      <c r="E232" s="83"/>
      <c r="F232" s="83" t="s">
        <v>457</v>
      </c>
      <c r="G232" s="83" t="s">
        <v>410</v>
      </c>
      <c r="H232" s="83" t="s">
        <v>210</v>
      </c>
      <c r="I232" s="83" t="s">
        <v>168</v>
      </c>
      <c r="J232" s="83" t="s">
        <v>453</v>
      </c>
      <c r="K232" s="83" t="s">
        <v>454</v>
      </c>
      <c r="L232" s="83"/>
      <c r="M232" s="83" t="s">
        <v>455</v>
      </c>
      <c r="N232" s="83" t="s">
        <v>179</v>
      </c>
      <c r="O232" s="83" t="s">
        <v>419</v>
      </c>
      <c r="P232" s="83" t="s">
        <v>418</v>
      </c>
      <c r="Q232" s="83"/>
      <c r="R232" s="83"/>
      <c r="S232" s="83" t="s">
        <v>456</v>
      </c>
      <c r="T232" s="83" t="s">
        <v>336</v>
      </c>
      <c r="U232" s="131">
        <f>B80</f>
        <v>2049157035</v>
      </c>
      <c r="V232" s="83" t="s">
        <v>411</v>
      </c>
      <c r="W232" s="83">
        <v>1</v>
      </c>
      <c r="X232" s="83">
        <v>0</v>
      </c>
      <c r="Y232" s="83"/>
      <c r="Z232" s="83"/>
      <c r="AU232" t="s">
        <v>496</v>
      </c>
    </row>
    <row r="233" spans="1:47" ht="19" customHeight="1" x14ac:dyDescent="0.35">
      <c r="A233" s="79" t="s">
        <v>207</v>
      </c>
      <c r="B233" s="79"/>
      <c r="C233" s="82" t="s">
        <v>417</v>
      </c>
      <c r="D233" s="82" t="str">
        <f ca="1">TEXT(TODAY(),"YYYY-MM-DD")</f>
        <v>2023-05-16</v>
      </c>
      <c r="E233" s="82" t="str">
        <f ca="1">TEXT(TODAY()+29,"YYYY-MM-DD")</f>
        <v>2023-06-14</v>
      </c>
      <c r="F233" s="82" t="s">
        <v>452</v>
      </c>
      <c r="G233" s="82" t="s">
        <v>410</v>
      </c>
      <c r="H233" s="82" t="s">
        <v>210</v>
      </c>
      <c r="I233" s="82" t="s">
        <v>168</v>
      </c>
      <c r="J233" s="82" t="s">
        <v>453</v>
      </c>
      <c r="K233" s="82" t="s">
        <v>454</v>
      </c>
      <c r="L233" s="82"/>
      <c r="M233" s="82" t="s">
        <v>455</v>
      </c>
      <c r="N233" s="82" t="s">
        <v>179</v>
      </c>
      <c r="O233" s="82" t="s">
        <v>419</v>
      </c>
      <c r="P233" s="82" t="s">
        <v>418</v>
      </c>
      <c r="Q233" s="82"/>
      <c r="R233" s="82"/>
      <c r="S233" s="82" t="s">
        <v>456</v>
      </c>
      <c r="T233" s="82" t="s">
        <v>336</v>
      </c>
      <c r="U233" s="100">
        <f>B80</f>
        <v>2049157035</v>
      </c>
      <c r="V233" s="82" t="s">
        <v>411</v>
      </c>
      <c r="W233" s="82">
        <v>1</v>
      </c>
      <c r="X233" s="82">
        <v>0</v>
      </c>
      <c r="Y233" s="82"/>
      <c r="Z233" s="82"/>
      <c r="AU233" t="s">
        <v>470</v>
      </c>
    </row>
    <row r="235" spans="1:47" x14ac:dyDescent="0.35">
      <c r="A235" s="135" t="s">
        <v>458</v>
      </c>
      <c r="B235" s="136"/>
      <c r="C235" s="136"/>
      <c r="D235" s="136"/>
      <c r="E235" s="136"/>
      <c r="F235" s="136"/>
      <c r="G235" s="136"/>
      <c r="H235" s="136"/>
      <c r="I235" s="136"/>
      <c r="J235" s="136"/>
      <c r="K235" s="136"/>
      <c r="L235" s="136"/>
      <c r="M235" s="136"/>
      <c r="N235" s="136"/>
      <c r="O235" s="136"/>
      <c r="P235" s="136"/>
      <c r="Q235" s="136"/>
      <c r="R235" s="136"/>
      <c r="S235" s="129"/>
      <c r="T235" s="129"/>
      <c r="U235" s="129"/>
      <c r="V235" s="129"/>
      <c r="W235" s="129"/>
      <c r="X235" s="129"/>
      <c r="Y235" s="129"/>
      <c r="Z235" s="129"/>
    </row>
    <row r="236" spans="1:47" x14ac:dyDescent="0.35">
      <c r="A236" s="77" t="s">
        <v>392</v>
      </c>
      <c r="B236" s="77" t="s">
        <v>393</v>
      </c>
      <c r="C236" s="77" t="s">
        <v>394</v>
      </c>
      <c r="D236" s="77" t="s">
        <v>282</v>
      </c>
      <c r="E236" s="77" t="s">
        <v>294</v>
      </c>
      <c r="F236" s="77" t="s">
        <v>187</v>
      </c>
      <c r="G236" s="77" t="s">
        <v>395</v>
      </c>
      <c r="H236" s="77" t="s">
        <v>396</v>
      </c>
      <c r="I236" s="77" t="s">
        <v>166</v>
      </c>
      <c r="J236" s="77" t="s">
        <v>397</v>
      </c>
      <c r="K236" s="77" t="s">
        <v>351</v>
      </c>
      <c r="L236" s="77" t="s">
        <v>398</v>
      </c>
      <c r="M236" s="77" t="s">
        <v>352</v>
      </c>
      <c r="N236" s="77" t="s">
        <v>399</v>
      </c>
      <c r="O236" s="77" t="s">
        <v>400</v>
      </c>
      <c r="P236" s="77" t="s">
        <v>359</v>
      </c>
      <c r="Q236" s="77" t="s">
        <v>401</v>
      </c>
      <c r="R236" s="77" t="s">
        <v>402</v>
      </c>
      <c r="S236" s="77" t="s">
        <v>403</v>
      </c>
      <c r="T236" s="77" t="s">
        <v>333</v>
      </c>
      <c r="U236" s="77" t="s">
        <v>332</v>
      </c>
      <c r="V236" s="77" t="s">
        <v>404</v>
      </c>
      <c r="W236" s="77" t="s">
        <v>405</v>
      </c>
      <c r="X236" s="77" t="s">
        <v>406</v>
      </c>
      <c r="Y236" s="77" t="s">
        <v>407</v>
      </c>
      <c r="Z236" s="77" t="s">
        <v>408</v>
      </c>
    </row>
    <row r="237" spans="1:47" ht="19" customHeight="1" x14ac:dyDescent="0.35">
      <c r="A237" s="79" t="s">
        <v>214</v>
      </c>
      <c r="B237" s="79"/>
      <c r="C237" s="80" t="s">
        <v>409</v>
      </c>
      <c r="D237" s="81" t="str">
        <f ca="1">TEXT(TODAY(),"YYYY-MM-DD")</f>
        <v>2023-05-16</v>
      </c>
      <c r="E237" s="80"/>
      <c r="F237" s="80" t="s">
        <v>452</v>
      </c>
      <c r="G237" s="80" t="s">
        <v>420</v>
      </c>
      <c r="H237" s="80" t="s">
        <v>210</v>
      </c>
      <c r="I237" s="80" t="s">
        <v>168</v>
      </c>
      <c r="J237" s="80" t="s">
        <v>453</v>
      </c>
      <c r="K237" s="80" t="s">
        <v>459</v>
      </c>
      <c r="L237" s="80"/>
      <c r="M237" s="80" t="s">
        <v>455</v>
      </c>
      <c r="N237" s="80" t="s">
        <v>179</v>
      </c>
      <c r="O237" s="80" t="s">
        <v>419</v>
      </c>
      <c r="P237" s="80" t="s">
        <v>418</v>
      </c>
      <c r="Q237" s="80"/>
      <c r="R237" s="80"/>
      <c r="S237" s="130" t="s">
        <v>456</v>
      </c>
      <c r="T237" s="80" t="s">
        <v>336</v>
      </c>
      <c r="U237" s="80">
        <f>B80</f>
        <v>2049157035</v>
      </c>
      <c r="V237" s="80" t="s">
        <v>411</v>
      </c>
      <c r="W237" s="80">
        <v>1</v>
      </c>
      <c r="X237" s="80">
        <v>0</v>
      </c>
      <c r="Y237" s="80"/>
      <c r="Z237" s="80"/>
      <c r="AU237" t="s">
        <v>497</v>
      </c>
    </row>
    <row r="238" spans="1:47" ht="19" customHeight="1" x14ac:dyDescent="0.35">
      <c r="A238" s="79" t="s">
        <v>214</v>
      </c>
      <c r="B238" s="79"/>
      <c r="C238" s="83" t="s">
        <v>416</v>
      </c>
      <c r="D238" s="83" t="str">
        <f ca="1">TEXT(TODAY()+30,"YYYY-MM-DD")</f>
        <v>2023-06-15</v>
      </c>
      <c r="E238" s="83"/>
      <c r="F238" s="83" t="s">
        <v>457</v>
      </c>
      <c r="G238" s="83" t="s">
        <v>420</v>
      </c>
      <c r="H238" s="83">
        <v>12.95</v>
      </c>
      <c r="I238" s="83" t="s">
        <v>168</v>
      </c>
      <c r="J238" s="83">
        <v>4</v>
      </c>
      <c r="K238" s="83" t="s">
        <v>459</v>
      </c>
      <c r="L238" s="83"/>
      <c r="M238" s="83" t="s">
        <v>455</v>
      </c>
      <c r="N238" s="83" t="s">
        <v>179</v>
      </c>
      <c r="O238" s="83" t="s">
        <v>419</v>
      </c>
      <c r="P238" s="83" t="s">
        <v>418</v>
      </c>
      <c r="Q238" s="83"/>
      <c r="R238" s="83"/>
      <c r="S238" s="83" t="s">
        <v>456</v>
      </c>
      <c r="T238" s="83" t="s">
        <v>336</v>
      </c>
      <c r="U238" s="131">
        <f>B80</f>
        <v>2049157035</v>
      </c>
      <c r="V238" s="83" t="s">
        <v>411</v>
      </c>
      <c r="W238" s="83">
        <v>1</v>
      </c>
      <c r="X238" s="83">
        <v>0</v>
      </c>
      <c r="Y238" s="83"/>
      <c r="Z238" s="83"/>
      <c r="AU238" t="s">
        <v>498</v>
      </c>
    </row>
    <row r="239" spans="1:47" ht="19" customHeight="1" x14ac:dyDescent="0.35">
      <c r="A239" s="79" t="s">
        <v>214</v>
      </c>
      <c r="B239" s="79"/>
      <c r="C239" s="82" t="s">
        <v>417</v>
      </c>
      <c r="D239" s="82" t="str">
        <f ca="1">TEXT(TODAY(),"YYYY-MM-DD")</f>
        <v>2023-05-16</v>
      </c>
      <c r="E239" s="82" t="str">
        <f ca="1">TEXT(TODAY()+29,"YYYY-MM-DD")</f>
        <v>2023-06-14</v>
      </c>
      <c r="F239" s="82" t="s">
        <v>452</v>
      </c>
      <c r="G239" s="82" t="s">
        <v>420</v>
      </c>
      <c r="H239" s="82" t="s">
        <v>210</v>
      </c>
      <c r="I239" s="82" t="s">
        <v>168</v>
      </c>
      <c r="J239" s="82" t="s">
        <v>453</v>
      </c>
      <c r="K239" s="82" t="s">
        <v>459</v>
      </c>
      <c r="L239" s="82"/>
      <c r="M239" s="82" t="s">
        <v>455</v>
      </c>
      <c r="N239" s="82" t="s">
        <v>179</v>
      </c>
      <c r="O239" s="82" t="s">
        <v>419</v>
      </c>
      <c r="P239" s="82" t="s">
        <v>418</v>
      </c>
      <c r="Q239" s="82"/>
      <c r="R239" s="82"/>
      <c r="S239" s="82" t="s">
        <v>456</v>
      </c>
      <c r="T239" s="82" t="s">
        <v>336</v>
      </c>
      <c r="U239" s="100">
        <f>B80</f>
        <v>2049157035</v>
      </c>
      <c r="V239" s="82" t="s">
        <v>411</v>
      </c>
      <c r="W239" s="82">
        <v>1</v>
      </c>
      <c r="X239" s="82">
        <v>0</v>
      </c>
      <c r="Y239" s="82"/>
      <c r="Z239" s="82"/>
      <c r="AU239" t="s">
        <v>471</v>
      </c>
    </row>
    <row r="240" spans="1:47" x14ac:dyDescent="0.35">
      <c r="U240" s="132"/>
    </row>
    <row r="241" spans="1:47" x14ac:dyDescent="0.35">
      <c r="A241" s="135" t="s">
        <v>460</v>
      </c>
      <c r="B241" s="136"/>
      <c r="C241" s="136"/>
      <c r="D241" s="136"/>
      <c r="E241" s="136"/>
      <c r="F241" s="136"/>
      <c r="G241" s="136"/>
      <c r="H241" s="136"/>
      <c r="I241" s="136"/>
      <c r="J241" s="136"/>
      <c r="K241" s="136"/>
      <c r="L241" s="136"/>
      <c r="M241" s="136"/>
      <c r="N241" s="136"/>
      <c r="O241" s="136"/>
      <c r="P241" s="136"/>
      <c r="Q241" s="136"/>
      <c r="R241" s="136"/>
      <c r="S241" s="129"/>
      <c r="T241" s="129"/>
      <c r="U241" s="133"/>
      <c r="V241" s="129"/>
      <c r="W241" s="129"/>
      <c r="X241" s="129"/>
      <c r="Y241" s="129"/>
      <c r="Z241" s="129"/>
    </row>
    <row r="242" spans="1:47" x14ac:dyDescent="0.35">
      <c r="A242" s="77" t="s">
        <v>392</v>
      </c>
      <c r="B242" s="77" t="s">
        <v>393</v>
      </c>
      <c r="C242" s="77" t="s">
        <v>394</v>
      </c>
      <c r="D242" s="77" t="s">
        <v>282</v>
      </c>
      <c r="E242" s="77" t="s">
        <v>294</v>
      </c>
      <c r="F242" s="77" t="s">
        <v>187</v>
      </c>
      <c r="G242" s="77" t="s">
        <v>395</v>
      </c>
      <c r="H242" s="77" t="s">
        <v>396</v>
      </c>
      <c r="I242" s="77" t="s">
        <v>166</v>
      </c>
      <c r="J242" s="77" t="s">
        <v>397</v>
      </c>
      <c r="K242" s="77" t="s">
        <v>351</v>
      </c>
      <c r="L242" s="77" t="s">
        <v>398</v>
      </c>
      <c r="M242" s="77" t="s">
        <v>352</v>
      </c>
      <c r="N242" s="77" t="s">
        <v>399</v>
      </c>
      <c r="O242" s="77" t="s">
        <v>400</v>
      </c>
      <c r="P242" s="77" t="s">
        <v>359</v>
      </c>
      <c r="Q242" s="77" t="s">
        <v>401</v>
      </c>
      <c r="R242" s="77" t="s">
        <v>402</v>
      </c>
      <c r="S242" s="77" t="s">
        <v>403</v>
      </c>
      <c r="T242" s="77" t="s">
        <v>333</v>
      </c>
      <c r="U242" s="134" t="s">
        <v>332</v>
      </c>
      <c r="V242" s="77" t="s">
        <v>404</v>
      </c>
      <c r="W242" s="77" t="s">
        <v>405</v>
      </c>
      <c r="X242" s="77" t="s">
        <v>406</v>
      </c>
      <c r="Y242" s="77" t="s">
        <v>407</v>
      </c>
      <c r="Z242" s="77" t="s">
        <v>408</v>
      </c>
    </row>
    <row r="243" spans="1:47" ht="16" customHeight="1" x14ac:dyDescent="0.35">
      <c r="A243" s="78" t="s">
        <v>222</v>
      </c>
      <c r="B243" s="79" t="s">
        <v>421</v>
      </c>
      <c r="C243" s="80" t="s">
        <v>409</v>
      </c>
      <c r="D243" s="80" t="str">
        <f ca="1">TEXT(TODAY(),"YYYY-MM-DD")</f>
        <v>2023-05-16</v>
      </c>
      <c r="E243" s="80"/>
      <c r="F243" s="80" t="s">
        <v>461</v>
      </c>
      <c r="G243" s="80" t="str">
        <f>CONCATENATE("USD,FLAT ",TEXT(F243,"0.00"))</f>
        <v>USD,FLAT 3.00</v>
      </c>
      <c r="H243" s="80" t="s">
        <v>462</v>
      </c>
      <c r="I243" s="80" t="s">
        <v>168</v>
      </c>
      <c r="J243" s="80">
        <v>4</v>
      </c>
      <c r="K243" s="80" t="s">
        <v>459</v>
      </c>
      <c r="L243" s="80"/>
      <c r="M243" s="80">
        <f>10+(J243*3)</f>
        <v>22</v>
      </c>
      <c r="N243" s="80" t="s">
        <v>179</v>
      </c>
      <c r="O243" s="80" t="s">
        <v>419</v>
      </c>
      <c r="P243" s="80" t="s">
        <v>418</v>
      </c>
      <c r="Q243" s="80"/>
      <c r="R243" s="80"/>
      <c r="S243" s="130" t="s">
        <v>456</v>
      </c>
      <c r="T243" s="80" t="s">
        <v>336</v>
      </c>
      <c r="U243" s="80">
        <f>B80</f>
        <v>2049157035</v>
      </c>
      <c r="V243" s="80" t="s">
        <v>411</v>
      </c>
      <c r="W243" s="80" t="s">
        <v>177</v>
      </c>
      <c r="X243" s="80" t="s">
        <v>412</v>
      </c>
      <c r="Y243" s="80" t="s">
        <v>413</v>
      </c>
      <c r="Z243" s="80"/>
      <c r="AU243" t="s">
        <v>499</v>
      </c>
    </row>
    <row r="244" spans="1:47" ht="16" customHeight="1" x14ac:dyDescent="0.35">
      <c r="A244" s="78" t="s">
        <v>222</v>
      </c>
      <c r="B244" s="79" t="s">
        <v>421</v>
      </c>
      <c r="C244" s="83" t="s">
        <v>416</v>
      </c>
      <c r="D244" s="83" t="str">
        <f ca="1">TEXT(TODAY()+30,"YYYY-MM-DD")</f>
        <v>2023-06-15</v>
      </c>
      <c r="E244" s="83"/>
      <c r="F244" s="83" t="s">
        <v>340</v>
      </c>
      <c r="G244" s="83" t="str">
        <f>CONCATENATE("USD,FLAT ",TEXT(F244,"0.00"))</f>
        <v>USD,FLAT 2.00</v>
      </c>
      <c r="H244" s="83" t="s">
        <v>462</v>
      </c>
      <c r="I244" s="83" t="s">
        <v>168</v>
      </c>
      <c r="J244" s="83">
        <v>4</v>
      </c>
      <c r="K244" s="83" t="s">
        <v>459</v>
      </c>
      <c r="L244" s="83"/>
      <c r="M244" s="83">
        <f>10+(J244*3)</f>
        <v>22</v>
      </c>
      <c r="N244" s="83" t="s">
        <v>179</v>
      </c>
      <c r="O244" s="83" t="s">
        <v>419</v>
      </c>
      <c r="P244" s="83" t="s">
        <v>418</v>
      </c>
      <c r="Q244" s="83"/>
      <c r="R244" s="83"/>
      <c r="S244" s="83" t="s">
        <v>456</v>
      </c>
      <c r="T244" s="83" t="s">
        <v>336</v>
      </c>
      <c r="U244" s="131">
        <f>B80</f>
        <v>2049157035</v>
      </c>
      <c r="V244" s="83" t="s">
        <v>411</v>
      </c>
      <c r="W244" s="83" t="s">
        <v>177</v>
      </c>
      <c r="X244" s="83" t="s">
        <v>412</v>
      </c>
      <c r="Y244" s="83" t="s">
        <v>413</v>
      </c>
      <c r="Z244" s="83"/>
      <c r="AU244" t="s">
        <v>500</v>
      </c>
    </row>
    <row r="245" spans="1:47" ht="16" customHeight="1" x14ac:dyDescent="0.35">
      <c r="A245" s="78" t="s">
        <v>222</v>
      </c>
      <c r="B245" s="79" t="s">
        <v>421</v>
      </c>
      <c r="C245" s="82" t="s">
        <v>417</v>
      </c>
      <c r="D245" s="82" t="str">
        <f ca="1">TEXT(TODAY(),"YYYY-MM-DD")</f>
        <v>2023-05-16</v>
      </c>
      <c r="E245" s="82" t="str">
        <f ca="1">TEXT(TODAY()+29,"YYYY-MM-DD")</f>
        <v>2023-06-14</v>
      </c>
      <c r="F245" s="82" t="s">
        <v>461</v>
      </c>
      <c r="G245" s="82" t="str">
        <f>CONCATENATE("USD,FLAT ",TEXT(F245,"0.00"))</f>
        <v>USD,FLAT 3.00</v>
      </c>
      <c r="H245" s="82" t="s">
        <v>462</v>
      </c>
      <c r="I245" s="82" t="s">
        <v>168</v>
      </c>
      <c r="J245" s="82">
        <v>4</v>
      </c>
      <c r="K245" s="82" t="s">
        <v>459</v>
      </c>
      <c r="L245" s="82"/>
      <c r="M245" s="82">
        <f>10+(J245*3)</f>
        <v>22</v>
      </c>
      <c r="N245" s="82" t="s">
        <v>179</v>
      </c>
      <c r="O245" s="82" t="s">
        <v>419</v>
      </c>
      <c r="P245" s="82" t="s">
        <v>418</v>
      </c>
      <c r="Q245" s="82"/>
      <c r="R245" s="82"/>
      <c r="S245" s="82" t="s">
        <v>456</v>
      </c>
      <c r="T245" s="82" t="s">
        <v>336</v>
      </c>
      <c r="U245" s="100">
        <f>B80</f>
        <v>2049157035</v>
      </c>
      <c r="V245" s="82" t="s">
        <v>411</v>
      </c>
      <c r="W245" s="82" t="s">
        <v>177</v>
      </c>
      <c r="X245" s="82" t="s">
        <v>412</v>
      </c>
      <c r="Y245" s="82" t="s">
        <v>413</v>
      </c>
      <c r="Z245" s="82"/>
      <c r="AU245" t="s">
        <v>463</v>
      </c>
    </row>
    <row r="246" spans="1:47" x14ac:dyDescent="0.35">
      <c r="U246" s="132"/>
    </row>
    <row r="247" spans="1:47" x14ac:dyDescent="0.35">
      <c r="A247" s="77" t="s">
        <v>392</v>
      </c>
      <c r="B247" s="77" t="s">
        <v>393</v>
      </c>
      <c r="C247" s="77" t="s">
        <v>394</v>
      </c>
      <c r="D247" s="77" t="s">
        <v>282</v>
      </c>
      <c r="E247" s="77" t="s">
        <v>294</v>
      </c>
      <c r="F247" s="77" t="s">
        <v>187</v>
      </c>
      <c r="G247" s="77" t="s">
        <v>395</v>
      </c>
      <c r="H247" s="77" t="s">
        <v>396</v>
      </c>
      <c r="I247" s="77" t="s">
        <v>166</v>
      </c>
      <c r="J247" s="77" t="s">
        <v>397</v>
      </c>
      <c r="K247" s="77" t="s">
        <v>351</v>
      </c>
      <c r="L247" s="77" t="s">
        <v>398</v>
      </c>
      <c r="M247" s="77" t="s">
        <v>352</v>
      </c>
      <c r="N247" s="77" t="s">
        <v>399</v>
      </c>
      <c r="O247" s="77" t="s">
        <v>400</v>
      </c>
      <c r="P247" s="77" t="s">
        <v>359</v>
      </c>
      <c r="Q247" s="77" t="s">
        <v>401</v>
      </c>
      <c r="R247" s="77" t="s">
        <v>402</v>
      </c>
      <c r="S247" s="77" t="s">
        <v>403</v>
      </c>
      <c r="T247" s="77" t="s">
        <v>333</v>
      </c>
      <c r="U247" s="134" t="s">
        <v>332</v>
      </c>
      <c r="V247" s="77" t="s">
        <v>404</v>
      </c>
      <c r="W247" s="77" t="s">
        <v>405</v>
      </c>
      <c r="X247" s="77" t="s">
        <v>406</v>
      </c>
      <c r="Y247" s="77" t="s">
        <v>407</v>
      </c>
      <c r="Z247" s="77" t="s">
        <v>408</v>
      </c>
    </row>
    <row r="248" spans="1:47" ht="16" customHeight="1" x14ac:dyDescent="0.35">
      <c r="A248" s="78" t="s">
        <v>222</v>
      </c>
      <c r="B248" s="79"/>
      <c r="C248" s="80" t="s">
        <v>409</v>
      </c>
      <c r="D248" s="80" t="str">
        <f ca="1">TEXT(TODAY(),"YYYY-MM-DD")</f>
        <v>2023-05-16</v>
      </c>
      <c r="E248" s="80"/>
      <c r="F248" s="80" t="s">
        <v>177</v>
      </c>
      <c r="G248" s="80" t="str">
        <f>CONCATENATE("USD,FLAT ",TEXT(F248,"0.00"))</f>
        <v>USD,FLAT 1.00</v>
      </c>
      <c r="H248" s="80" t="s">
        <v>462</v>
      </c>
      <c r="I248" s="80" t="s">
        <v>168</v>
      </c>
      <c r="J248" s="80">
        <v>4</v>
      </c>
      <c r="K248" s="80" t="s">
        <v>459</v>
      </c>
      <c r="L248" s="80"/>
      <c r="M248" s="80">
        <f>10+(J248*3)</f>
        <v>22</v>
      </c>
      <c r="N248" s="80" t="s">
        <v>179</v>
      </c>
      <c r="O248" s="80" t="s">
        <v>419</v>
      </c>
      <c r="P248" s="80" t="s">
        <v>418</v>
      </c>
      <c r="Q248" s="80"/>
      <c r="R248" s="80"/>
      <c r="S248" s="130" t="s">
        <v>456</v>
      </c>
      <c r="T248" s="80" t="s">
        <v>336</v>
      </c>
      <c r="U248" s="80">
        <f>B80</f>
        <v>2049157035</v>
      </c>
      <c r="V248" s="80" t="s">
        <v>411</v>
      </c>
      <c r="W248" s="80" t="s">
        <v>177</v>
      </c>
      <c r="X248" s="80" t="s">
        <v>412</v>
      </c>
      <c r="Y248" s="80" t="s">
        <v>413</v>
      </c>
      <c r="Z248" s="80"/>
      <c r="AU248" t="s">
        <v>501</v>
      </c>
    </row>
    <row r="249" spans="1:47" ht="16" customHeight="1" x14ac:dyDescent="0.35">
      <c r="A249" s="78" t="s">
        <v>222</v>
      </c>
      <c r="B249" s="79"/>
      <c r="C249" s="83" t="s">
        <v>416</v>
      </c>
      <c r="D249" s="83" t="str">
        <f ca="1">TEXT(TODAY()+30,"YYYY-MM-DD")</f>
        <v>2023-06-15</v>
      </c>
      <c r="E249" s="83"/>
      <c r="F249" s="83">
        <v>2</v>
      </c>
      <c r="G249" s="83" t="str">
        <f>CONCATENATE("USD,FLAT ",TEXT(F249,"0.00"))</f>
        <v>USD,FLAT 2.00</v>
      </c>
      <c r="H249" s="83" t="s">
        <v>462</v>
      </c>
      <c r="I249" s="83" t="s">
        <v>168</v>
      </c>
      <c r="J249" s="83">
        <v>4</v>
      </c>
      <c r="K249" s="83" t="s">
        <v>459</v>
      </c>
      <c r="L249" s="83"/>
      <c r="M249" s="83">
        <f>10+(J249*3)</f>
        <v>22</v>
      </c>
      <c r="N249" s="83" t="s">
        <v>179</v>
      </c>
      <c r="O249" s="83" t="s">
        <v>419</v>
      </c>
      <c r="P249" s="83" t="s">
        <v>418</v>
      </c>
      <c r="Q249" s="83"/>
      <c r="R249" s="83"/>
      <c r="S249" s="83" t="s">
        <v>456</v>
      </c>
      <c r="T249" s="83" t="s">
        <v>336</v>
      </c>
      <c r="U249" s="131">
        <f>B80</f>
        <v>2049157035</v>
      </c>
      <c r="V249" s="83" t="s">
        <v>411</v>
      </c>
      <c r="W249" s="83" t="s">
        <v>177</v>
      </c>
      <c r="X249" s="83" t="s">
        <v>412</v>
      </c>
      <c r="Y249" s="83" t="s">
        <v>413</v>
      </c>
      <c r="Z249" s="83"/>
      <c r="AU249" t="s">
        <v>502</v>
      </c>
    </row>
    <row r="250" spans="1:47" ht="16" customHeight="1" x14ac:dyDescent="0.35">
      <c r="A250" s="78" t="s">
        <v>222</v>
      </c>
      <c r="B250" s="79"/>
      <c r="C250" s="82" t="s">
        <v>417</v>
      </c>
      <c r="D250" s="82" t="str">
        <f ca="1">TEXT(TODAY(),"YYYY-MM-DD")</f>
        <v>2023-05-16</v>
      </c>
      <c r="E250" s="82" t="str">
        <f ca="1">TEXT(TODAY()+29,"YYYY-MM-DD")</f>
        <v>2023-06-14</v>
      </c>
      <c r="F250" s="82" t="s">
        <v>461</v>
      </c>
      <c r="G250" s="82" t="str">
        <f>CONCATENATE("USD,FLAT ",TEXT(F250,"0.00"))</f>
        <v>USD,FLAT 3.00</v>
      </c>
      <c r="H250" s="82" t="s">
        <v>462</v>
      </c>
      <c r="I250" s="82" t="s">
        <v>168</v>
      </c>
      <c r="J250" s="82">
        <v>4</v>
      </c>
      <c r="K250" s="82" t="s">
        <v>459</v>
      </c>
      <c r="L250" s="82"/>
      <c r="M250" s="82">
        <f>10+(J250*3)</f>
        <v>22</v>
      </c>
      <c r="N250" s="82" t="s">
        <v>179</v>
      </c>
      <c r="O250" s="82" t="s">
        <v>419</v>
      </c>
      <c r="P250" s="82" t="s">
        <v>418</v>
      </c>
      <c r="Q250" s="82"/>
      <c r="R250" s="82"/>
      <c r="S250" s="82" t="s">
        <v>456</v>
      </c>
      <c r="T250" s="82" t="s">
        <v>336</v>
      </c>
      <c r="U250" s="100">
        <f>B80</f>
        <v>2049157035</v>
      </c>
      <c r="V250" s="82" t="s">
        <v>411</v>
      </c>
      <c r="W250" s="82" t="s">
        <v>177</v>
      </c>
      <c r="X250" s="82" t="s">
        <v>412</v>
      </c>
      <c r="Y250" s="82" t="s">
        <v>413</v>
      </c>
      <c r="Z250" s="82"/>
      <c r="AU250" t="s">
        <v>463</v>
      </c>
    </row>
    <row r="252" spans="1:47" x14ac:dyDescent="0.35">
      <c r="A252" s="137" t="s">
        <v>368</v>
      </c>
      <c r="B252" s="138"/>
      <c r="C252" s="138"/>
      <c r="D252" s="138"/>
      <c r="E252" s="138"/>
      <c r="F252" s="138"/>
      <c r="G252" s="138"/>
      <c r="H252" s="138"/>
      <c r="I252" s="138"/>
      <c r="J252" s="138"/>
    </row>
    <row r="253" spans="1:47" x14ac:dyDescent="0.35">
      <c r="A253" s="117"/>
      <c r="B253" s="118"/>
      <c r="C253" s="142" t="s">
        <v>344</v>
      </c>
      <c r="D253" s="142"/>
      <c r="E253" s="142"/>
      <c r="F253" s="142"/>
      <c r="G253" s="142"/>
      <c r="H253" s="142"/>
      <c r="I253" s="142"/>
      <c r="J253" s="142"/>
      <c r="K253" s="142"/>
      <c r="Z253" s="70"/>
    </row>
    <row r="254" spans="1:47" x14ac:dyDescent="0.35">
      <c r="A254" s="143" t="s">
        <v>345</v>
      </c>
      <c r="B254" s="143" t="s">
        <v>346</v>
      </c>
      <c r="C254" s="145" t="s">
        <v>347</v>
      </c>
      <c r="D254" s="146"/>
      <c r="E254" s="146"/>
      <c r="F254" s="147"/>
      <c r="G254" s="148" t="s">
        <v>348</v>
      </c>
      <c r="H254" s="149"/>
      <c r="I254" s="149"/>
      <c r="J254" s="150"/>
      <c r="K254" s="151" t="s">
        <v>369</v>
      </c>
    </row>
    <row r="255" spans="1:47" x14ac:dyDescent="0.35">
      <c r="A255" s="144"/>
      <c r="B255" s="144"/>
      <c r="C255" s="65" t="s">
        <v>351</v>
      </c>
      <c r="D255" s="65" t="s">
        <v>352</v>
      </c>
      <c r="E255" s="65" t="s">
        <v>353</v>
      </c>
      <c r="F255" s="65" t="s">
        <v>354</v>
      </c>
      <c r="G255" s="66" t="s">
        <v>351</v>
      </c>
      <c r="H255" s="66" t="s">
        <v>352</v>
      </c>
      <c r="I255" s="66" t="s">
        <v>353</v>
      </c>
      <c r="J255" s="66" t="s">
        <v>354</v>
      </c>
      <c r="K255" s="152"/>
    </row>
    <row r="256" spans="1:47" x14ac:dyDescent="0.35">
      <c r="A256" s="56" t="s">
        <v>355</v>
      </c>
      <c r="B256" s="71"/>
      <c r="C256" s="30" t="str">
        <f>"$"&amp;TEXT(22921.56,"0.00")</f>
        <v>$22921.56</v>
      </c>
      <c r="D256" s="30" t="str">
        <f>"$"&amp;TEXT(678,"0.00")</f>
        <v>$678.00</v>
      </c>
      <c r="E256" s="30" t="str">
        <f>"$"&amp;TEXT(22243.56,"0.00")</f>
        <v>$22243.56</v>
      </c>
      <c r="F256" s="30" t="str">
        <f>TEXT(97.04,"0.00")</f>
        <v>97.04</v>
      </c>
      <c r="G256" s="30" t="str">
        <f>"$"&amp;TEXT(0,"0.00")</f>
        <v>$0.00</v>
      </c>
      <c r="H256" s="30" t="str">
        <f t="shared" ref="H256:I256" si="9">"$"&amp;TEXT(0,"0.00")</f>
        <v>$0.00</v>
      </c>
      <c r="I256" s="30" t="str">
        <f t="shared" si="9"/>
        <v>$0.00</v>
      </c>
      <c r="J256" s="30" t="str">
        <f>TEXT(0,"0.00")</f>
        <v>0.00</v>
      </c>
      <c r="K256" s="30" t="str">
        <f>TEXT(0,"0.00")</f>
        <v>0.00</v>
      </c>
    </row>
    <row r="258" spans="1:26" x14ac:dyDescent="0.35">
      <c r="A258" s="45" t="s">
        <v>370</v>
      </c>
      <c r="B258" s="46"/>
      <c r="C258" s="46"/>
    </row>
    <row r="259" spans="1:26" x14ac:dyDescent="0.35">
      <c r="A259" s="43" t="s">
        <v>370</v>
      </c>
      <c r="B259" s="43" t="s">
        <v>371</v>
      </c>
      <c r="C259" s="43" t="s">
        <v>372</v>
      </c>
      <c r="D259" s="43" t="s">
        <v>373</v>
      </c>
      <c r="E259" s="43" t="s">
        <v>285</v>
      </c>
      <c r="F259" s="43" t="s">
        <v>183</v>
      </c>
      <c r="G259" s="43" t="s">
        <v>184</v>
      </c>
      <c r="H259" s="43" t="s">
        <v>374</v>
      </c>
      <c r="I259" s="43" t="s">
        <v>375</v>
      </c>
      <c r="J259" s="43" t="s">
        <v>376</v>
      </c>
      <c r="K259" s="43" t="s">
        <v>282</v>
      </c>
      <c r="L259" s="43" t="s">
        <v>280</v>
      </c>
    </row>
    <row r="260" spans="1:26" ht="58" x14ac:dyDescent="0.35">
      <c r="A260" s="72" t="s">
        <v>468</v>
      </c>
      <c r="B260" s="73" t="s">
        <v>428</v>
      </c>
      <c r="C260" s="73" t="s">
        <v>427</v>
      </c>
      <c r="D260" s="73" t="s">
        <v>379</v>
      </c>
      <c r="E260" s="73" t="s">
        <v>379</v>
      </c>
      <c r="F260" s="73"/>
      <c r="G260" s="73"/>
      <c r="H260" s="73"/>
      <c r="I260" s="73"/>
      <c r="J260" s="74">
        <f ca="1">TODAY()</f>
        <v>45062</v>
      </c>
      <c r="K260" s="74">
        <v>234</v>
      </c>
      <c r="L260" s="73" t="s">
        <v>155</v>
      </c>
    </row>
    <row r="262" spans="1:26" x14ac:dyDescent="0.35">
      <c r="A262" s="137" t="s">
        <v>368</v>
      </c>
      <c r="B262" s="138"/>
      <c r="C262" s="138"/>
      <c r="D262" s="138"/>
      <c r="E262" s="138"/>
      <c r="F262" s="138"/>
      <c r="G262" s="138"/>
      <c r="H262" s="138"/>
      <c r="I262" s="138"/>
      <c r="J262" s="138"/>
    </row>
    <row r="263" spans="1:26" x14ac:dyDescent="0.35">
      <c r="A263" s="119"/>
      <c r="B263" s="120"/>
      <c r="C263" s="142" t="s">
        <v>344</v>
      </c>
      <c r="D263" s="142"/>
      <c r="E263" s="142"/>
      <c r="F263" s="142"/>
      <c r="G263" s="142"/>
      <c r="H263" s="142"/>
      <c r="I263" s="142"/>
      <c r="J263" s="142"/>
      <c r="K263" s="142"/>
      <c r="Z263" s="70"/>
    </row>
    <row r="264" spans="1:26" x14ac:dyDescent="0.35">
      <c r="A264" s="143" t="s">
        <v>345</v>
      </c>
      <c r="B264" s="143" t="s">
        <v>346</v>
      </c>
      <c r="C264" s="145" t="s">
        <v>347</v>
      </c>
      <c r="D264" s="146"/>
      <c r="E264" s="146"/>
      <c r="F264" s="147"/>
      <c r="G264" s="148" t="s">
        <v>348</v>
      </c>
      <c r="H264" s="149"/>
      <c r="I264" s="149"/>
      <c r="J264" s="150"/>
      <c r="K264" s="151" t="s">
        <v>369</v>
      </c>
    </row>
    <row r="265" spans="1:26" x14ac:dyDescent="0.35">
      <c r="A265" s="144"/>
      <c r="B265" s="144"/>
      <c r="C265" s="65" t="s">
        <v>351</v>
      </c>
      <c r="D265" s="65" t="s">
        <v>352</v>
      </c>
      <c r="E265" s="65" t="s">
        <v>353</v>
      </c>
      <c r="F265" s="65" t="s">
        <v>354</v>
      </c>
      <c r="G265" s="66" t="s">
        <v>351</v>
      </c>
      <c r="H265" s="66" t="s">
        <v>352</v>
      </c>
      <c r="I265" s="66" t="s">
        <v>353</v>
      </c>
      <c r="J265" s="66" t="s">
        <v>354</v>
      </c>
      <c r="K265" s="152"/>
    </row>
    <row r="266" spans="1:26" x14ac:dyDescent="0.35">
      <c r="A266" s="56" t="s">
        <v>355</v>
      </c>
      <c r="B266" s="71"/>
      <c r="C266" s="30" t="str">
        <f>"$"&amp;TEXT(22921.56,"0.00")</f>
        <v>$22921.56</v>
      </c>
      <c r="D266" s="30" t="str">
        <f>"$"&amp;TEXT(678,"0.00")</f>
        <v>$678.00</v>
      </c>
      <c r="E266" s="30" t="str">
        <f>"$"&amp;TEXT(22243.56,"0.00")</f>
        <v>$22243.56</v>
      </c>
      <c r="F266" s="30" t="str">
        <f>TEXT(97.04,"0.00")</f>
        <v>97.04</v>
      </c>
      <c r="G266" s="30" t="str">
        <f>"$"&amp;TEXT(0,"0.00")</f>
        <v>$0.00</v>
      </c>
      <c r="H266" s="30" t="str">
        <f t="shared" ref="H266:I266" si="10">"$"&amp;TEXT(0,"0.00")</f>
        <v>$0.00</v>
      </c>
      <c r="I266" s="30" t="str">
        <f t="shared" si="10"/>
        <v>$0.00</v>
      </c>
      <c r="J266" s="30" t="str">
        <f>TEXT(0,"0.00")</f>
        <v>0.00</v>
      </c>
      <c r="K266" s="30" t="str">
        <f>TEXT(0,"0.00")</f>
        <v>0.00</v>
      </c>
    </row>
    <row r="268" spans="1:26" ht="13.25" customHeight="1" x14ac:dyDescent="0.35">
      <c r="A268" s="137" t="s">
        <v>357</v>
      </c>
      <c r="B268" s="138"/>
      <c r="C268" s="138"/>
      <c r="D268" s="138"/>
      <c r="E268" s="138"/>
      <c r="F268" s="138"/>
      <c r="G268" s="138"/>
      <c r="H268" s="138"/>
      <c r="I268" s="138"/>
      <c r="J268" s="138"/>
      <c r="K268" s="138"/>
      <c r="L268" s="138"/>
    </row>
    <row r="269" spans="1:26" x14ac:dyDescent="0.35">
      <c r="A269" s="139" t="s">
        <v>131</v>
      </c>
      <c r="B269" s="139" t="s">
        <v>358</v>
      </c>
      <c r="C269" s="159" t="s">
        <v>359</v>
      </c>
      <c r="D269" s="173" t="s">
        <v>360</v>
      </c>
      <c r="E269" s="172" t="s">
        <v>344</v>
      </c>
      <c r="F269" s="172"/>
      <c r="G269" s="172"/>
      <c r="H269" s="172"/>
      <c r="I269" s="171" t="s">
        <v>361</v>
      </c>
      <c r="J269" s="171"/>
      <c r="K269" s="171"/>
      <c r="L269" s="171"/>
    </row>
    <row r="270" spans="1:26" x14ac:dyDescent="0.35">
      <c r="A270" s="140"/>
      <c r="B270" s="140"/>
      <c r="C270" s="160"/>
      <c r="D270" s="174"/>
      <c r="E270" s="145" t="s">
        <v>362</v>
      </c>
      <c r="F270" s="147"/>
      <c r="G270" s="148" t="s">
        <v>348</v>
      </c>
      <c r="H270" s="150"/>
      <c r="I270" s="145" t="s">
        <v>362</v>
      </c>
      <c r="J270" s="147"/>
      <c r="K270" s="148" t="s">
        <v>348</v>
      </c>
      <c r="L270" s="150"/>
    </row>
    <row r="271" spans="1:26" x14ac:dyDescent="0.35">
      <c r="A271" s="141"/>
      <c r="B271" s="141" t="s">
        <v>130</v>
      </c>
      <c r="C271" s="161"/>
      <c r="D271" s="175"/>
      <c r="E271" s="65" t="s">
        <v>363</v>
      </c>
      <c r="F271" s="65" t="s">
        <v>364</v>
      </c>
      <c r="G271" s="66" t="s">
        <v>365</v>
      </c>
      <c r="H271" s="66" t="s">
        <v>366</v>
      </c>
      <c r="I271" s="65" t="s">
        <v>363</v>
      </c>
      <c r="J271" s="65" t="s">
        <v>364</v>
      </c>
      <c r="K271" s="66" t="s">
        <v>365</v>
      </c>
      <c r="L271" s="66" t="s">
        <v>366</v>
      </c>
    </row>
    <row r="272" spans="1:26" x14ac:dyDescent="0.35">
      <c r="A272" s="41" t="str">
        <f>C5</f>
        <v>BANK_82_PRSPCH1_001</v>
      </c>
      <c r="B272" s="41" t="s">
        <v>355</v>
      </c>
      <c r="C272" s="56" t="s">
        <v>367</v>
      </c>
      <c r="D272" s="67" t="str">
        <f>TEXT(0,"0.00")</f>
        <v>0.00</v>
      </c>
      <c r="E272" s="68" t="str">
        <f>"$"&amp;TEXT(22921.56,"0.00")</f>
        <v>$22921.56</v>
      </c>
      <c r="F272" s="68" t="str">
        <f>"$"&amp;TEXT(678,"0.00")</f>
        <v>$678.00</v>
      </c>
      <c r="G272" s="68" t="str">
        <f>"$"&amp;TEXT(0,"0.00")</f>
        <v>$0.00</v>
      </c>
      <c r="H272" s="68" t="str">
        <f>"$"&amp;TEXT(0,"0.00")</f>
        <v>$0.00</v>
      </c>
      <c r="I272" s="69" t="str">
        <f>"$"&amp;TEXT(22921.56,"0.00")</f>
        <v>$22921.56</v>
      </c>
      <c r="J272" s="69" t="str">
        <f>"$"&amp;TEXT(678,"0.00")</f>
        <v>$678.00</v>
      </c>
      <c r="K272" s="69" t="str">
        <f>"$"&amp;TEXT(0,"0.00")</f>
        <v>$0.00</v>
      </c>
      <c r="L272" s="69" t="str">
        <f>"$"&amp;TEXT(0,"0.00")</f>
        <v>$0.00</v>
      </c>
    </row>
  </sheetData>
  <mergeCells count="68">
    <mergeCell ref="C269:C271"/>
    <mergeCell ref="D269:D271"/>
    <mergeCell ref="E269:H269"/>
    <mergeCell ref="I269:L269"/>
    <mergeCell ref="E270:F270"/>
    <mergeCell ref="G270:H270"/>
    <mergeCell ref="I270:J270"/>
    <mergeCell ref="K270:L270"/>
    <mergeCell ref="K189:L189"/>
    <mergeCell ref="E188:H188"/>
    <mergeCell ref="A188:A190"/>
    <mergeCell ref="B188:B190"/>
    <mergeCell ref="A183:A184"/>
    <mergeCell ref="B183:B184"/>
    <mergeCell ref="D188:D190"/>
    <mergeCell ref="A76:K76"/>
    <mergeCell ref="A78:D78"/>
    <mergeCell ref="A196:J196"/>
    <mergeCell ref="A213:R213"/>
    <mergeCell ref="B254:B255"/>
    <mergeCell ref="C254:F254"/>
    <mergeCell ref="G254:J254"/>
    <mergeCell ref="K254:K255"/>
    <mergeCell ref="C197:K197"/>
    <mergeCell ref="A198:A199"/>
    <mergeCell ref="C183:F183"/>
    <mergeCell ref="G183:J183"/>
    <mergeCell ref="C198:F198"/>
    <mergeCell ref="K183:K184"/>
    <mergeCell ref="I188:L188"/>
    <mergeCell ref="E189:F189"/>
    <mergeCell ref="A18:C18"/>
    <mergeCell ref="A23:P23"/>
    <mergeCell ref="A68:I68"/>
    <mergeCell ref="A62:D62"/>
    <mergeCell ref="A58:D58"/>
    <mergeCell ref="AG83:AL83"/>
    <mergeCell ref="T83:V83"/>
    <mergeCell ref="W83:X83"/>
    <mergeCell ref="Z83:AF83"/>
    <mergeCell ref="B198:B199"/>
    <mergeCell ref="G198:J198"/>
    <mergeCell ref="K198:K199"/>
    <mergeCell ref="A187:L187"/>
    <mergeCell ref="L183:L184"/>
    <mergeCell ref="A181:J181"/>
    <mergeCell ref="C182:K182"/>
    <mergeCell ref="C188:C190"/>
    <mergeCell ref="A92:R92"/>
    <mergeCell ref="A179:E179"/>
    <mergeCell ref="G189:H189"/>
    <mergeCell ref="I189:J189"/>
    <mergeCell ref="A229:R229"/>
    <mergeCell ref="A235:R235"/>
    <mergeCell ref="A241:R241"/>
    <mergeCell ref="A268:L268"/>
    <mergeCell ref="A269:A271"/>
    <mergeCell ref="A262:J262"/>
    <mergeCell ref="C263:K263"/>
    <mergeCell ref="A264:A265"/>
    <mergeCell ref="B264:B265"/>
    <mergeCell ref="C264:F264"/>
    <mergeCell ref="G264:J264"/>
    <mergeCell ref="K264:K265"/>
    <mergeCell ref="A252:J252"/>
    <mergeCell ref="C253:K253"/>
    <mergeCell ref="A254:A255"/>
    <mergeCell ref="B269:B271"/>
  </mergeCells>
  <dataValidations count="4">
    <dataValidation type="list" allowBlank="1" showInputMessage="1" showErrorMessage="1" sqref="C14 C58 UOH221:UOH222 UEL221:UEL222 TUP221:TUP222 TKT221:TKT222 TAX221:TAX222 SRB221:SRB222 SHF221:SHF222 RXJ221:RXJ222 RNN221:RNN222 RDR221:RDR222 QTV221:QTV222 QJZ221:QJZ222 QAD221:QAD222 PQH221:PQH222 PGL221:PGL222 OWP221:OWP222 OMT221:OMT222 OCX221:OCX222 NTB221:NTB222 NJF221:NJF222 MZJ221:MZJ222 MPN221:MPN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FR221:MFR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1:UYD222 NJF225:NJF227 NTB225:NTB227 OCX225:OCX227 OMT225:OMT227 OWP225:OWP227 PGL225:PGL227 PQH225:PQH227 QAD225:QAD227 QJZ225:QJZ227 QTV225:QTV227 RDR225:RDR227 RNN225:RNN227 RXJ225:RXJ227 SHF225:SHF227 SRB225:SRB227 TAX225:TAX227 TKT225:TKT227 TUP225:TUP227 UEL225:UEL227 UOH225:UOH227 UYD225:UYD227 VHZ225:VHZ227 VRV225:VRV227 WBR225:WBR227 WLN225:WLN227 WVJ225:WVJ227 IX225:IX227 ST225:ST227 ACP225:ACP227 AML225:AML227 AWH225:AWH227 BGD225:BGD227 BPZ225:BPZ227 BZV225:BZV227 CJR225:CJR227 CTN225:CTN227 DDJ225:DDJ227 DNF225:DNF227 DXB225:DXB227 EGX225:EGX227 EQT225:EQT227 FAP225:FAP227 LCD225:LCD227 FKL225:FKL227 FUH225:FUH227 GED225:GED227 GNZ225:GNZ227 GXV225:GXV227 HHR225:HHR227 HRN225:HRN227 IBJ225:IBJ227 ILF225:ILF227 IVB225:IVB227 JEX225:JEX227 JOT225:JOT227 JYP225:JYP227 KIL225:KIL227 KSH225:KSH227 LLZ225:LLZ227 LVV225:LVV227 MFR225:MFR227 MPN225:MPN227 MZJ225:MZJ227 LVV231:LVV233 LLZ231:LLZ233 KSH231:KSH233 KIL231:KIL233 JYP231:JYP233 JOT231:JOT233 JEX231:JEX233 IVB231:IVB233 ILF231:ILF233 IBJ231:IBJ233 HRN231:HRN233 HHR231:HHR233 GXV231:GXV233 GNZ231:GNZ233 GED231:GED233 FUH231:FUH233 FKL231:FKL233 LCD231:LCD233 FAP231:FAP233 EQT231:EQT233 EGX231:EGX233 DXB231:DXB233 DNF231:DNF233 DDJ231:DDJ233 CTN231:CTN233 CJR231:CJR233 BZV231:BZV233 BPZ231:BPZ233 BGD231:BGD233 AWH231:AWH233 AML231:AML233 ACP231:ACP233 ST231:ST233 IX231:IX233 WVJ231:WVJ233 WLN231:WLN233 WBR231:WBR233 VRV231:VRV233 VHZ231:VHZ233 UYD231:UYD233 UOH231:UOH233 UEL231:UEL233 TUP231:TUP233 TKT231:TKT233 TAX231:TAX233 SRB231:SRB233 SHF231:SHF233 RXJ231:RXJ233 RNN231:RNN233 RDR231:RDR233 QTV231:QTV233 QJZ231:QJZ233 QAD231:QAD233 PQH231:PQH233 PGL231:PGL233 OWP231:OWP233 OMT231:OMT233 OCX231:OCX233 NTB231:NTB233 NJF231:NJF233 MZJ231:MZJ233 MPN231:MPN233 MZJ243:MZJ245 MFR237:MFR239 LVV237:LVV239 LLZ237:LLZ239 KSH237:KSH239 KIL237:KIL239 JYP237:JYP239 JOT237:JOT239 JEX237:JEX239 IVB237:IVB239 ILF237:ILF239 IBJ237:IBJ239 HRN237:HRN239 HHR237:HHR239 GXV237:GXV239 GNZ237:GNZ239 GED237:GED239 FUH237:FUH239 FKL237:FKL239 LCD237:LCD239 FAP237:FAP239 EQT237:EQT239 EGX237:EGX239 DXB237:DXB239 DNF237:DNF239 DDJ237:DDJ239 CTN237:CTN239 CJR237:CJR239 BZV237:BZV239 BPZ237:BPZ239 BGD237:BGD239 AWH237:AWH239 AML237:AML239 ACP237:ACP239 ST237:ST239 IX237:IX239 WVJ237:WVJ239 WLN237:WLN239 WBR237:WBR239 VRV237:VRV239 VHZ237:VHZ239 UYD237:UYD239 UOH237:UOH239 UEL237:UEL239 TUP237:TUP239 TKT237:TKT239 TAX237:TAX239 SRB237:SRB239 SHF237:SHF239 RXJ237:RXJ239 RNN237:RNN239 RDR237:RDR239 QTV237:QTV239 QJZ237:QJZ239 QAD237:QAD239 PQH237:PQH239 PGL237:PGL239 OWP237:OWP239 OMT237:OMT239 OCX237:OCX239 NTB237:NTB239 NJF237:NJF239 MZJ237:MZJ239 MPN237:MPN239 NJF243:NJF245 NTB243:NTB245 OCX243:OCX245 OMT243:OMT245 OWP243:OWP245 PGL243:PGL245 PQH243:PQH245 QAD243:QAD245 QJZ243:QJZ245 QTV243:QTV245 RDR243:RDR245 RNN243:RNN245 RXJ243:RXJ245 SHF243:SHF245 SRB243:SRB245 TAX243:TAX245 TKT243:TKT245 TUP243:TUP245 UEL243:UEL245 UOH243:UOH245 UYD243:UYD245 VHZ243:VHZ245 VRV243:VRV245 WBR243:WBR245 WLN243:WLN245 WVJ243:WVJ245 IX243:IX245 ST243:ST245 ACP243:ACP245 AML243:AML245 AWH243:AWH245 BGD243:BGD245 BPZ243:BPZ245 BZV243:BZV245 CJR243:CJR245 CTN243:CTN245 DDJ243:DDJ245 DNF243:DNF245 DXB243:DXB245 EGX243:EGX245 EQT243:EQT245 FAP243:FAP245 LCD243:LCD245 FKL243:FKL245 FUH243:FUH245 GED243:GED245 GNZ243:GNZ245 GXV243:GXV245 HHR243:HHR245 HRN243:HRN245 IBJ243:IBJ245 ILF243:ILF245 IVB243:IVB245 JEX243:JEX245 JOT243:JOT245 JYP243:JYP245 KIL243:KIL245 KSH243:KSH245 LLZ243:LLZ245 LVV243:LVV245 MFR243:MFR245 MPN243:MPN245 MFR231:MFR233 MZJ248:MZJ250 NJF248:NJF250 NTB248:NTB250 OCX248:OCX250 OMT248:OMT250 OWP248:OWP250 PGL248:PGL250 PQH248:PQH250 QAD248:QAD250 QJZ248:QJZ250 QTV248:QTV250 RDR248:RDR250 RNN248:RNN250 RXJ248:RXJ250 SHF248:SHF250 SRB248:SRB250 TAX248:TAX250 TKT248:TKT250 TUP248:TUP250 UEL248:UEL250 UOH248:UOH250 UYD248:UYD250 VHZ248:VHZ250 VRV248:VRV250 WBR248:WBR250 WLN248:WLN250 WVJ248:WVJ250 IX248:IX250 ST248:ST250 ACP248:ACP250 AML248:AML250 AWH248:AWH250 BGD248:BGD250 BPZ248:BPZ250 BZV248:BZV250 CJR248:CJR250 CTN248:CTN250 DDJ248:DDJ250 DNF248:DNF250 DXB248:DXB250 EGX248:EGX250 EQT248:EQT250 FAP248:FAP250 LCD248:LCD250 FKL248:FKL250 FUH248:FUH250 GED248:GED250 GNZ248:GNZ250 GXV248:GXV250 HHR248:HHR250 HRN248:HRN250 IBJ248:IBJ250 ILF248:ILF250 IVB248:IVB250 JEX248:JEX250 JOT248:JOT250 JYP248:JYP250 KIL248:KIL250 KSH248:KSH250 LLZ248:LLZ250 LVV248:LVV250 MFR248:MFR250 MPN248:MPN250">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72">
      <formula1>"APPROVED, PENDING FOR APPROVAL, ERROR, ,"</formula1>
    </dataValidation>
    <dataValidation type="list" allowBlank="1" showInputMessage="1" showErrorMessage="1" sqref="N204 N207:N208 N26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6"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7"/>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6"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7"/>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6"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8"/>
      <c r="N45" s="5">
        <v>44</v>
      </c>
      <c r="O45" s="9" t="s">
        <v>79</v>
      </c>
      <c r="P45" s="10" t="s">
        <v>78</v>
      </c>
      <c r="Q45" s="10"/>
      <c r="R45" s="10" t="s">
        <v>124</v>
      </c>
      <c r="S45" s="10"/>
    </row>
    <row r="46" spans="1:19" ht="26" x14ac:dyDescent="0.35">
      <c r="A46" s="8"/>
      <c r="B46" s="8"/>
      <c r="C46" s="8"/>
      <c r="D46" s="8"/>
      <c r="E46" s="8"/>
      <c r="F46" s="8"/>
      <c r="G46" s="8"/>
      <c r="H46" s="8"/>
      <c r="I46" s="8"/>
      <c r="J46" s="8"/>
      <c r="K46" s="8"/>
      <c r="L46" s="8"/>
      <c r="M46" s="177"/>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2023-05-16T13:26:53Z</dcterms:modified>
</cp:coreProperties>
</file>