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1"/>
  </bookViews>
  <sheets>
    <sheet name="Pre-requisites" sheetId="2" r:id="rId1"/>
    <sheet name="TC-Existing customer" sheetId="1" r:id="rId2"/>
    <sheet name="TC_Existing Account" sheetId="4" r:id="rId3"/>
    <sheet name="Currency Conversion - Deal " sheetId="6" r:id="rId4"/>
    <sheet name="UC01 - CALCULATOIN" sheetId="3" r:id="rId5"/>
    <sheet name="Deal- Contracted data" sheetId="7" r:id="rId6"/>
    <sheet name="Bug_ID" sheetId="5" r:id="rId7"/>
  </sheets>
  <definedNames>
    <definedName name="_xlnm._FilterDatabase" localSheetId="1" hidden="1">'TC-Existing customer'!$A$354:$R$354</definedName>
  </definedNames>
  <calcPr calcId="162913"/>
</workbook>
</file>

<file path=xl/calcChain.xml><?xml version="1.0" encoding="utf-8"?>
<calcChain xmlns="http://schemas.openxmlformats.org/spreadsheetml/2006/main">
  <c r="E215" i="1" l="1"/>
  <c r="T122" i="1"/>
  <c r="S122" i="1"/>
  <c r="T121" i="1"/>
  <c r="M541" i="1" l="1"/>
  <c r="M327" i="1" l="1"/>
  <c r="K327" i="1"/>
  <c r="G560" i="1" l="1"/>
  <c r="G559" i="1"/>
  <c r="G558" i="1"/>
  <c r="G554" i="1"/>
  <c r="H553" i="1"/>
  <c r="G552" i="1"/>
  <c r="H551" i="1"/>
  <c r="G551" i="1"/>
  <c r="H550" i="1"/>
  <c r="H548" i="1"/>
  <c r="G549" i="1"/>
  <c r="G563" i="1"/>
  <c r="G562" i="1"/>
  <c r="G561" i="1"/>
  <c r="G557" i="1"/>
  <c r="G556" i="1"/>
  <c r="G555" i="1"/>
  <c r="G553" i="1"/>
  <c r="H306" i="1"/>
  <c r="F211" i="1"/>
  <c r="H210" i="1"/>
  <c r="H222" i="1"/>
  <c r="H201" i="1"/>
  <c r="H106" i="1"/>
  <c r="E102" i="1"/>
  <c r="B98" i="1"/>
  <c r="B552" i="1" s="1"/>
  <c r="H534" i="1"/>
  <c r="C545" i="1" s="1"/>
  <c r="J534" i="1"/>
  <c r="I534" i="1"/>
  <c r="I527" i="1"/>
  <c r="K527" i="1"/>
  <c r="J527" i="1"/>
  <c r="J523" i="1"/>
  <c r="C74" i="7"/>
  <c r="C73" i="7"/>
  <c r="C75" i="7"/>
  <c r="B459" i="7"/>
  <c r="A459" i="7"/>
  <c r="H453" i="7"/>
  <c r="M452" i="7"/>
  <c r="K452" i="7"/>
  <c r="G452" i="7"/>
  <c r="H449" i="7"/>
  <c r="M448" i="7"/>
  <c r="K448" i="7"/>
  <c r="L448" i="7"/>
  <c r="G448" i="7"/>
  <c r="H445" i="7"/>
  <c r="M444" i="7"/>
  <c r="K444" i="7"/>
  <c r="L444" i="7" s="1"/>
  <c r="G444" i="7"/>
  <c r="H441" i="7"/>
  <c r="M440" i="7"/>
  <c r="K440" i="7"/>
  <c r="L440" i="7"/>
  <c r="G440" i="7"/>
  <c r="H437" i="7"/>
  <c r="M436" i="7"/>
  <c r="K436" i="7"/>
  <c r="L436" i="7"/>
  <c r="G436" i="7"/>
  <c r="H433" i="7"/>
  <c r="M432" i="7"/>
  <c r="K432" i="7"/>
  <c r="L432" i="7" s="1"/>
  <c r="G432" i="7"/>
  <c r="H429" i="7"/>
  <c r="M428" i="7"/>
  <c r="K428" i="7"/>
  <c r="H428" i="7" s="1"/>
  <c r="G428" i="7"/>
  <c r="H425" i="7"/>
  <c r="M424" i="7"/>
  <c r="K424" i="7"/>
  <c r="L424" i="7"/>
  <c r="G424" i="7"/>
  <c r="M423" i="7"/>
  <c r="K423" i="7"/>
  <c r="J423" i="7"/>
  <c r="J422" i="7"/>
  <c r="J388" i="7" s="1"/>
  <c r="H419" i="7"/>
  <c r="M418" i="7"/>
  <c r="H415" i="7"/>
  <c r="M414" i="7"/>
  <c r="K414" i="7"/>
  <c r="L414" i="7" s="1"/>
  <c r="H411" i="7"/>
  <c r="M410" i="7"/>
  <c r="K410" i="7"/>
  <c r="H410" i="7" s="1"/>
  <c r="M409" i="7"/>
  <c r="K409" i="7"/>
  <c r="J409" i="7"/>
  <c r="J408" i="7"/>
  <c r="K404" i="7"/>
  <c r="L404" i="7" s="1"/>
  <c r="H404" i="7"/>
  <c r="G404" i="7"/>
  <c r="K400" i="7"/>
  <c r="L400" i="7" s="1"/>
  <c r="H400" i="7"/>
  <c r="G400" i="7"/>
  <c r="K397" i="7"/>
  <c r="H397" i="7" s="1"/>
  <c r="G397" i="7"/>
  <c r="M396" i="7"/>
  <c r="K396" i="7"/>
  <c r="H396" i="7"/>
  <c r="G396" i="7"/>
  <c r="M393" i="7"/>
  <c r="M391" i="7"/>
  <c r="K393" i="7"/>
  <c r="H393" i="7"/>
  <c r="G393" i="7"/>
  <c r="M392" i="7"/>
  <c r="K392" i="7"/>
  <c r="H392" i="7" s="1"/>
  <c r="G392" i="7"/>
  <c r="J391" i="7"/>
  <c r="J389" i="7" s="1"/>
  <c r="J390" i="7"/>
  <c r="H368" i="7"/>
  <c r="M367" i="7"/>
  <c r="K367" i="7"/>
  <c r="L367" i="7" s="1"/>
  <c r="G367" i="7"/>
  <c r="H364" i="7"/>
  <c r="M363" i="7"/>
  <c r="K363" i="7"/>
  <c r="H363" i="7" s="1"/>
  <c r="L363" i="7"/>
  <c r="G363" i="7"/>
  <c r="K362" i="7"/>
  <c r="L362" i="7" s="1"/>
  <c r="G362" i="7"/>
  <c r="H360" i="7"/>
  <c r="M359" i="7"/>
  <c r="K359" i="7"/>
  <c r="H359" i="7" s="1"/>
  <c r="G359" i="7"/>
  <c r="H356" i="7"/>
  <c r="M355" i="7"/>
  <c r="K355" i="7"/>
  <c r="H355" i="7" s="1"/>
  <c r="G355" i="7"/>
  <c r="H352" i="7"/>
  <c r="M351" i="7"/>
  <c r="M337" i="7" s="1"/>
  <c r="K351" i="7"/>
  <c r="H351" i="7"/>
  <c r="G351" i="7"/>
  <c r="H348" i="7"/>
  <c r="M347" i="7"/>
  <c r="K347" i="7"/>
  <c r="L347" i="7" s="1"/>
  <c r="G347" i="7"/>
  <c r="H344" i="7"/>
  <c r="M343" i="7"/>
  <c r="K343" i="7"/>
  <c r="H343" i="7" s="1"/>
  <c r="G343" i="7"/>
  <c r="K342" i="7"/>
  <c r="H342" i="7" s="1"/>
  <c r="G342" i="7"/>
  <c r="H340" i="7"/>
  <c r="M339" i="7"/>
  <c r="K339" i="7"/>
  <c r="L339" i="7" s="1"/>
  <c r="G339" i="7"/>
  <c r="M338" i="7"/>
  <c r="K338" i="7"/>
  <c r="J338" i="7"/>
  <c r="J337" i="7"/>
  <c r="H334" i="7"/>
  <c r="M333" i="7"/>
  <c r="H330" i="7"/>
  <c r="M329" i="7"/>
  <c r="K329" i="7"/>
  <c r="H329" i="7" s="1"/>
  <c r="M327" i="7"/>
  <c r="K327" i="7"/>
  <c r="L327" i="7" s="1"/>
  <c r="G327" i="7"/>
  <c r="H326" i="7"/>
  <c r="M325" i="7"/>
  <c r="M323" i="7" s="1"/>
  <c r="K325" i="7"/>
  <c r="L325" i="7" s="1"/>
  <c r="M324" i="7"/>
  <c r="K324" i="7"/>
  <c r="J324" i="7"/>
  <c r="J323" i="7"/>
  <c r="K319" i="7"/>
  <c r="L319" i="7" s="1"/>
  <c r="H319" i="7"/>
  <c r="G319" i="7"/>
  <c r="K317" i="7"/>
  <c r="L317" i="7"/>
  <c r="H317" i="7"/>
  <c r="G317" i="7"/>
  <c r="K315" i="7"/>
  <c r="L315" i="7" s="1"/>
  <c r="H315" i="7"/>
  <c r="G315" i="7"/>
  <c r="M313" i="7"/>
  <c r="K313" i="7"/>
  <c r="L313" i="7" s="1"/>
  <c r="G313" i="7"/>
  <c r="K312" i="7"/>
  <c r="H312" i="7" s="1"/>
  <c r="G312" i="7"/>
  <c r="M311" i="7"/>
  <c r="M305" i="7" s="1"/>
  <c r="K311" i="7"/>
  <c r="H311" i="7"/>
  <c r="G311" i="7"/>
  <c r="M309" i="7"/>
  <c r="K309" i="7"/>
  <c r="H309" i="7" s="1"/>
  <c r="G309" i="7"/>
  <c r="M308" i="7"/>
  <c r="M306" i="7" s="1"/>
  <c r="K308" i="7"/>
  <c r="H308" i="7" s="1"/>
  <c r="G308" i="7"/>
  <c r="M307" i="7"/>
  <c r="K307" i="7"/>
  <c r="H307" i="7"/>
  <c r="G307" i="7"/>
  <c r="J306" i="7"/>
  <c r="J305" i="7"/>
  <c r="B298" i="7"/>
  <c r="D309" i="7" s="1"/>
  <c r="E307" i="7" s="1"/>
  <c r="H296" i="7"/>
  <c r="M295" i="7"/>
  <c r="H292" i="7"/>
  <c r="M291" i="7"/>
  <c r="M285" i="7" s="1"/>
  <c r="K291" i="7"/>
  <c r="L291" i="7"/>
  <c r="H288" i="7"/>
  <c r="M287" i="7"/>
  <c r="K287" i="7"/>
  <c r="L287" i="7" s="1"/>
  <c r="M286" i="7"/>
  <c r="K286" i="7"/>
  <c r="J286" i="7"/>
  <c r="J285" i="7"/>
  <c r="H278" i="7"/>
  <c r="M277" i="7"/>
  <c r="K277" i="7"/>
  <c r="H277" i="7" s="1"/>
  <c r="G277" i="7"/>
  <c r="H257" i="7"/>
  <c r="M256" i="7"/>
  <c r="K256" i="7"/>
  <c r="L256" i="7" s="1"/>
  <c r="G256" i="7"/>
  <c r="H253" i="7"/>
  <c r="M252" i="7"/>
  <c r="K252" i="7"/>
  <c r="H252" i="7"/>
  <c r="G252" i="7"/>
  <c r="H249" i="7"/>
  <c r="M248" i="7"/>
  <c r="K248" i="7"/>
  <c r="H248" i="7" s="1"/>
  <c r="G248" i="7"/>
  <c r="H245" i="7"/>
  <c r="M244" i="7"/>
  <c r="K244" i="7"/>
  <c r="L244" i="7" s="1"/>
  <c r="G244" i="7"/>
  <c r="H241" i="7"/>
  <c r="M240" i="7"/>
  <c r="K240" i="7"/>
  <c r="L240" i="7" s="1"/>
  <c r="G240" i="7"/>
  <c r="H237" i="7"/>
  <c r="M236" i="7"/>
  <c r="K236" i="7"/>
  <c r="H236" i="7"/>
  <c r="G236" i="7"/>
  <c r="H233" i="7"/>
  <c r="M232" i="7"/>
  <c r="K232" i="7"/>
  <c r="G232" i="7"/>
  <c r="H229" i="7"/>
  <c r="M228" i="7"/>
  <c r="K228" i="7"/>
  <c r="H228" i="7" s="1"/>
  <c r="L228" i="7"/>
  <c r="G228" i="7"/>
  <c r="M227" i="7"/>
  <c r="K227" i="7"/>
  <c r="J227" i="7"/>
  <c r="J226" i="7"/>
  <c r="H223" i="7"/>
  <c r="M222" i="7"/>
  <c r="H219" i="7"/>
  <c r="M218" i="7"/>
  <c r="K218" i="7"/>
  <c r="H218" i="7" s="1"/>
  <c r="M216" i="7"/>
  <c r="K216" i="7"/>
  <c r="H216" i="7" s="1"/>
  <c r="L216" i="7"/>
  <c r="G216" i="7"/>
  <c r="H215" i="7"/>
  <c r="M214" i="7"/>
  <c r="K214" i="7"/>
  <c r="H214" i="7" s="1"/>
  <c r="M213" i="7"/>
  <c r="K213" i="7"/>
  <c r="J213" i="7"/>
  <c r="J212" i="7"/>
  <c r="K208" i="7"/>
  <c r="L208" i="7" s="1"/>
  <c r="H208" i="7"/>
  <c r="G208" i="7"/>
  <c r="K206" i="7"/>
  <c r="L206" i="7"/>
  <c r="H206" i="7"/>
  <c r="G206" i="7"/>
  <c r="K204" i="7"/>
  <c r="K194" i="7" s="1"/>
  <c r="H204" i="7"/>
  <c r="G204" i="7"/>
  <c r="M202" i="7"/>
  <c r="K202" i="7"/>
  <c r="L202" i="7"/>
  <c r="G202" i="7"/>
  <c r="K201" i="7"/>
  <c r="G201" i="7"/>
  <c r="M200" i="7"/>
  <c r="K200" i="7"/>
  <c r="H200" i="7" s="1"/>
  <c r="G200" i="7"/>
  <c r="M198" i="7"/>
  <c r="K198" i="7"/>
  <c r="H198" i="7" s="1"/>
  <c r="G198" i="7"/>
  <c r="M197" i="7"/>
  <c r="M195" i="7"/>
  <c r="M193" i="7" s="1"/>
  <c r="K197" i="7"/>
  <c r="H197" i="7" s="1"/>
  <c r="G197" i="7"/>
  <c r="M196" i="7"/>
  <c r="M194" i="7" s="1"/>
  <c r="K196" i="7"/>
  <c r="G196" i="7"/>
  <c r="J195" i="7"/>
  <c r="J194" i="7"/>
  <c r="B189" i="7"/>
  <c r="D206" i="7" s="1"/>
  <c r="E204" i="7" s="1"/>
  <c r="B156" i="7"/>
  <c r="A156" i="7"/>
  <c r="H150" i="7"/>
  <c r="M149" i="7"/>
  <c r="K149" i="7"/>
  <c r="L149" i="7" s="1"/>
  <c r="G149" i="7"/>
  <c r="H146" i="7"/>
  <c r="M145" i="7"/>
  <c r="K145" i="7"/>
  <c r="L145" i="7" s="1"/>
  <c r="G145" i="7"/>
  <c r="H142" i="7"/>
  <c r="M141" i="7"/>
  <c r="K141" i="7"/>
  <c r="H141" i="7" s="1"/>
  <c r="G141" i="7"/>
  <c r="H138" i="7"/>
  <c r="M137" i="7"/>
  <c r="K137" i="7"/>
  <c r="L137" i="7"/>
  <c r="G137" i="7"/>
  <c r="H134" i="7"/>
  <c r="M133" i="7"/>
  <c r="K133" i="7"/>
  <c r="L133" i="7" s="1"/>
  <c r="G133" i="7"/>
  <c r="H130" i="7"/>
  <c r="M129" i="7"/>
  <c r="K129" i="7"/>
  <c r="L129" i="7" s="1"/>
  <c r="G129" i="7"/>
  <c r="H126" i="7"/>
  <c r="M125" i="7"/>
  <c r="K125" i="7"/>
  <c r="G125" i="7"/>
  <c r="H122" i="7"/>
  <c r="M121" i="7"/>
  <c r="K121" i="7"/>
  <c r="H121" i="7" s="1"/>
  <c r="G121" i="7"/>
  <c r="M120" i="7"/>
  <c r="K120" i="7"/>
  <c r="J120" i="7"/>
  <c r="J119" i="7"/>
  <c r="H116" i="7"/>
  <c r="M115" i="7"/>
  <c r="H112" i="7"/>
  <c r="M111" i="7"/>
  <c r="K111" i="7"/>
  <c r="H111" i="7" s="1"/>
  <c r="L111" i="7"/>
  <c r="H108" i="7"/>
  <c r="M107" i="7"/>
  <c r="K107" i="7"/>
  <c r="H107" i="7" s="1"/>
  <c r="M106" i="7"/>
  <c r="K106" i="7"/>
  <c r="J106" i="7"/>
  <c r="J105" i="7"/>
  <c r="K101" i="7"/>
  <c r="L101" i="7" s="1"/>
  <c r="H101" i="7"/>
  <c r="G101" i="7"/>
  <c r="K97" i="7"/>
  <c r="L97" i="7"/>
  <c r="H97" i="7"/>
  <c r="G97" i="7"/>
  <c r="K94" i="7"/>
  <c r="H94" i="7" s="1"/>
  <c r="G94" i="7"/>
  <c r="M93" i="7"/>
  <c r="M87" i="7" s="1"/>
  <c r="K93" i="7"/>
  <c r="H93" i="7"/>
  <c r="G93" i="7"/>
  <c r="M90" i="7"/>
  <c r="M88" i="7"/>
  <c r="M86" i="7" s="1"/>
  <c r="H156" i="7" s="1"/>
  <c r="K90" i="7"/>
  <c r="H90" i="7"/>
  <c r="G90" i="7"/>
  <c r="M89" i="7"/>
  <c r="K89" i="7"/>
  <c r="K87" i="7" s="1"/>
  <c r="L89" i="7"/>
  <c r="G89" i="7"/>
  <c r="J88" i="7"/>
  <c r="J86" i="7" s="1"/>
  <c r="J87" i="7"/>
  <c r="J85" i="7"/>
  <c r="A12" i="7"/>
  <c r="B8" i="7"/>
  <c r="J193" i="7"/>
  <c r="M408" i="7"/>
  <c r="H202" i="7"/>
  <c r="L236" i="7"/>
  <c r="L428" i="7"/>
  <c r="K306" i="7"/>
  <c r="K304" i="7" s="1"/>
  <c r="K391" i="7"/>
  <c r="K389" i="7" s="1"/>
  <c r="G459" i="7" s="1"/>
  <c r="F464" i="7" s="1"/>
  <c r="L252" i="7"/>
  <c r="L329" i="7"/>
  <c r="L307" i="7"/>
  <c r="H440" i="7"/>
  <c r="L214" i="7"/>
  <c r="L343" i="7"/>
  <c r="D327" i="7"/>
  <c r="E325" i="7"/>
  <c r="H424" i="7"/>
  <c r="M212" i="7"/>
  <c r="D313" i="7"/>
  <c r="E311" i="7" s="1"/>
  <c r="H137" i="7"/>
  <c r="H325" i="7"/>
  <c r="L141" i="7"/>
  <c r="J303" i="7"/>
  <c r="H291" i="7"/>
  <c r="M390" i="7"/>
  <c r="H339" i="7"/>
  <c r="L342" i="7"/>
  <c r="L351" i="7"/>
  <c r="H149" i="7"/>
  <c r="H327" i="7"/>
  <c r="H436" i="7"/>
  <c r="H432" i="7"/>
  <c r="H448" i="7"/>
  <c r="K79" i="6"/>
  <c r="L79" i="6" s="1"/>
  <c r="K75" i="6"/>
  <c r="L75" i="6" s="1"/>
  <c r="Q75" i="6" s="1"/>
  <c r="N75" i="6" s="1"/>
  <c r="K69" i="6"/>
  <c r="K65" i="6"/>
  <c r="S79" i="6"/>
  <c r="Q79" i="6"/>
  <c r="R79" i="6"/>
  <c r="S75" i="6"/>
  <c r="S74" i="6"/>
  <c r="Q74" i="6"/>
  <c r="P74" i="6"/>
  <c r="S73" i="6"/>
  <c r="Q73" i="6"/>
  <c r="P73" i="6"/>
  <c r="S69" i="6"/>
  <c r="S65" i="6"/>
  <c r="S64" i="6"/>
  <c r="Q64" i="6"/>
  <c r="P64" i="6"/>
  <c r="S63" i="6"/>
  <c r="Q63" i="6"/>
  <c r="P63" i="6"/>
  <c r="P61" i="6" s="1"/>
  <c r="S62" i="6"/>
  <c r="Q62" i="6"/>
  <c r="S61" i="6"/>
  <c r="Q61" i="6"/>
  <c r="G79" i="6"/>
  <c r="G75" i="6"/>
  <c r="B86" i="6"/>
  <c r="A86" i="6"/>
  <c r="M79" i="6"/>
  <c r="M75" i="6"/>
  <c r="M73" i="6" s="1"/>
  <c r="M74" i="6"/>
  <c r="K74" i="6"/>
  <c r="J74" i="6"/>
  <c r="J73" i="6"/>
  <c r="M69" i="6"/>
  <c r="G69" i="6"/>
  <c r="M64" i="6"/>
  <c r="M62" i="6"/>
  <c r="H86" i="6" s="1"/>
  <c r="G109" i="6" s="1"/>
  <c r="M65" i="6"/>
  <c r="G65" i="6"/>
  <c r="J64" i="6"/>
  <c r="J62" i="6" s="1"/>
  <c r="J63" i="6"/>
  <c r="J61" i="6" s="1"/>
  <c r="C51" i="6"/>
  <c r="H47" i="6"/>
  <c r="D39" i="6"/>
  <c r="C39" i="6"/>
  <c r="B39" i="6"/>
  <c r="B12" i="6"/>
  <c r="A12" i="6"/>
  <c r="B8" i="6"/>
  <c r="H79" i="6"/>
  <c r="M63" i="6"/>
  <c r="K64" i="6"/>
  <c r="K62" i="6"/>
  <c r="G86" i="6" s="1"/>
  <c r="H508" i="1"/>
  <c r="M507" i="1"/>
  <c r="K507" i="1"/>
  <c r="H507" i="1"/>
  <c r="G507" i="1"/>
  <c r="H504" i="1"/>
  <c r="M503" i="1"/>
  <c r="K503" i="1"/>
  <c r="H503" i="1"/>
  <c r="G503" i="1"/>
  <c r="H500" i="1"/>
  <c r="M499" i="1"/>
  <c r="K499" i="1"/>
  <c r="L499" i="1" s="1"/>
  <c r="G499" i="1"/>
  <c r="H496" i="1"/>
  <c r="M495" i="1"/>
  <c r="K495" i="1"/>
  <c r="H495" i="1" s="1"/>
  <c r="G495" i="1"/>
  <c r="H492" i="1"/>
  <c r="M491" i="1"/>
  <c r="K491" i="1"/>
  <c r="H491" i="1" s="1"/>
  <c r="G491" i="1"/>
  <c r="H488" i="1"/>
  <c r="M487" i="1"/>
  <c r="K487" i="1"/>
  <c r="L487" i="1" s="1"/>
  <c r="G487" i="1"/>
  <c r="H484" i="1"/>
  <c r="M483" i="1"/>
  <c r="K483" i="1"/>
  <c r="L483" i="1" s="1"/>
  <c r="G483" i="1"/>
  <c r="H480" i="1"/>
  <c r="M479" i="1"/>
  <c r="M477" i="1" s="1"/>
  <c r="K479" i="1"/>
  <c r="L479" i="1"/>
  <c r="G479" i="1"/>
  <c r="M478" i="1"/>
  <c r="K478" i="1"/>
  <c r="J478" i="1"/>
  <c r="J477" i="1"/>
  <c r="H474" i="1"/>
  <c r="M473" i="1"/>
  <c r="H470" i="1"/>
  <c r="M469" i="1"/>
  <c r="K469" i="1"/>
  <c r="H469" i="1" s="1"/>
  <c r="H466" i="1"/>
  <c r="M465" i="1"/>
  <c r="K465" i="1"/>
  <c r="L465" i="1" s="1"/>
  <c r="M464" i="1"/>
  <c r="K464" i="1"/>
  <c r="J464" i="1"/>
  <c r="J463" i="1"/>
  <c r="K459" i="1"/>
  <c r="L459" i="1"/>
  <c r="H459" i="1"/>
  <c r="G459" i="1"/>
  <c r="K455" i="1"/>
  <c r="L455" i="1" s="1"/>
  <c r="H455" i="1"/>
  <c r="G455" i="1"/>
  <c r="K452" i="1"/>
  <c r="H452" i="1"/>
  <c r="G452" i="1"/>
  <c r="M451" i="1"/>
  <c r="K451" i="1"/>
  <c r="L451" i="1" s="1"/>
  <c r="G451" i="1"/>
  <c r="M448" i="1"/>
  <c r="M446" i="1" s="1"/>
  <c r="K448" i="1"/>
  <c r="G448" i="1"/>
  <c r="M447" i="1"/>
  <c r="M445" i="1" s="1"/>
  <c r="K447" i="1"/>
  <c r="H447" i="1"/>
  <c r="G447" i="1"/>
  <c r="J446" i="1"/>
  <c r="J445" i="1"/>
  <c r="J443" i="1" s="1"/>
  <c r="K414" i="1"/>
  <c r="K394" i="1"/>
  <c r="H394" i="1"/>
  <c r="G414" i="1"/>
  <c r="H337" i="1"/>
  <c r="M336" i="1"/>
  <c r="H333" i="1"/>
  <c r="M332" i="1"/>
  <c r="K332" i="1"/>
  <c r="H332" i="1"/>
  <c r="H329" i="1"/>
  <c r="M328" i="1"/>
  <c r="K328" i="1"/>
  <c r="L328" i="1"/>
  <c r="J327" i="1"/>
  <c r="J326" i="1"/>
  <c r="H314" i="1"/>
  <c r="M313" i="1"/>
  <c r="K313" i="1"/>
  <c r="H313" i="1" s="1"/>
  <c r="G313" i="1"/>
  <c r="J357" i="1"/>
  <c r="J358" i="1"/>
  <c r="J376" i="1"/>
  <c r="J375" i="1"/>
  <c r="J390" i="1"/>
  <c r="J389" i="1"/>
  <c r="J231" i="1"/>
  <c r="J230" i="1"/>
  <c r="J249" i="1"/>
  <c r="J248" i="1"/>
  <c r="J263" i="1"/>
  <c r="J229" i="1" s="1"/>
  <c r="J262" i="1"/>
  <c r="J124" i="1"/>
  <c r="J123" i="1"/>
  <c r="J121" i="1" s="1"/>
  <c r="J142" i="1"/>
  <c r="J141" i="1"/>
  <c r="J156" i="1"/>
  <c r="J155" i="1"/>
  <c r="B13" i="1"/>
  <c r="H352" i="4"/>
  <c r="M351" i="4"/>
  <c r="K351" i="4"/>
  <c r="L351" i="4" s="1"/>
  <c r="G351" i="4"/>
  <c r="K350" i="4"/>
  <c r="L350" i="4"/>
  <c r="G350" i="4"/>
  <c r="H348" i="4"/>
  <c r="M347" i="4"/>
  <c r="K347" i="4"/>
  <c r="L347" i="4" s="1"/>
  <c r="G347" i="4"/>
  <c r="H344" i="4"/>
  <c r="M343" i="4"/>
  <c r="K343" i="4"/>
  <c r="H343" i="4" s="1"/>
  <c r="G343" i="4"/>
  <c r="H340" i="4"/>
  <c r="M339" i="4"/>
  <c r="K339" i="4"/>
  <c r="G339" i="4"/>
  <c r="H336" i="4"/>
  <c r="M335" i="4"/>
  <c r="K335" i="4"/>
  <c r="L335" i="4" s="1"/>
  <c r="G335" i="4"/>
  <c r="H332" i="4"/>
  <c r="M331" i="4"/>
  <c r="K331" i="4"/>
  <c r="K321" i="4" s="1"/>
  <c r="G331" i="4"/>
  <c r="H328" i="4"/>
  <c r="M327" i="4"/>
  <c r="K327" i="4"/>
  <c r="L327" i="4" s="1"/>
  <c r="G327" i="4"/>
  <c r="K326" i="4"/>
  <c r="L326" i="4"/>
  <c r="G326" i="4"/>
  <c r="H324" i="4"/>
  <c r="M323" i="4"/>
  <c r="K323" i="4"/>
  <c r="L323" i="4" s="1"/>
  <c r="G323" i="4"/>
  <c r="M322" i="4"/>
  <c r="K322" i="4"/>
  <c r="H318" i="4"/>
  <c r="M317" i="4"/>
  <c r="H314" i="4"/>
  <c r="M313" i="4"/>
  <c r="K313" i="4"/>
  <c r="M311" i="4"/>
  <c r="K311" i="4"/>
  <c r="H311" i="4" s="1"/>
  <c r="G311" i="4"/>
  <c r="H310" i="4"/>
  <c r="M309" i="4"/>
  <c r="K309" i="4"/>
  <c r="L309" i="4" s="1"/>
  <c r="M308" i="4"/>
  <c r="K308" i="4"/>
  <c r="K303" i="4"/>
  <c r="L303" i="4" s="1"/>
  <c r="H303" i="4"/>
  <c r="G303" i="4"/>
  <c r="K302" i="4"/>
  <c r="L302" i="4"/>
  <c r="G302" i="4"/>
  <c r="K301" i="4"/>
  <c r="L301" i="4" s="1"/>
  <c r="H301" i="4"/>
  <c r="G301" i="4"/>
  <c r="K299" i="4"/>
  <c r="L299" i="4" s="1"/>
  <c r="H299" i="4"/>
  <c r="G299" i="4"/>
  <c r="K298" i="4"/>
  <c r="G298" i="4"/>
  <c r="M297" i="4"/>
  <c r="K297" i="4"/>
  <c r="H297" i="4" s="1"/>
  <c r="G297" i="4"/>
  <c r="K296" i="4"/>
  <c r="H296" i="4"/>
  <c r="G296" i="4"/>
  <c r="M295" i="4"/>
  <c r="K295" i="4"/>
  <c r="H295" i="4" s="1"/>
  <c r="G295" i="4"/>
  <c r="K294" i="4"/>
  <c r="L294" i="4" s="1"/>
  <c r="G294" i="4"/>
  <c r="M293" i="4"/>
  <c r="K293" i="4"/>
  <c r="L293" i="4" s="1"/>
  <c r="G293" i="4"/>
  <c r="M292" i="4"/>
  <c r="M290" i="4" s="1"/>
  <c r="K292" i="4"/>
  <c r="K290" i="4" s="1"/>
  <c r="K288" i="4" s="1"/>
  <c r="G292" i="4"/>
  <c r="M291" i="4"/>
  <c r="M289" i="4"/>
  <c r="K291" i="4"/>
  <c r="H291" i="4" s="1"/>
  <c r="G291" i="4"/>
  <c r="B284" i="4"/>
  <c r="D297" i="4" s="1"/>
  <c r="E295" i="4" s="1"/>
  <c r="H268" i="4"/>
  <c r="M267" i="4"/>
  <c r="K267" i="4"/>
  <c r="L267" i="4" s="1"/>
  <c r="G267" i="4"/>
  <c r="H264" i="4"/>
  <c r="M263" i="4"/>
  <c r="K263" i="4"/>
  <c r="L263" i="4"/>
  <c r="G263" i="4"/>
  <c r="H260" i="4"/>
  <c r="M259" i="4"/>
  <c r="K259" i="4"/>
  <c r="L259" i="4"/>
  <c r="G259" i="4"/>
  <c r="H256" i="4"/>
  <c r="M255" i="4"/>
  <c r="K255" i="4"/>
  <c r="G255" i="4"/>
  <c r="H252" i="4"/>
  <c r="M251" i="4"/>
  <c r="K251" i="4"/>
  <c r="L251" i="4"/>
  <c r="G251" i="4"/>
  <c r="H248" i="4"/>
  <c r="M247" i="4"/>
  <c r="K247" i="4"/>
  <c r="G247" i="4"/>
  <c r="H244" i="4"/>
  <c r="M243" i="4"/>
  <c r="K243" i="4"/>
  <c r="L243" i="4" s="1"/>
  <c r="G243" i="4"/>
  <c r="H240" i="4"/>
  <c r="M239" i="4"/>
  <c r="K239" i="4"/>
  <c r="L239" i="4"/>
  <c r="G239" i="4"/>
  <c r="M238" i="4"/>
  <c r="K238" i="4"/>
  <c r="H234" i="4"/>
  <c r="M233" i="4"/>
  <c r="M223" i="4" s="1"/>
  <c r="H230" i="4"/>
  <c r="M229" i="4"/>
  <c r="K229" i="4"/>
  <c r="L229" i="4" s="1"/>
  <c r="M227" i="4"/>
  <c r="K227" i="4"/>
  <c r="G227" i="4"/>
  <c r="H226" i="4"/>
  <c r="M225" i="4"/>
  <c r="K225" i="4"/>
  <c r="H225" i="4"/>
  <c r="M224" i="4"/>
  <c r="K224" i="4"/>
  <c r="K219" i="4"/>
  <c r="L219" i="4" s="1"/>
  <c r="H219" i="4"/>
  <c r="G219" i="4"/>
  <c r="K217" i="4"/>
  <c r="L217" i="4"/>
  <c r="H217" i="4"/>
  <c r="G217" i="4"/>
  <c r="K215" i="4"/>
  <c r="L215" i="4" s="1"/>
  <c r="H215" i="4"/>
  <c r="G215" i="4"/>
  <c r="M213" i="4"/>
  <c r="K213" i="4"/>
  <c r="L213" i="4"/>
  <c r="G213" i="4"/>
  <c r="K212" i="4"/>
  <c r="H212" i="4" s="1"/>
  <c r="G212" i="4"/>
  <c r="M211" i="4"/>
  <c r="K211" i="4"/>
  <c r="H211" i="4"/>
  <c r="G211" i="4"/>
  <c r="M209" i="4"/>
  <c r="K209" i="4"/>
  <c r="H209" i="4" s="1"/>
  <c r="G209" i="4"/>
  <c r="M208" i="4"/>
  <c r="M206" i="4" s="1"/>
  <c r="K208" i="4"/>
  <c r="K206" i="4" s="1"/>
  <c r="K204" i="4" s="1"/>
  <c r="F274" i="4" s="1"/>
  <c r="G208" i="4"/>
  <c r="M207" i="4"/>
  <c r="M205" i="4" s="1"/>
  <c r="K207" i="4"/>
  <c r="H207" i="4" s="1"/>
  <c r="G207" i="4"/>
  <c r="B200" i="4"/>
  <c r="B167" i="4"/>
  <c r="A167" i="4"/>
  <c r="H161" i="4"/>
  <c r="M160" i="4"/>
  <c r="K160" i="4"/>
  <c r="L160" i="4" s="1"/>
  <c r="G160" i="4"/>
  <c r="H157" i="4"/>
  <c r="M156" i="4"/>
  <c r="K156" i="4"/>
  <c r="G156" i="4"/>
  <c r="H153" i="4"/>
  <c r="M152" i="4"/>
  <c r="K152" i="4"/>
  <c r="H152" i="4" s="1"/>
  <c r="G152" i="4"/>
  <c r="H149" i="4"/>
  <c r="M148" i="4"/>
  <c r="K148" i="4"/>
  <c r="G148" i="4"/>
  <c r="H145" i="4"/>
  <c r="M144" i="4"/>
  <c r="K144" i="4"/>
  <c r="H144" i="4" s="1"/>
  <c r="G144" i="4"/>
  <c r="H141" i="4"/>
  <c r="M140" i="4"/>
  <c r="K140" i="4"/>
  <c r="G140" i="4"/>
  <c r="H137" i="4"/>
  <c r="M136" i="4"/>
  <c r="K136" i="4"/>
  <c r="L136" i="4" s="1"/>
  <c r="G136" i="4"/>
  <c r="H133" i="4"/>
  <c r="M132" i="4"/>
  <c r="K132" i="4"/>
  <c r="H132" i="4"/>
  <c r="G132" i="4"/>
  <c r="M131" i="4"/>
  <c r="K131" i="4"/>
  <c r="H127" i="4"/>
  <c r="M126" i="4"/>
  <c r="H123" i="4"/>
  <c r="M122" i="4"/>
  <c r="K122" i="4"/>
  <c r="L122" i="4" s="1"/>
  <c r="H119" i="4"/>
  <c r="M118" i="4"/>
  <c r="K118" i="4"/>
  <c r="M117" i="4"/>
  <c r="K117" i="4"/>
  <c r="K112" i="4"/>
  <c r="L112" i="4" s="1"/>
  <c r="H112" i="4"/>
  <c r="G112" i="4"/>
  <c r="K108" i="4"/>
  <c r="H108" i="4"/>
  <c r="G108" i="4"/>
  <c r="K105" i="4"/>
  <c r="H105" i="4" s="1"/>
  <c r="G105" i="4"/>
  <c r="M104" i="4"/>
  <c r="K104" i="4"/>
  <c r="H104" i="4"/>
  <c r="G104" i="4"/>
  <c r="M101" i="4"/>
  <c r="M99" i="4" s="1"/>
  <c r="M97" i="4" s="1"/>
  <c r="H167" i="4" s="1"/>
  <c r="K101" i="4"/>
  <c r="H101" i="4"/>
  <c r="G101" i="4"/>
  <c r="M100" i="4"/>
  <c r="M98" i="4" s="1"/>
  <c r="K100" i="4"/>
  <c r="H100" i="4" s="1"/>
  <c r="G100" i="4"/>
  <c r="C84" i="4"/>
  <c r="A84" i="4"/>
  <c r="H80" i="4"/>
  <c r="D72" i="4"/>
  <c r="C72" i="4"/>
  <c r="B72" i="4"/>
  <c r="B8" i="4"/>
  <c r="A8" i="4"/>
  <c r="L297" i="4"/>
  <c r="L298" i="4"/>
  <c r="H213" i="4"/>
  <c r="H347" i="4"/>
  <c r="L343" i="4"/>
  <c r="D311" i="4"/>
  <c r="E309" i="4" s="1"/>
  <c r="H323" i="4"/>
  <c r="H229" i="4"/>
  <c r="H263" i="4"/>
  <c r="H239" i="4"/>
  <c r="D293" i="4"/>
  <c r="E291" i="4" s="1"/>
  <c r="H122" i="4"/>
  <c r="L211" i="4"/>
  <c r="H259" i="4"/>
  <c r="L132" i="4"/>
  <c r="L225" i="4"/>
  <c r="H118" i="4"/>
  <c r="H251" i="4"/>
  <c r="H351" i="4"/>
  <c r="K395" i="1"/>
  <c r="L395" i="1" s="1"/>
  <c r="L394" i="1"/>
  <c r="G394" i="1"/>
  <c r="G361" i="1"/>
  <c r="K361" i="1"/>
  <c r="H361" i="1" s="1"/>
  <c r="M361" i="1"/>
  <c r="H420" i="1"/>
  <c r="M419" i="1"/>
  <c r="K419" i="1"/>
  <c r="L419" i="1" s="1"/>
  <c r="G419" i="1"/>
  <c r="H416" i="1"/>
  <c r="M415" i="1"/>
  <c r="K415" i="1"/>
  <c r="H415" i="1" s="1"/>
  <c r="G415" i="1"/>
  <c r="H412" i="1"/>
  <c r="M411" i="1"/>
  <c r="K411" i="1"/>
  <c r="H411" i="1"/>
  <c r="G411" i="1"/>
  <c r="H408" i="1"/>
  <c r="M407" i="1"/>
  <c r="K407" i="1"/>
  <c r="H407" i="1"/>
  <c r="G407" i="1"/>
  <c r="H404" i="1"/>
  <c r="M403" i="1"/>
  <c r="K403" i="1"/>
  <c r="H403" i="1"/>
  <c r="G403" i="1"/>
  <c r="H400" i="1"/>
  <c r="M399" i="1"/>
  <c r="K399" i="1"/>
  <c r="L399" i="1" s="1"/>
  <c r="G399" i="1"/>
  <c r="H396" i="1"/>
  <c r="M395" i="1"/>
  <c r="G395" i="1"/>
  <c r="H392" i="1"/>
  <c r="M391" i="1"/>
  <c r="K391" i="1"/>
  <c r="G391" i="1"/>
  <c r="M390" i="1"/>
  <c r="K390" i="1"/>
  <c r="H386" i="1"/>
  <c r="M385" i="1"/>
  <c r="H382" i="1"/>
  <c r="M381" i="1"/>
  <c r="K381" i="1"/>
  <c r="L381" i="1" s="1"/>
  <c r="M379" i="1"/>
  <c r="K379" i="1"/>
  <c r="L379" i="1" s="1"/>
  <c r="G379" i="1"/>
  <c r="H378" i="1"/>
  <c r="M377" i="1"/>
  <c r="K377" i="1"/>
  <c r="H377" i="1"/>
  <c r="M376" i="1"/>
  <c r="K376" i="1"/>
  <c r="K371" i="1"/>
  <c r="L371" i="1" s="1"/>
  <c r="H371" i="1"/>
  <c r="G371" i="1"/>
  <c r="K369" i="1"/>
  <c r="L369" i="1"/>
  <c r="H369" i="1"/>
  <c r="G369" i="1"/>
  <c r="K367" i="1"/>
  <c r="L367" i="1" s="1"/>
  <c r="H367" i="1"/>
  <c r="G367" i="1"/>
  <c r="M365" i="1"/>
  <c r="K365" i="1"/>
  <c r="H365" i="1" s="1"/>
  <c r="G365" i="1"/>
  <c r="K364" i="1"/>
  <c r="H364" i="1"/>
  <c r="G364" i="1"/>
  <c r="M363" i="1"/>
  <c r="M357" i="1" s="1"/>
  <c r="K363" i="1"/>
  <c r="H363" i="1"/>
  <c r="G363" i="1"/>
  <c r="M360" i="1"/>
  <c r="M358" i="1"/>
  <c r="K360" i="1"/>
  <c r="K358" i="1" s="1"/>
  <c r="T356" i="1" s="1"/>
  <c r="K356" i="1" s="1"/>
  <c r="G430" i="1" s="1"/>
  <c r="G360" i="1"/>
  <c r="M359" i="1"/>
  <c r="K359" i="1"/>
  <c r="G359" i="1"/>
  <c r="D379" i="1"/>
  <c r="D361" i="1"/>
  <c r="D369" i="1"/>
  <c r="D365" i="1"/>
  <c r="B14" i="1"/>
  <c r="A14" i="1"/>
  <c r="A13" i="1"/>
  <c r="B9" i="1"/>
  <c r="A9" i="1"/>
  <c r="B8" i="1"/>
  <c r="A74" i="1"/>
  <c r="A75" i="1"/>
  <c r="A76" i="1"/>
  <c r="A77" i="1"/>
  <c r="A78" i="1"/>
  <c r="A79" i="1"/>
  <c r="A80" i="1"/>
  <c r="A81" i="1"/>
  <c r="A83" i="1"/>
  <c r="A84" i="1"/>
  <c r="A85" i="1"/>
  <c r="A86" i="1"/>
  <c r="A87" i="1"/>
  <c r="A88" i="1"/>
  <c r="A89" i="1"/>
  <c r="A90" i="1"/>
  <c r="K242" i="1"/>
  <c r="L242" i="1" s="1"/>
  <c r="H242" i="1"/>
  <c r="G242" i="1"/>
  <c r="K252" i="1"/>
  <c r="H252" i="1" s="1"/>
  <c r="M252" i="1"/>
  <c r="G252" i="1"/>
  <c r="M238" i="1"/>
  <c r="K238" i="1"/>
  <c r="G238" i="1"/>
  <c r="M234" i="1"/>
  <c r="K234" i="1"/>
  <c r="H234" i="1" s="1"/>
  <c r="G234" i="1"/>
  <c r="H293" i="1"/>
  <c r="M292" i="1"/>
  <c r="K292" i="1"/>
  <c r="L292" i="1"/>
  <c r="G292" i="1"/>
  <c r="H289" i="1"/>
  <c r="M288" i="1"/>
  <c r="K288" i="1"/>
  <c r="L288" i="1"/>
  <c r="G288" i="1"/>
  <c r="H285" i="1"/>
  <c r="M284" i="1"/>
  <c r="K284" i="1"/>
  <c r="H284" i="1"/>
  <c r="G284" i="1"/>
  <c r="H281" i="1"/>
  <c r="M280" i="1"/>
  <c r="M262" i="1" s="1"/>
  <c r="K280" i="1"/>
  <c r="H280" i="1"/>
  <c r="G280" i="1"/>
  <c r="H277" i="1"/>
  <c r="M276" i="1"/>
  <c r="K276" i="1"/>
  <c r="L276" i="1" s="1"/>
  <c r="G276" i="1"/>
  <c r="H273" i="1"/>
  <c r="M272" i="1"/>
  <c r="K272" i="1"/>
  <c r="L272" i="1" s="1"/>
  <c r="G272" i="1"/>
  <c r="H269" i="1"/>
  <c r="M268" i="1"/>
  <c r="K268" i="1"/>
  <c r="H268" i="1" s="1"/>
  <c r="G268" i="1"/>
  <c r="H265" i="1"/>
  <c r="M264" i="1"/>
  <c r="K264" i="1"/>
  <c r="H264" i="1"/>
  <c r="G264" i="1"/>
  <c r="M263" i="1"/>
  <c r="K263" i="1"/>
  <c r="H259" i="1"/>
  <c r="M258" i="1"/>
  <c r="H255" i="1"/>
  <c r="M254" i="1"/>
  <c r="K254" i="1"/>
  <c r="L254" i="1" s="1"/>
  <c r="H251" i="1"/>
  <c r="M250" i="1"/>
  <c r="M248" i="1" s="1"/>
  <c r="K250" i="1"/>
  <c r="L250" i="1" s="1"/>
  <c r="H250" i="1"/>
  <c r="M249" i="1"/>
  <c r="T229" i="1" s="1"/>
  <c r="M229" i="1" s="1"/>
  <c r="K249" i="1"/>
  <c r="K244" i="1"/>
  <c r="L244" i="1"/>
  <c r="H244" i="1"/>
  <c r="G244" i="1"/>
  <c r="K240" i="1"/>
  <c r="L240" i="1" s="1"/>
  <c r="H240" i="1"/>
  <c r="G240" i="1"/>
  <c r="K237" i="1"/>
  <c r="H237" i="1"/>
  <c r="G237" i="1"/>
  <c r="M236" i="1"/>
  <c r="K236" i="1"/>
  <c r="H236" i="1" s="1"/>
  <c r="G236" i="1"/>
  <c r="M233" i="1"/>
  <c r="M231" i="1" s="1"/>
  <c r="K233" i="1"/>
  <c r="H233" i="1"/>
  <c r="G233" i="1"/>
  <c r="M232" i="1"/>
  <c r="M230" i="1" s="1"/>
  <c r="K232" i="1"/>
  <c r="H232" i="1" s="1"/>
  <c r="G232" i="1"/>
  <c r="B192" i="1"/>
  <c r="A192" i="1"/>
  <c r="H137" i="1"/>
  <c r="H133" i="1"/>
  <c r="K137" i="1"/>
  <c r="L137" i="1" s="1"/>
  <c r="K133" i="1"/>
  <c r="G137" i="1"/>
  <c r="G133" i="1"/>
  <c r="G130" i="1"/>
  <c r="G129" i="1"/>
  <c r="G126" i="1"/>
  <c r="G125" i="1"/>
  <c r="K130" i="1"/>
  <c r="M129" i="1"/>
  <c r="K129" i="1"/>
  <c r="H129" i="1" s="1"/>
  <c r="M156" i="1"/>
  <c r="K156" i="1"/>
  <c r="K157" i="1"/>
  <c r="H157" i="1"/>
  <c r="H186" i="1"/>
  <c r="H182" i="1"/>
  <c r="H178" i="1"/>
  <c r="H174" i="1"/>
  <c r="H170" i="1"/>
  <c r="H144" i="1"/>
  <c r="H148" i="1"/>
  <c r="H152" i="1"/>
  <c r="H166" i="1"/>
  <c r="H162" i="1"/>
  <c r="H158" i="1"/>
  <c r="M181" i="1"/>
  <c r="M177" i="1"/>
  <c r="M173" i="1"/>
  <c r="M169" i="1"/>
  <c r="M165" i="1"/>
  <c r="M155" i="1" s="1"/>
  <c r="M161" i="1"/>
  <c r="M185" i="1"/>
  <c r="M157" i="1"/>
  <c r="K185" i="1"/>
  <c r="L185" i="1"/>
  <c r="K181" i="1"/>
  <c r="L181" i="1" s="1"/>
  <c r="K177" i="1"/>
  <c r="H177" i="1" s="1"/>
  <c r="K173" i="1"/>
  <c r="L173" i="1" s="1"/>
  <c r="K169" i="1"/>
  <c r="H169" i="1" s="1"/>
  <c r="K165" i="1"/>
  <c r="H165" i="1" s="1"/>
  <c r="K161" i="1"/>
  <c r="H161" i="1" s="1"/>
  <c r="G173" i="1"/>
  <c r="G169" i="1"/>
  <c r="G157" i="1"/>
  <c r="G161" i="1"/>
  <c r="G165" i="1"/>
  <c r="G177" i="1"/>
  <c r="G181" i="1"/>
  <c r="G185" i="1"/>
  <c r="M142" i="1"/>
  <c r="K142" i="1"/>
  <c r="L252" i="1"/>
  <c r="L157" i="1"/>
  <c r="M151" i="1"/>
  <c r="M147" i="1"/>
  <c r="M143" i="1"/>
  <c r="M126" i="1"/>
  <c r="M124" i="1" s="1"/>
  <c r="M122" i="1" s="1"/>
  <c r="H192" i="1" s="1"/>
  <c r="M125" i="1"/>
  <c r="M123" i="1" s="1"/>
  <c r="C8" i="3"/>
  <c r="C5" i="3"/>
  <c r="C4" i="3"/>
  <c r="C3" i="3"/>
  <c r="C2" i="3"/>
  <c r="C9" i="3"/>
  <c r="C10" i="3" s="1"/>
  <c r="K143" i="1"/>
  <c r="K147" i="1"/>
  <c r="K126" i="1"/>
  <c r="H126" i="1" s="1"/>
  <c r="K125" i="1"/>
  <c r="C98" i="1"/>
  <c r="D98" i="1"/>
  <c r="H112" i="6"/>
  <c r="F91" i="6"/>
  <c r="H89" i="7"/>
  <c r="H414" i="7"/>
  <c r="H339" i="4"/>
  <c r="L339" i="4"/>
  <c r="L469" i="1"/>
  <c r="L148" i="4"/>
  <c r="H148" i="4"/>
  <c r="H156" i="4"/>
  <c r="L156" i="4"/>
  <c r="H208" i="4"/>
  <c r="L207" i="4"/>
  <c r="L227" i="4"/>
  <c r="H227" i="4"/>
  <c r="H125" i="7"/>
  <c r="L125" i="7"/>
  <c r="K119" i="7"/>
  <c r="H452" i="7"/>
  <c r="L452" i="7"/>
  <c r="H379" i="1"/>
  <c r="H133" i="7"/>
  <c r="D317" i="7"/>
  <c r="E315" i="7"/>
  <c r="L204" i="7"/>
  <c r="H232" i="7"/>
  <c r="L232" i="7"/>
  <c r="H414" i="1"/>
  <c r="L414" i="1"/>
  <c r="L65" i="6"/>
  <c r="Q65" i="6" s="1"/>
  <c r="H65" i="6"/>
  <c r="K63" i="6"/>
  <c r="H313" i="4"/>
  <c r="L313" i="4"/>
  <c r="H69" i="6"/>
  <c r="L69" i="6"/>
  <c r="Q69" i="6"/>
  <c r="N69" i="6" s="1"/>
  <c r="K195" i="7"/>
  <c r="K193" i="7" s="1"/>
  <c r="G266" i="7" s="1"/>
  <c r="L200" i="7"/>
  <c r="H201" i="7"/>
  <c r="K99" i="4"/>
  <c r="L247" i="4"/>
  <c r="H247" i="4"/>
  <c r="H255" i="4"/>
  <c r="L255" i="4"/>
  <c r="L107" i="7"/>
  <c r="K73" i="6"/>
  <c r="H347" i="7"/>
  <c r="K446" i="1"/>
  <c r="S444" i="1" s="1"/>
  <c r="K444" i="1" s="1"/>
  <c r="G514" i="1" s="1"/>
  <c r="F519" i="1" s="1"/>
  <c r="K422" i="7"/>
  <c r="L104" i="4"/>
  <c r="H292" i="4"/>
  <c r="N79" i="6"/>
  <c r="K305" i="7"/>
  <c r="H256" i="7"/>
  <c r="L311" i="7"/>
  <c r="H444" i="7"/>
  <c r="H129" i="7"/>
  <c r="K337" i="7"/>
  <c r="L396" i="7"/>
  <c r="K61" i="6"/>
  <c r="E86" i="6" s="1"/>
  <c r="H448" i="1"/>
  <c r="H185" i="1"/>
  <c r="H479" i="1"/>
  <c r="L411" i="1"/>
  <c r="H272" i="1"/>
  <c r="H419" i="1"/>
  <c r="H395" i="1"/>
  <c r="L332" i="1"/>
  <c r="L407" i="1"/>
  <c r="H499" i="1"/>
  <c r="L363" i="1"/>
  <c r="L377" i="1"/>
  <c r="B560" i="1"/>
  <c r="B553" i="1"/>
  <c r="H276" i="1"/>
  <c r="B563" i="1"/>
  <c r="S356" i="1"/>
  <c r="J356" i="1" s="1"/>
  <c r="J444" i="1"/>
  <c r="M375" i="1"/>
  <c r="L403" i="1"/>
  <c r="L232" i="1"/>
  <c r="K231" i="1"/>
  <c r="S229" i="1" s="1"/>
  <c r="K229" i="1" s="1"/>
  <c r="L264" i="1"/>
  <c r="T444" i="1"/>
  <c r="M444" i="1" s="1"/>
  <c r="H514" i="1" s="1"/>
  <c r="G519" i="1" s="1"/>
  <c r="J228" i="1"/>
  <c r="K262" i="1"/>
  <c r="L415" i="1"/>
  <c r="L268" i="1"/>
  <c r="U356" i="1"/>
  <c r="M356" i="1" s="1"/>
  <c r="G341" i="1" s="1"/>
  <c r="S355" i="1"/>
  <c r="J355" i="1" s="1"/>
  <c r="M463" i="1"/>
  <c r="L284" i="1"/>
  <c r="H359" i="1"/>
  <c r="L280" i="1"/>
  <c r="M141" i="1"/>
  <c r="L507" i="1"/>
  <c r="L359" i="1"/>
  <c r="J122" i="1"/>
  <c r="L125" i="1"/>
  <c r="L165" i="1"/>
  <c r="H288" i="1"/>
  <c r="L491" i="1"/>
  <c r="H181" i="1"/>
  <c r="H399" i="1"/>
  <c r="L447" i="1"/>
  <c r="H125" i="1"/>
  <c r="H292" i="1"/>
  <c r="L503" i="1"/>
  <c r="H328" i="1"/>
  <c r="F341" i="1"/>
  <c r="B555" i="1" l="1"/>
  <c r="B551" i="1"/>
  <c r="B562" i="1"/>
  <c r="B559" i="1"/>
  <c r="B554" i="1"/>
  <c r="B549" i="1"/>
  <c r="B558" i="1"/>
  <c r="B556" i="1"/>
  <c r="B561" i="1"/>
  <c r="B557" i="1"/>
  <c r="B548" i="1"/>
  <c r="T443" i="1"/>
  <c r="M443" i="1" s="1"/>
  <c r="J514" i="1" s="1"/>
  <c r="F514" i="1" s="1"/>
  <c r="C519" i="1" s="1"/>
  <c r="G362" i="4"/>
  <c r="I359" i="4"/>
  <c r="H519" i="1"/>
  <c r="I519" i="1"/>
  <c r="R65" i="6"/>
  <c r="N65" i="6"/>
  <c r="J192" i="7"/>
  <c r="K445" i="1"/>
  <c r="K357" i="1"/>
  <c r="R69" i="6"/>
  <c r="K390" i="7"/>
  <c r="H331" i="4"/>
  <c r="M389" i="1"/>
  <c r="H267" i="4"/>
  <c r="G344" i="1"/>
  <c r="L313" i="1"/>
  <c r="K237" i="4"/>
  <c r="K226" i="7"/>
  <c r="L331" i="4"/>
  <c r="L198" i="7"/>
  <c r="L169" i="1"/>
  <c r="D301" i="4"/>
  <c r="E299" i="4" s="1"/>
  <c r="M237" i="4"/>
  <c r="L311" i="4"/>
  <c r="P62" i="6"/>
  <c r="H244" i="7"/>
  <c r="D198" i="7"/>
  <c r="E196" i="7" s="1"/>
  <c r="D216" i="7"/>
  <c r="E214" i="7" s="1"/>
  <c r="M119" i="7"/>
  <c r="L277" i="7"/>
  <c r="H287" i="7"/>
  <c r="M61" i="6"/>
  <c r="F86" i="6" s="1"/>
  <c r="F112" i="6" s="1"/>
  <c r="M226" i="7"/>
  <c r="M422" i="7"/>
  <c r="L495" i="1"/>
  <c r="D202" i="7"/>
  <c r="E200" i="7" s="1"/>
  <c r="H254" i="1"/>
  <c r="H483" i="1"/>
  <c r="L152" i="4"/>
  <c r="H173" i="1"/>
  <c r="H136" i="4"/>
  <c r="M116" i="4"/>
  <c r="H335" i="4"/>
  <c r="H75" i="6"/>
  <c r="H145" i="7"/>
  <c r="L410" i="7"/>
  <c r="L121" i="7"/>
  <c r="L196" i="7"/>
  <c r="L248" i="7"/>
  <c r="H381" i="1"/>
  <c r="K477" i="1"/>
  <c r="H362" i="7"/>
  <c r="L392" i="7"/>
  <c r="M388" i="7"/>
  <c r="F459" i="7" s="1"/>
  <c r="C464" i="7" s="1"/>
  <c r="M389" i="7"/>
  <c r="H459" i="7" s="1"/>
  <c r="G464" i="7" s="1"/>
  <c r="B550" i="1"/>
  <c r="T228" i="1"/>
  <c r="M228" i="1" s="1"/>
  <c r="R75" i="6"/>
  <c r="K97" i="4"/>
  <c r="G167" i="4" s="1"/>
  <c r="G193" i="4" s="1"/>
  <c r="H451" i="1"/>
  <c r="L355" i="7"/>
  <c r="L291" i="4"/>
  <c r="M288" i="4"/>
  <c r="M321" i="4"/>
  <c r="J304" i="7"/>
  <c r="M304" i="7"/>
  <c r="M130" i="4"/>
  <c r="M96" i="4" s="1"/>
  <c r="F167" i="4" s="1"/>
  <c r="H341" i="1"/>
  <c r="I341" i="1"/>
  <c r="L309" i="7"/>
  <c r="L365" i="1"/>
  <c r="H487" i="1"/>
  <c r="L161" i="1"/>
  <c r="H360" i="1"/>
  <c r="L218" i="7"/>
  <c r="G91" i="6"/>
  <c r="H91" i="6" s="1"/>
  <c r="K130" i="4"/>
  <c r="M307" i="4"/>
  <c r="M287" i="4" s="1"/>
  <c r="M326" i="1"/>
  <c r="M105" i="7"/>
  <c r="M85" i="7" s="1"/>
  <c r="F156" i="7" s="1"/>
  <c r="J541" i="1"/>
  <c r="G210" i="1"/>
  <c r="I541" i="1"/>
  <c r="U355" i="1"/>
  <c r="M355" i="1" s="1"/>
  <c r="G302" i="1"/>
  <c r="F299" i="1"/>
  <c r="B91" i="6"/>
  <c r="E112" i="6"/>
  <c r="D86" i="6"/>
  <c r="B109" i="6"/>
  <c r="H218" i="1"/>
  <c r="G215" i="1"/>
  <c r="G197" i="1"/>
  <c r="H302" i="1"/>
  <c r="G299" i="1"/>
  <c r="J427" i="1"/>
  <c r="L177" i="1"/>
  <c r="L238" i="1"/>
  <c r="H238" i="1"/>
  <c r="L118" i="4"/>
  <c r="I427" i="1"/>
  <c r="L234" i="1"/>
  <c r="K155" i="1"/>
  <c r="H344" i="1"/>
  <c r="H160" i="4"/>
  <c r="L133" i="1"/>
  <c r="K123" i="1"/>
  <c r="C109" i="6"/>
  <c r="C91" i="6"/>
  <c r="H182" i="7"/>
  <c r="G161" i="7"/>
  <c r="G179" i="7"/>
  <c r="K98" i="4"/>
  <c r="L108" i="4"/>
  <c r="F263" i="7"/>
  <c r="H130" i="1"/>
  <c r="L129" i="1"/>
  <c r="K124" i="1"/>
  <c r="K122" i="1" s="1"/>
  <c r="G192" i="1" s="1"/>
  <c r="L236" i="1"/>
  <c r="K230" i="1"/>
  <c r="L391" i="1"/>
  <c r="H391" i="1"/>
  <c r="K389" i="1"/>
  <c r="M204" i="4"/>
  <c r="L147" i="1"/>
  <c r="H147" i="1"/>
  <c r="M121" i="1"/>
  <c r="F192" i="1" s="1"/>
  <c r="L140" i="4"/>
  <c r="H140" i="4"/>
  <c r="M192" i="7"/>
  <c r="M303" i="7"/>
  <c r="D217" i="4"/>
  <c r="E215" i="4" s="1"/>
  <c r="D213" i="4"/>
  <c r="E211" i="4" s="1"/>
  <c r="D209" i="4"/>
  <c r="E207" i="4" s="1"/>
  <c r="D227" i="4"/>
  <c r="E225" i="4" s="1"/>
  <c r="G277" i="4"/>
  <c r="F172" i="4"/>
  <c r="C12" i="3"/>
  <c r="C13" i="3" s="1"/>
  <c r="H193" i="4"/>
  <c r="G172" i="4"/>
  <c r="G190" i="4"/>
  <c r="H464" i="7"/>
  <c r="I464" i="7"/>
  <c r="H266" i="7"/>
  <c r="G263" i="7"/>
  <c r="H143" i="1"/>
  <c r="L143" i="1"/>
  <c r="H430" i="1"/>
  <c r="F190" i="4"/>
  <c r="M203" i="4"/>
  <c r="G112" i="6"/>
  <c r="F109" i="6"/>
  <c r="I375" i="7"/>
  <c r="G378" i="7"/>
  <c r="L361" i="1"/>
  <c r="L100" i="4"/>
  <c r="H327" i="4"/>
  <c r="H293" i="4"/>
  <c r="L93" i="7"/>
  <c r="H196" i="7"/>
  <c r="L359" i="7"/>
  <c r="H309" i="4"/>
  <c r="K289" i="4"/>
  <c r="K205" i="4"/>
  <c r="L295" i="4"/>
  <c r="L144" i="4"/>
  <c r="H240" i="7"/>
  <c r="L209" i="4"/>
  <c r="H313" i="7"/>
  <c r="K88" i="7"/>
  <c r="K86" i="7" s="1"/>
  <c r="G156" i="7" s="1"/>
  <c r="H367" i="7"/>
  <c r="H243" i="4"/>
  <c r="H465" i="1"/>
  <c r="C110" i="1"/>
  <c r="G201" i="1"/>
  <c r="A531" i="1"/>
  <c r="F534" i="1" s="1"/>
  <c r="H541" i="1"/>
  <c r="K523" i="1"/>
  <c r="F541" i="1"/>
  <c r="G106" i="1"/>
  <c r="G222" i="1"/>
  <c r="K534" i="1"/>
  <c r="B225" i="1"/>
  <c r="A538" i="1"/>
  <c r="F569" i="1"/>
  <c r="G306" i="1"/>
  <c r="K541" i="1"/>
  <c r="F362" i="4" l="1"/>
  <c r="C359" i="4"/>
  <c r="C179" i="7"/>
  <c r="F182" i="7"/>
  <c r="C161" i="7"/>
  <c r="F430" i="1"/>
  <c r="C341" i="1"/>
  <c r="F344" i="1"/>
  <c r="C427" i="1"/>
  <c r="I91" i="6"/>
  <c r="J375" i="7"/>
  <c r="H378" i="7"/>
  <c r="C215" i="1"/>
  <c r="F218" i="1"/>
  <c r="L427" i="1"/>
  <c r="K427" i="1"/>
  <c r="H299" i="1"/>
  <c r="I299" i="1"/>
  <c r="H362" i="4"/>
  <c r="J359" i="4"/>
  <c r="K359" i="4" s="1"/>
  <c r="C299" i="1"/>
  <c r="F302" i="1"/>
  <c r="H109" i="6"/>
  <c r="I109" i="6"/>
  <c r="J109" i="6"/>
  <c r="E109" i="6"/>
  <c r="D109" i="6"/>
  <c r="K418" i="7"/>
  <c r="K115" i="7"/>
  <c r="K295" i="7"/>
  <c r="K333" i="7"/>
  <c r="K233" i="4"/>
  <c r="K222" i="7"/>
  <c r="K385" i="1"/>
  <c r="K336" i="1"/>
  <c r="K326" i="1" s="1"/>
  <c r="K317" i="4"/>
  <c r="K258" i="1"/>
  <c r="K126" i="4"/>
  <c r="K151" i="1"/>
  <c r="K473" i="1"/>
  <c r="F277" i="4"/>
  <c r="C274" i="4"/>
  <c r="I172" i="4"/>
  <c r="H172" i="4"/>
  <c r="F378" i="7"/>
  <c r="C375" i="7"/>
  <c r="G274" i="4"/>
  <c r="H277" i="4"/>
  <c r="D112" i="6"/>
  <c r="C197" i="1"/>
  <c r="F215" i="1"/>
  <c r="G218" i="1"/>
  <c r="F197" i="1"/>
  <c r="H190" i="4"/>
  <c r="I190" i="4"/>
  <c r="F266" i="7"/>
  <c r="C263" i="7"/>
  <c r="H263" i="7"/>
  <c r="I263" i="7"/>
  <c r="E91" i="6"/>
  <c r="D91" i="6"/>
  <c r="J91" i="6"/>
  <c r="G182" i="7"/>
  <c r="F161" i="7"/>
  <c r="F179" i="7"/>
  <c r="C172" i="4"/>
  <c r="C190" i="4"/>
  <c r="F193" i="4"/>
  <c r="K375" i="7"/>
  <c r="L375" i="7"/>
  <c r="D242" i="1"/>
  <c r="E240" i="1" s="1"/>
  <c r="D234" i="1"/>
  <c r="E232" i="1" s="1"/>
  <c r="D252" i="1"/>
  <c r="E250" i="1" s="1"/>
  <c r="D238" i="1"/>
  <c r="E236" i="1" s="1"/>
  <c r="I215" i="1" l="1"/>
  <c r="H215" i="1"/>
  <c r="L359" i="4"/>
  <c r="H197" i="1"/>
  <c r="I197" i="1"/>
  <c r="I179" i="7"/>
  <c r="H179" i="7"/>
  <c r="K285" i="7"/>
  <c r="H295" i="7"/>
  <c r="L295" i="7"/>
  <c r="H258" i="1"/>
  <c r="K248" i="1"/>
  <c r="S228" i="1" s="1"/>
  <c r="K228" i="1" s="1"/>
  <c r="L258" i="1"/>
  <c r="L115" i="7"/>
  <c r="H115" i="7"/>
  <c r="K105" i="7"/>
  <c r="K85" i="7" s="1"/>
  <c r="E156" i="7" s="1"/>
  <c r="L385" i="1"/>
  <c r="N427" i="1"/>
  <c r="F427" i="1" s="1"/>
  <c r="G427" i="1" s="1"/>
  <c r="K375" i="1"/>
  <c r="T355" i="1" s="1"/>
  <c r="K355" i="1" s="1"/>
  <c r="H385" i="1"/>
  <c r="H222" i="7"/>
  <c r="K212" i="7"/>
  <c r="K192" i="7" s="1"/>
  <c r="L222" i="7"/>
  <c r="L473" i="1"/>
  <c r="H473" i="1"/>
  <c r="K463" i="1"/>
  <c r="S443" i="1" s="1"/>
  <c r="K443" i="1" s="1"/>
  <c r="I514" i="1" s="1"/>
  <c r="E514" i="1" s="1"/>
  <c r="L233" i="4"/>
  <c r="H233" i="4"/>
  <c r="K223" i="4"/>
  <c r="K203" i="4" s="1"/>
  <c r="I161" i="7"/>
  <c r="H161" i="7"/>
  <c r="I274" i="4"/>
  <c r="H274" i="4"/>
  <c r="L126" i="4"/>
  <c r="H126" i="4"/>
  <c r="K116" i="4"/>
  <c r="K96" i="4" s="1"/>
  <c r="E167" i="4" s="1"/>
  <c r="K307" i="4"/>
  <c r="K287" i="4" s="1"/>
  <c r="L317" i="4"/>
  <c r="H317" i="4"/>
  <c r="F359" i="4"/>
  <c r="L418" i="7"/>
  <c r="H418" i="7"/>
  <c r="K408" i="7"/>
  <c r="K388" i="7" s="1"/>
  <c r="E459" i="7" s="1"/>
  <c r="H336" i="1"/>
  <c r="L336" i="1"/>
  <c r="L151" i="1"/>
  <c r="K141" i="1"/>
  <c r="S121" i="1" s="1"/>
  <c r="K121" i="1" s="1"/>
  <c r="E192" i="1" s="1"/>
  <c r="H151" i="1"/>
  <c r="H333" i="7"/>
  <c r="L333" i="7"/>
  <c r="K323" i="7"/>
  <c r="K303" i="7" s="1"/>
  <c r="F375" i="7"/>
  <c r="B215" i="1" l="1"/>
  <c r="E218" i="1"/>
  <c r="D218" i="1" s="1"/>
  <c r="D192" i="1"/>
  <c r="B427" i="1"/>
  <c r="E430" i="1"/>
  <c r="D430" i="1" s="1"/>
  <c r="B341" i="1"/>
  <c r="E344" i="1"/>
  <c r="D344" i="1" s="1"/>
  <c r="B299" i="1"/>
  <c r="D299" i="1" s="1"/>
  <c r="E302" i="1"/>
  <c r="D302" i="1" s="1"/>
  <c r="B519" i="1"/>
  <c r="D514" i="1"/>
  <c r="B359" i="4"/>
  <c r="E362" i="4"/>
  <c r="D362" i="4" s="1"/>
  <c r="B172" i="4"/>
  <c r="D167" i="4"/>
  <c r="E193" i="4"/>
  <c r="D193" i="4" s="1"/>
  <c r="B190" i="4"/>
  <c r="B464" i="7"/>
  <c r="D459" i="7"/>
  <c r="B263" i="7"/>
  <c r="E266" i="7"/>
  <c r="D266" i="7" s="1"/>
  <c r="H375" i="7"/>
  <c r="G375" i="7"/>
  <c r="B197" i="1"/>
  <c r="H427" i="1"/>
  <c r="G359" i="4"/>
  <c r="H359" i="4"/>
  <c r="E182" i="7"/>
  <c r="D182" i="7" s="1"/>
  <c r="B179" i="7"/>
  <c r="B161" i="7"/>
  <c r="D156" i="7"/>
  <c r="B375" i="7"/>
  <c r="E378" i="7"/>
  <c r="D378" i="7" s="1"/>
  <c r="E277" i="4"/>
  <c r="D277" i="4" s="1"/>
  <c r="B274" i="4"/>
  <c r="J341" i="1" l="1"/>
  <c r="E341" i="1"/>
  <c r="D427" i="1"/>
  <c r="D341" i="1"/>
  <c r="K197" i="1"/>
  <c r="E197" i="1"/>
  <c r="J197" i="1"/>
  <c r="D197" i="1"/>
  <c r="D519" i="1"/>
  <c r="E519" i="1"/>
  <c r="J519" i="1"/>
  <c r="J215" i="1"/>
  <c r="D215" i="1"/>
  <c r="E299" i="1"/>
  <c r="J299" i="1"/>
  <c r="E274" i="4"/>
  <c r="J274" i="4"/>
  <c r="D274" i="4"/>
  <c r="D179" i="7"/>
  <c r="J179" i="7"/>
  <c r="E179" i="7"/>
  <c r="E427" i="1"/>
  <c r="M427" i="1"/>
  <c r="J464" i="7"/>
  <c r="D464" i="7"/>
  <c r="E464" i="7"/>
  <c r="J190" i="4"/>
  <c r="E190" i="4"/>
  <c r="D190" i="4"/>
  <c r="E375" i="7"/>
  <c r="M375" i="7"/>
  <c r="D375" i="7"/>
  <c r="D161" i="7"/>
  <c r="J161" i="7"/>
  <c r="E161" i="7"/>
  <c r="E263" i="7"/>
  <c r="D263" i="7"/>
  <c r="J263" i="7"/>
  <c r="E172" i="4"/>
  <c r="D172" i="4"/>
  <c r="J172" i="4"/>
  <c r="E359" i="4"/>
  <c r="D359" i="4"/>
  <c r="M359" i="4"/>
</calcChain>
</file>

<file path=xl/comments1.xml><?xml version="1.0" encoding="utf-8"?>
<comments xmlns="http://schemas.openxmlformats.org/spreadsheetml/2006/main">
  <authors>
    <author>Author</author>
  </authors>
  <commentList>
    <comment ref="K30" authorId="0" shapeId="0">
      <text>
        <r>
          <rPr>
            <b/>
            <sz val="9"/>
            <color indexed="81"/>
            <rFont val="Tahoma"/>
            <family val="2"/>
          </rPr>
          <t>Author:</t>
        </r>
        <r>
          <rPr>
            <sz val="9"/>
            <color indexed="81"/>
            <rFont val="Tahoma"/>
            <family val="2"/>
          </rPr>
          <t xml:space="preserve">
SF01 - inactive code not present</t>
        </r>
      </text>
    </comment>
    <comment ref="K143"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147"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151"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157"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A236" authorId="0" shapeId="0">
      <text>
        <r>
          <rPr>
            <b/>
            <sz val="9"/>
            <color indexed="81"/>
            <rFont val="Tahoma"/>
            <family val="2"/>
          </rPr>
          <t>Author:</t>
        </r>
        <r>
          <rPr>
            <sz val="9"/>
            <color indexed="81"/>
            <rFont val="Tahoma"/>
            <family val="2"/>
          </rPr>
          <t xml:space="preserve">
Parameter not present in post processing algorithm,so not able to execute approval workflow for post processing price item-C1_ANNPOST</t>
        </r>
      </text>
    </comment>
    <comment ref="K250"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54"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58"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264"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28"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332"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336"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77"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381"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385"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91"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94"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98"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414"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465"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469"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473"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479" authorId="0" shapeId="0">
      <text>
        <r>
          <rPr>
            <b/>
            <sz val="9"/>
            <color indexed="81"/>
            <rFont val="Tahoma"/>
            <family val="2"/>
          </rPr>
          <t>Author:</t>
        </r>
        <r>
          <rPr>
            <sz val="9"/>
            <color indexed="81"/>
            <rFont val="Tahoma"/>
            <family val="2"/>
          </rPr>
          <t xml:space="preserve">
in the rate schedule , flat chagges added - 3000 for paraticular condition </t>
        </r>
      </text>
    </comment>
  </commentList>
</comments>
</file>

<file path=xl/comments2.xml><?xml version="1.0" encoding="utf-8"?>
<comments xmlns="http://schemas.openxmlformats.org/spreadsheetml/2006/main">
  <authors>
    <author>Author</author>
  </authors>
  <commentList>
    <comment ref="K118"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122"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126"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132"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225"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29"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33"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239"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09"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313"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317"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23"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26" authorId="0" shapeId="0">
      <text>
        <r>
          <rPr>
            <b/>
            <sz val="9"/>
            <color indexed="81"/>
            <rFont val="Tahoma"/>
            <family val="2"/>
          </rPr>
          <t>Author:</t>
        </r>
        <r>
          <rPr>
            <sz val="9"/>
            <color indexed="81"/>
            <rFont val="Tahoma"/>
            <family val="2"/>
          </rPr>
          <t xml:space="preserve">
in the rate schedule , flat chagges added - 3000 for paraticular condition </t>
        </r>
      </text>
    </comment>
  </commentList>
</comments>
</file>

<file path=xl/comments3.xml><?xml version="1.0" encoding="utf-8"?>
<comments xmlns="http://schemas.openxmlformats.org/spreadsheetml/2006/main">
  <authors>
    <author>Author</author>
  </authors>
  <commentList>
    <comment ref="Q79"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List>
</comments>
</file>

<file path=xl/comments4.xml><?xml version="1.0" encoding="utf-8"?>
<comments xmlns="http://schemas.openxmlformats.org/spreadsheetml/2006/main">
  <authors>
    <author>Author</author>
  </authors>
  <commentList>
    <comment ref="K107"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111"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115"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121"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A200" authorId="0" shapeId="0">
      <text>
        <r>
          <rPr>
            <b/>
            <sz val="9"/>
            <color indexed="81"/>
            <rFont val="Tahoma"/>
            <family val="2"/>
          </rPr>
          <t>Author:</t>
        </r>
        <r>
          <rPr>
            <sz val="9"/>
            <color indexed="81"/>
            <rFont val="Tahoma"/>
            <family val="2"/>
          </rPr>
          <t xml:space="preserve">
Parameter not present in post processing algorithm,so not able to execute approval workflow for post processing price item-C1_ANNPOST</t>
        </r>
      </text>
    </comment>
    <comment ref="K214"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18"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22"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228"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287"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291"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295"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25"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329"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333"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339"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42"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46"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362" authorId="0" shapeId="0">
      <text>
        <r>
          <rPr>
            <b/>
            <sz val="9"/>
            <color indexed="81"/>
            <rFont val="Tahoma"/>
            <family val="2"/>
          </rPr>
          <t>Author:</t>
        </r>
        <r>
          <rPr>
            <sz val="9"/>
            <color indexed="81"/>
            <rFont val="Tahoma"/>
            <family val="2"/>
          </rPr>
          <t xml:space="preserve">
in the rate schedule , flat chagges added - 3000 for paraticular condition </t>
        </r>
      </text>
    </comment>
    <comment ref="K410" authorId="0" shapeId="0">
      <text>
        <r>
          <rPr>
            <b/>
            <sz val="9"/>
            <color indexed="81"/>
            <rFont val="Tahoma"/>
            <family val="2"/>
          </rPr>
          <t>Author:</t>
        </r>
        <r>
          <rPr>
            <sz val="9"/>
            <color indexed="81"/>
            <rFont val="Tahoma"/>
            <family val="2"/>
          </rPr>
          <t xml:space="preserve">
72000  commitment for yearly so it is converted in the monthly , (72000/12)= 6000 
step tier calculated on the basis of 6000 :- (1000*12.95+4000*12.15+1000*11.95) = 73500 for monthly 
- Deal frequency (Yearlly )  = 73500*12 = 882000</t>
        </r>
      </text>
    </comment>
    <comment ref="K414" authorId="0" shapeId="0">
      <text>
        <r>
          <rPr>
            <b/>
            <sz val="9"/>
            <color indexed="81"/>
            <rFont val="Tahoma"/>
            <family val="2"/>
          </rPr>
          <t>Author:</t>
        </r>
        <r>
          <rPr>
            <sz val="9"/>
            <color indexed="81"/>
            <rFont val="Tahoma"/>
            <family val="2"/>
          </rPr>
          <t xml:space="preserve">
72000  commitment for yearly so it is converted in the monthly , (96000/12)= 8000 
step tier calculated on the basis of 8000 :-  so rate should be picked up 11.95</t>
        </r>
      </text>
    </comment>
    <comment ref="K418" authorId="0" shapeId="0">
      <text>
        <r>
          <rPr>
            <b/>
            <sz val="9"/>
            <color indexed="81"/>
            <rFont val="Tahoma"/>
            <family val="2"/>
          </rPr>
          <t>Author:</t>
        </r>
        <r>
          <rPr>
            <sz val="9"/>
            <color indexed="81"/>
            <rFont val="Tahoma"/>
            <family val="2"/>
          </rPr>
          <t xml:space="preserve">
Author:
120000  commitment for yearly so it is converted in the monthly , (120000/12)= 10000 
step tier calculated on the basis of 10000 :- 
10000 20 200000
      5 5000
  4 16000
  3 15000
  10 
  8 
  6 60000
   296000
   26640
 amt5 16000
   338640
   4063680</t>
        </r>
      </text>
    </comment>
    <comment ref="K424" authorId="0" shapeId="0">
      <text>
        <r>
          <rPr>
            <b/>
            <sz val="9"/>
            <color indexed="81"/>
            <rFont val="Tahoma"/>
            <family val="2"/>
          </rPr>
          <t>Author:</t>
        </r>
        <r>
          <rPr>
            <sz val="9"/>
            <color indexed="81"/>
            <rFont val="Tahoma"/>
            <family val="2"/>
          </rPr>
          <t xml:space="preserve">
in the rate schedule , flat chagges added - 3000 for paraticular condition </t>
        </r>
      </text>
    </comment>
  </commentList>
</comments>
</file>

<file path=xl/sharedStrings.xml><?xml version="1.0" encoding="utf-8"?>
<sst xmlns="http://schemas.openxmlformats.org/spreadsheetml/2006/main" count="5483" uniqueCount="686">
  <si>
    <t>Division</t>
  </si>
  <si>
    <t>Person Name</t>
  </si>
  <si>
    <t>AccountID</t>
  </si>
  <si>
    <t>Customer Class</t>
  </si>
  <si>
    <t>USD</t>
  </si>
  <si>
    <t>DM-CORP</t>
  </si>
  <si>
    <t>IND</t>
  </si>
  <si>
    <t>Contract Type</t>
  </si>
  <si>
    <t>DM_BK</t>
  </si>
  <si>
    <t>Price Item</t>
  </si>
  <si>
    <t>Algorithm</t>
  </si>
  <si>
    <t>Description</t>
  </si>
  <si>
    <t xml:space="preserve">Algorithm code </t>
  </si>
  <si>
    <t>INDIA DIVISION</t>
  </si>
  <si>
    <t>VG_PRASN_IND</t>
  </si>
  <si>
    <t>Deal Management Customer Class</t>
  </si>
  <si>
    <t>RATE SCHEDULE</t>
  </si>
  <si>
    <t>Rate Schedule</t>
  </si>
  <si>
    <t>SQI</t>
  </si>
  <si>
    <t>value</t>
  </si>
  <si>
    <t>condition</t>
  </si>
  <si>
    <t>DM-RT01</t>
  </si>
  <si>
    <t>BK-NBR</t>
  </si>
  <si>
    <t>DM-RT02</t>
  </si>
  <si>
    <t>BK-VAL</t>
  </si>
  <si>
    <t>DM-RT03</t>
  </si>
  <si>
    <t>FIX-CHARGE</t>
  </si>
  <si>
    <t>only for state (MH &amp; AP)</t>
  </si>
  <si>
    <t>MH</t>
  </si>
  <si>
    <t>AP</t>
  </si>
  <si>
    <t>TN</t>
  </si>
  <si>
    <t>UC01</t>
  </si>
  <si>
    <t>CHARACTERSTIC</t>
  </si>
  <si>
    <t>Chara Type</t>
  </si>
  <si>
    <t>Characteristic Value</t>
  </si>
  <si>
    <t>Characteristic Desc</t>
  </si>
  <si>
    <t>Characteristic Entity</t>
  </si>
  <si>
    <t>VG_STATE</t>
  </si>
  <si>
    <t>VIRGIN STATE</t>
  </si>
  <si>
    <t>ANDRA PRADESH</t>
  </si>
  <si>
    <t>Person</t>
  </si>
  <si>
    <t>MAHARASHTRA</t>
  </si>
  <si>
    <t>TAMIL NADU</t>
  </si>
  <si>
    <t>PARAMETER</t>
  </si>
  <si>
    <t>Parameter</t>
  </si>
  <si>
    <t>Parameter Value</t>
  </si>
  <si>
    <t>Parameter Desc</t>
  </si>
  <si>
    <t xml:space="preserve">DESC </t>
  </si>
  <si>
    <t>Source Entity</t>
  </si>
  <si>
    <t>Transaction</t>
  </si>
  <si>
    <t>DM_CURRENCY</t>
  </si>
  <si>
    <t>INR</t>
  </si>
  <si>
    <t>DM_TYPE</t>
  </si>
  <si>
    <t>BT</t>
  </si>
  <si>
    <t>PriceList -1</t>
  </si>
  <si>
    <t>Effective Start Date</t>
  </si>
  <si>
    <t>Effective End Date</t>
  </si>
  <si>
    <t>Rate</t>
  </si>
  <si>
    <t>Customer</t>
  </si>
  <si>
    <t>Price item</t>
  </si>
  <si>
    <t>Contract</t>
  </si>
  <si>
    <t>Billable Charges Start Date</t>
  </si>
  <si>
    <t>Billable Charges End Date</t>
  </si>
  <si>
    <t xml:space="preserve"> Service Qty. Identifier</t>
  </si>
  <si>
    <t>Service Quantity</t>
  </si>
  <si>
    <t>Billable Charge ID</t>
  </si>
  <si>
    <t>sFromCurrency</t>
  </si>
  <si>
    <t>sToCurrency</t>
  </si>
  <si>
    <t>sDivision</t>
  </si>
  <si>
    <t>sConvType</t>
  </si>
  <si>
    <t>sStartDate</t>
  </si>
  <si>
    <t>sEndDate</t>
  </si>
  <si>
    <t>sExchgRate</t>
  </si>
  <si>
    <t>sSpread</t>
  </si>
  <si>
    <t>Exchange Rate ID</t>
  </si>
  <si>
    <t>No</t>
  </si>
  <si>
    <t xml:space="preserve">Create Billable Charge1 on All Accounts using first Product's Data  -  May </t>
  </si>
  <si>
    <t>contract type</t>
  </si>
  <si>
    <t>division</t>
  </si>
  <si>
    <t>CM_PPBSEG</t>
  </si>
  <si>
    <t>Generate bill seg from post-proc price assignments</t>
  </si>
  <si>
    <t>CM_RATE_STEP</t>
  </si>
  <si>
    <t>Rate Algorithm</t>
  </si>
  <si>
    <t>Algorithm Code</t>
  </si>
  <si>
    <t>Stacking Required</t>
  </si>
  <si>
    <t>CM_RATEVALUE</t>
  </si>
  <si>
    <t>DM-ANO1</t>
  </si>
  <si>
    <t>ABC_Cust1Auto,IND</t>
  </si>
  <si>
    <t>ABC_Acct_01</t>
  </si>
  <si>
    <t>ABC_Acct_02</t>
  </si>
  <si>
    <t>Yes</t>
  </si>
  <si>
    <t>RM</t>
  </si>
  <si>
    <t>PM</t>
  </si>
  <si>
    <t>SPM</t>
  </si>
  <si>
    <t>PRDM</t>
  </si>
  <si>
    <t>DEAL</t>
  </si>
  <si>
    <t>USER</t>
  </si>
  <si>
    <t xml:space="preserve">REPORTING SET UP </t>
  </si>
  <si>
    <t>FEATURE CONFIG</t>
  </si>
  <si>
    <t>C1-DEAL</t>
  </si>
  <si>
    <t>PI_021</t>
  </si>
  <si>
    <t>PI_022</t>
  </si>
  <si>
    <t>PI_023</t>
  </si>
  <si>
    <t>PI_024</t>
  </si>
  <si>
    <t>PI_025</t>
  </si>
  <si>
    <t>PI_026</t>
  </si>
  <si>
    <t>PI_027</t>
  </si>
  <si>
    <t>PI_028</t>
  </si>
  <si>
    <t>PI_029</t>
  </si>
  <si>
    <t>PI_030</t>
  </si>
  <si>
    <t>PI_031</t>
  </si>
  <si>
    <t>PI_032</t>
  </si>
  <si>
    <t>PRODUCT      PI_021</t>
  </si>
  <si>
    <t>Acct Identifier</t>
  </si>
  <si>
    <t>PRODUCT      PI_024</t>
  </si>
  <si>
    <t>PRODUCT      PI_025</t>
  </si>
  <si>
    <t>PRODUCT      PI_026</t>
  </si>
  <si>
    <t>RMBK1</t>
  </si>
  <si>
    <t>PMBK1</t>
  </si>
  <si>
    <t>SPMBK1</t>
  </si>
  <si>
    <t>PRDMBK1</t>
  </si>
  <si>
    <t>9.95</t>
  </si>
  <si>
    <t>Search Entity</t>
  </si>
  <si>
    <t>Search By</t>
  </si>
  <si>
    <t>Person ID</t>
  </si>
  <si>
    <t xml:space="preserve">Person Name </t>
  </si>
  <si>
    <t>Create Billable Charge1 on All Accounts using first Product's Data  -  APR</t>
  </si>
  <si>
    <t>SCRIPT DATA</t>
  </si>
  <si>
    <t>Customer Details</t>
  </si>
  <si>
    <t xml:space="preserve">Deal Creation </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</si>
  <si>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</si>
  <si>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</si>
  <si>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</si>
  <si>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</si>
  <si>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</si>
  <si>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</si>
  <si>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</si>
  <si>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</si>
  <si>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</si>
  <si>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</si>
  <si>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</si>
  <si>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</si>
  <si>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</si>
  <si>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</si>
  <si>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T&amp;C1</t>
  </si>
  <si>
    <t>T&amp;C3</t>
  </si>
  <si>
    <t>DEAL_AUTO_01</t>
  </si>
  <si>
    <t>DLTYPE_POSTPROCESS</t>
  </si>
  <si>
    <t>Yearly</t>
  </si>
  <si>
    <t>T2&amp;C2</t>
  </si>
  <si>
    <t>T3&amp;C3</t>
  </si>
  <si>
    <t>TC_01_ADD</t>
  </si>
  <si>
    <t>Deal ID</t>
  </si>
  <si>
    <t xml:space="preserve">Deal Information </t>
  </si>
  <si>
    <t>1573809619,ABC_Cust1Auto,IND,07-03-2021,USD,DEAL_AUTO_01,DEAL_AUTO_12101 ,(1),Contracted Deal-No</t>
  </si>
  <si>
    <t>United States Dollars</t>
  </si>
  <si>
    <t xml:space="preserve"> Deal type code for Post Processing Approval</t>
  </si>
  <si>
    <t>Deal</t>
  </si>
  <si>
    <t>Creation Date</t>
  </si>
  <si>
    <t>Review Date</t>
  </si>
  <si>
    <t>Accptance Date</t>
  </si>
  <si>
    <t>Finanlized Date</t>
  </si>
  <si>
    <t>Deal Status</t>
  </si>
  <si>
    <t>Deal Version Status</t>
  </si>
  <si>
    <t>Pending Simulation</t>
  </si>
  <si>
    <t>Price List Assignment</t>
  </si>
  <si>
    <t>Price List ID</t>
  </si>
  <si>
    <t>Priority</t>
  </si>
  <si>
    <t>Price List Inheritance</t>
  </si>
  <si>
    <t>Search</t>
  </si>
  <si>
    <t>Filter</t>
  </si>
  <si>
    <t>Customer Agreed</t>
  </si>
  <si>
    <t>Assignment Level</t>
  </si>
  <si>
    <t>Customer Pricelist</t>
  </si>
  <si>
    <t xml:space="preserve">Global Pricelist </t>
  </si>
  <si>
    <t>Select All</t>
  </si>
  <si>
    <t>yes</t>
  </si>
  <si>
    <t>Expected Result</t>
  </si>
  <si>
    <t xml:space="preserve">Not Display </t>
  </si>
  <si>
    <t xml:space="preserve">PI_021 </t>
  </si>
  <si>
    <t>Only Select PI_031</t>
  </si>
  <si>
    <t>user should be select only PI_031</t>
  </si>
  <si>
    <t xml:space="preserve">Pricing And Commitment Screen </t>
  </si>
  <si>
    <t>Price Item Hierarhcy</t>
  </si>
  <si>
    <t>Pricing Information</t>
  </si>
  <si>
    <t>Avg Price</t>
  </si>
  <si>
    <t>Volume</t>
  </si>
  <si>
    <t>Revenue</t>
  </si>
  <si>
    <t>Varation</t>
  </si>
  <si>
    <t>Cost</t>
  </si>
  <si>
    <t>T&amp;C</t>
  </si>
  <si>
    <t>Section</t>
  </si>
  <si>
    <t>DE_AUT01,Corporate Banking</t>
  </si>
  <si>
    <t>DE_AUT02,Account Services</t>
  </si>
  <si>
    <t>DE_AUTO3,Payment Services</t>
  </si>
  <si>
    <t>DE_AUTO4,Reporting/SWIFT</t>
  </si>
  <si>
    <t>Original</t>
  </si>
  <si>
    <t>Seasonal</t>
  </si>
  <si>
    <t>Recommended</t>
  </si>
  <si>
    <t>Starte Date</t>
  </si>
  <si>
    <t>End Date</t>
  </si>
  <si>
    <t>Projected</t>
  </si>
  <si>
    <t>INR,BT</t>
  </si>
  <si>
    <t>Level</t>
  </si>
  <si>
    <t>Status</t>
  </si>
  <si>
    <t>Approver</t>
  </si>
  <si>
    <t>PriceList</t>
  </si>
  <si>
    <t>PI_033</t>
  </si>
  <si>
    <t>Tier,USD,STEP</t>
  </si>
  <si>
    <t>Tier,USD,THRS</t>
  </si>
  <si>
    <t>20.00,USD,FLAT</t>
  </si>
  <si>
    <t>12.95,12.15,11.95</t>
  </si>
  <si>
    <t>20(FLAT),10/8/6(STEP),5/4/3(THRS)</t>
  </si>
  <si>
    <t>Customer Price List</t>
  </si>
  <si>
    <t>amt5</t>
  </si>
  <si>
    <t>1573809619 /  0237665113</t>
  </si>
  <si>
    <t>Revenue Varation</t>
  </si>
  <si>
    <t>Original Revenue</t>
  </si>
  <si>
    <t>Original Cost</t>
  </si>
  <si>
    <t>PENDING FOR APPROVAL</t>
  </si>
  <si>
    <t xml:space="preserve">DEAL FINANCIAL SUMMARY </t>
  </si>
  <si>
    <t>PERSON HIERARHCY SECTION</t>
  </si>
  <si>
    <t>Approval Status</t>
  </si>
  <si>
    <t>Profit</t>
  </si>
  <si>
    <t>Profit Varation</t>
  </si>
  <si>
    <t xml:space="preserve">PROJECTED </t>
  </si>
  <si>
    <t>ORIGINAL</t>
  </si>
  <si>
    <t>Projected Revenue</t>
  </si>
  <si>
    <t>Projected Cost</t>
  </si>
  <si>
    <t>Profitability(%)</t>
  </si>
  <si>
    <t>Adhoc Revenue</t>
  </si>
  <si>
    <t>Adhoc Revenue and Cost</t>
  </si>
  <si>
    <t>Sequence</t>
  </si>
  <si>
    <t>Currency</t>
  </si>
  <si>
    <t>Amount</t>
  </si>
  <si>
    <t>Revenue/cost Type</t>
  </si>
  <si>
    <t>Amount Type</t>
  </si>
  <si>
    <t>Courier Cost</t>
  </si>
  <si>
    <t>Travel Cost</t>
  </si>
  <si>
    <t>Deal Commission</t>
  </si>
  <si>
    <t>Simulated</t>
  </si>
  <si>
    <t xml:space="preserve">Simulation - 1 </t>
  </si>
  <si>
    <t>Simulation - 2 ( after Adding Adhoc Revenue)</t>
  </si>
  <si>
    <t>Seasonal Date</t>
  </si>
  <si>
    <r>
      <rPr>
        <b/>
        <sz val="11"/>
        <color indexed="8"/>
        <rFont val="Calibri"/>
        <family val="2"/>
      </rPr>
      <t>13.05</t>
    </r>
    <r>
      <rPr>
        <sz val="11"/>
        <color theme="1"/>
        <rFont val="Calibri"/>
        <family val="2"/>
        <scheme val="minor"/>
      </rPr>
      <t>,</t>
    </r>
    <r>
      <rPr>
        <b/>
        <sz val="11"/>
        <color indexed="8"/>
        <rFont val="Calibri"/>
        <family val="2"/>
      </rPr>
      <t>11.15</t>
    </r>
    <r>
      <rPr>
        <sz val="11"/>
        <color theme="1"/>
        <rFont val="Calibri"/>
        <family val="2"/>
        <scheme val="minor"/>
      </rPr>
      <t>,11.95</t>
    </r>
  </si>
  <si>
    <t>Global Price List</t>
  </si>
  <si>
    <t xml:space="preserve">Simulation - 2 ( To update rate - PI_022,PI_033,PI_027,PI_028,PI_031) and update commitment  - PI_022,PI_027,PI_028) and add sesasonal pricing  for price item - PI,021,PI_022,PI_033, PI_024     </t>
  </si>
  <si>
    <t>PRE-REQUISITE DATA</t>
  </si>
  <si>
    <t>CrawlingAlgorithm_Sce1</t>
  </si>
  <si>
    <t>Create Person</t>
  </si>
  <si>
    <t>PersonID</t>
  </si>
  <si>
    <t>Customer Segment</t>
  </si>
  <si>
    <t>Customer Tier</t>
  </si>
  <si>
    <t>Child Person1</t>
  </si>
  <si>
    <t>Child Person2</t>
  </si>
  <si>
    <t>Business Banking</t>
  </si>
  <si>
    <t>Create Account</t>
  </si>
  <si>
    <t>Account_Division</t>
  </si>
  <si>
    <t>Account Set Up Date</t>
  </si>
  <si>
    <t>Invoice Currency</t>
  </si>
  <si>
    <t>Bill Cycle</t>
  </si>
  <si>
    <t xml:space="preserve">Account Identifier (External Account Identifier) </t>
  </si>
  <si>
    <t>Account Charactersitics</t>
  </si>
  <si>
    <t>01-01-2019</t>
  </si>
  <si>
    <t>Banking - End of month billing</t>
  </si>
  <si>
    <t xml:space="preserve">1) Effective Date : 01-01-2019,Characteristic Type: Account Number,Characteristic Value: Person ID
2) Effective Date : 01-01-2019,Characteristic Type: Account Type,Characteristic Value: SAVINGS
</t>
  </si>
  <si>
    <t>Create Contract</t>
  </si>
  <si>
    <t>ContractID</t>
  </si>
  <si>
    <t>Contract Start Date</t>
  </si>
  <si>
    <t>Contract End Date</t>
  </si>
  <si>
    <t>Contract Status</t>
  </si>
  <si>
    <t>Active</t>
  </si>
  <si>
    <t>Create Price Item</t>
  </si>
  <si>
    <t>Grouping</t>
  </si>
  <si>
    <t>Price Item Group</t>
  </si>
  <si>
    <t>Price Item Description</t>
  </si>
  <si>
    <t>Cost Type_1</t>
  </si>
  <si>
    <t>Cost_1</t>
  </si>
  <si>
    <t>Cost Type_2</t>
  </si>
  <si>
    <t>Cost_2</t>
  </si>
  <si>
    <t>To Do Role</t>
  </si>
  <si>
    <t>Floor</t>
  </si>
  <si>
    <t>Ceil</t>
  </si>
  <si>
    <t>PRICE ITEM MANAGER TO DO TYPE</t>
  </si>
  <si>
    <t>PRICE ITEM MANAGER TO DO ROLE</t>
  </si>
  <si>
    <t>AVERAGE PRICE FLOOR AND CEIL LIMITS</t>
  </si>
  <si>
    <t xml:space="preserve">CURRENCY </t>
  </si>
  <si>
    <t>Corporate Banking</t>
  </si>
  <si>
    <t>Account Services</t>
  </si>
  <si>
    <t>V1-Account Opening Fee</t>
  </si>
  <si>
    <t>Fixed Internal</t>
  </si>
  <si>
    <t>Variable Internal</t>
  </si>
  <si>
    <t>PRDM1</t>
  </si>
  <si>
    <t>AVR</t>
  </si>
  <si>
    <t>V2-Monthly Acct Serv Fee</t>
  </si>
  <si>
    <t>V3-Audit Reports</t>
  </si>
  <si>
    <t>Payment Services</t>
  </si>
  <si>
    <t>V4-SEPA Transfers</t>
  </si>
  <si>
    <t xml:space="preserve">Reporting /SWIFT </t>
  </si>
  <si>
    <t>V5-Domestic Funds Transfer Fee</t>
  </si>
  <si>
    <t>V6-Electronic Credits</t>
  </si>
  <si>
    <t>V7-Direct Debit</t>
  </si>
  <si>
    <t>V8-Cheque Collections</t>
  </si>
  <si>
    <t xml:space="preserve">V9-Domestic Liquidity </t>
  </si>
  <si>
    <t>V10-Third Party Bank</t>
  </si>
  <si>
    <t>MT943_SWIFT_01</t>
  </si>
  <si>
    <t>NA</t>
  </si>
  <si>
    <t>MT943_SWIFT_02</t>
  </si>
  <si>
    <t>Inactive</t>
  </si>
  <si>
    <t>Create Pricelist</t>
  </si>
  <si>
    <t>Pricelist ID</t>
  </si>
  <si>
    <t>Price List Description</t>
  </si>
  <si>
    <t xml:space="preserve">Price List Start Date </t>
  </si>
  <si>
    <t>9041938027</t>
  </si>
  <si>
    <t>Global Pricelist</t>
  </si>
  <si>
    <t>01-01-2015</t>
  </si>
  <si>
    <t>UK,IND,RG-MH</t>
  </si>
  <si>
    <t>Mange Price item Assignments To Pricelist</t>
  </si>
  <si>
    <t>Search with Price Item</t>
  </si>
  <si>
    <t>Pricing Currency</t>
  </si>
  <si>
    <t>Apply To</t>
  </si>
  <si>
    <t>Tiering Criteria</t>
  </si>
  <si>
    <t>Tiering Range:
From</t>
  </si>
  <si>
    <t>Tiering Range:
To</t>
  </si>
  <si>
    <t>Type</t>
  </si>
  <si>
    <t>FLAT</t>
  </si>
  <si>
    <t>Regular</t>
  </si>
  <si>
    <t>DM_AN01</t>
  </si>
  <si>
    <t>POST</t>
  </si>
  <si>
    <t>DM-NBRST</t>
  </si>
  <si>
    <t>STEP</t>
  </si>
  <si>
    <t>No of Transaction</t>
  </si>
  <si>
    <t>DM-NBRTH</t>
  </si>
  <si>
    <t>THRESHOLD</t>
  </si>
  <si>
    <t>Price List Assignment Details</t>
  </si>
  <si>
    <t>PersonName</t>
  </si>
  <si>
    <t>Account / Customer</t>
  </si>
  <si>
    <t>Agreed Pricing</t>
  </si>
  <si>
    <t xml:space="preserve">Rate schedule </t>
  </si>
  <si>
    <t>V33_Audit Reports Currenc and saving boths acct</t>
  </si>
  <si>
    <t>16.66</t>
  </si>
  <si>
    <t>1908311135</t>
  </si>
  <si>
    <t>0.25</t>
  </si>
  <si>
    <t>112.04</t>
  </si>
  <si>
    <t>276.25</t>
  </si>
  <si>
    <t>12.95</t>
  </si>
  <si>
    <t>12.15</t>
  </si>
  <si>
    <t>11.95</t>
  </si>
  <si>
    <t>0.15</t>
  </si>
  <si>
    <t>0.75</t>
  </si>
  <si>
    <t>6.67</t>
  </si>
  <si>
    <t>0.3</t>
  </si>
  <si>
    <t>2.05</t>
  </si>
  <si>
    <t>Parameter-1</t>
  </si>
  <si>
    <t>Parameter-2</t>
  </si>
  <si>
    <t>0.4</t>
  </si>
  <si>
    <t>0.6</t>
  </si>
  <si>
    <t>13.5</t>
  </si>
  <si>
    <t>Recommended Section</t>
  </si>
  <si>
    <t>Simulation - 3 ( Recommended Pricing )  - PI_021, PI_022, PI_033,PI_027,PI_030</t>
  </si>
  <si>
    <t>Deal Approval Profile Code For Deal Level Approvers(RM,PM,SPM)</t>
  </si>
  <si>
    <t>Create Approval Profile</t>
  </si>
  <si>
    <t>Detailed Description</t>
  </si>
  <si>
    <t>DEALAPP</t>
  </si>
  <si>
    <t>Deal Approval Profile code for deal level approval</t>
  </si>
  <si>
    <t>Approval Hierarchy</t>
  </si>
  <si>
    <t>To Do Type</t>
  </si>
  <si>
    <t>Propose Price</t>
  </si>
  <si>
    <t>Submit price item for approval</t>
  </si>
  <si>
    <t>Approve Deal</t>
  </si>
  <si>
    <t xml:space="preserve">View Only Eligible price items </t>
  </si>
  <si>
    <t>Min Profitability %</t>
  </si>
  <si>
    <t>Max Profitability %</t>
  </si>
  <si>
    <t>C1_DPL</t>
  </si>
  <si>
    <t>RM1</t>
  </si>
  <si>
    <t>PM1</t>
  </si>
  <si>
    <t>SPM1</t>
  </si>
  <si>
    <t>Deal type for Deal Level Approval</t>
  </si>
  <si>
    <t>Create Deal Type</t>
  </si>
  <si>
    <t>Deal Commitment Frequency</t>
  </si>
  <si>
    <t>Price Item Approval Required</t>
  </si>
  <si>
    <t>Assign only if in range</t>
  </si>
  <si>
    <t>Division Level Approval Required</t>
  </si>
  <si>
    <t>Highest Level Approval Required</t>
  </si>
  <si>
    <t>Pre-Approve Existing Pricing</t>
  </si>
  <si>
    <t>DLAPR</t>
  </si>
  <si>
    <t xml:space="preserve">Deal type code for Approve Deal </t>
  </si>
  <si>
    <t>Monthly</t>
  </si>
  <si>
    <t>Deal Approval Profile Code</t>
  </si>
  <si>
    <t>01-01-2018</t>
  </si>
  <si>
    <t>IND
DIVISION</t>
  </si>
  <si>
    <t>Algorithms</t>
  </si>
  <si>
    <t>System Event</t>
  </si>
  <si>
    <t>Characteristics</t>
  </si>
  <si>
    <t>Effective Date</t>
  </si>
  <si>
    <t>Characteristic Type</t>
  </si>
  <si>
    <t>Users For Deal  Level</t>
  </si>
  <si>
    <t>Password</t>
  </si>
  <si>
    <t>Access Group</t>
  </si>
  <si>
    <t>rmbk1000</t>
  </si>
  <si>
    <t>Relationship Manager 1</t>
  </si>
  <si>
    <t>System Default</t>
  </si>
  <si>
    <t>pmbk1000</t>
  </si>
  <si>
    <t>Pricing Manager 1</t>
  </si>
  <si>
    <t>spmbk1000</t>
  </si>
  <si>
    <t>Senior Pricing Manager 1</t>
  </si>
  <si>
    <t>Product Manager 1</t>
  </si>
  <si>
    <t>User</t>
  </si>
  <si>
    <t>Main</t>
  </si>
  <si>
    <t>User ID</t>
  </si>
  <si>
    <t>Login ID</t>
  </si>
  <si>
    <t>Last Name</t>
  </si>
  <si>
    <t>First Name</t>
  </si>
  <si>
    <t>Language</t>
  </si>
  <si>
    <t>Display Profile ID</t>
  </si>
  <si>
    <t>Time Zone</t>
  </si>
  <si>
    <t>Email Address</t>
  </si>
  <si>
    <t>Dashboard Width</t>
  </si>
  <si>
    <t>Home Page</t>
  </si>
  <si>
    <t>Lower Age Limit for Yellow Bar</t>
  </si>
  <si>
    <t>Upper Age Limit for Yellow Bar</t>
  </si>
  <si>
    <t>Manager1</t>
  </si>
  <si>
    <t>Relationship</t>
  </si>
  <si>
    <t>English</t>
  </si>
  <si>
    <t>NORTHAM</t>
  </si>
  <si>
    <t>abc@oracle.com</t>
  </si>
  <si>
    <t>c1bk360TabMenu</t>
  </si>
  <si>
    <t>User Group</t>
  </si>
  <si>
    <t>Expiration Date</t>
  </si>
  <si>
    <t>ALL_SERVICES</t>
  </si>
  <si>
    <t>01-01-2100</t>
  </si>
  <si>
    <t>C1_BSERVICES</t>
  </si>
  <si>
    <t>To Do Roles</t>
  </si>
  <si>
    <t>Access Security</t>
  </si>
  <si>
    <t>Default Acess Group</t>
  </si>
  <si>
    <t>Data Access Role</t>
  </si>
  <si>
    <t>***</t>
  </si>
  <si>
    <t>To Do Type-Deal and Price Item Level</t>
  </si>
  <si>
    <t>To Do Type Usage</t>
  </si>
  <si>
    <t>Navigation Option</t>
  </si>
  <si>
    <t>Creation Process</t>
  </si>
  <si>
    <t>Routing Process</t>
  </si>
  <si>
    <t>Message Category</t>
  </si>
  <si>
    <t>Message Number</t>
  </si>
  <si>
    <t>Priority 10 -- Highest</t>
  </si>
  <si>
    <t>Automatic</t>
  </si>
  <si>
    <t>C1_PHRCY</t>
  </si>
  <si>
    <t xml:space="preserve">  Sequence</t>
  </si>
  <si>
    <t>Deal To Do Type</t>
  </si>
  <si>
    <t>Y</t>
  </si>
  <si>
    <t>Roles</t>
  </si>
  <si>
    <t xml:space="preserve">  To Do Type</t>
  </si>
  <si>
    <t xml:space="preserve">   To Do Role</t>
  </si>
  <si>
    <t xml:space="preserve">  Use as Default</t>
  </si>
  <si>
    <t>check</t>
  </si>
  <si>
    <t>Sort Keys</t>
  </si>
  <si>
    <t xml:space="preserve"> Use as Default</t>
  </si>
  <si>
    <t xml:space="preserve"> Sort Order</t>
  </si>
  <si>
    <t>Approval Transaction Date time</t>
  </si>
  <si>
    <t>Ascending</t>
  </si>
  <si>
    <t>Drill Keys</t>
  </si>
  <si>
    <t>Prospect Hierarchy</t>
  </si>
  <si>
    <t>Table</t>
  </si>
  <si>
    <t>Field</t>
  </si>
  <si>
    <t>C1_DEAL_APPROVAL</t>
  </si>
  <si>
    <t>MODEL_ID</t>
  </si>
  <si>
    <t>C1_DEAL</t>
  </si>
  <si>
    <t>DEAL_ID</t>
  </si>
  <si>
    <t>DealApprovalProfile</t>
  </si>
  <si>
    <t>Approval Profile Currency</t>
  </si>
  <si>
    <t>Minimum  Profit</t>
  </si>
  <si>
    <t>Maximum profit</t>
  </si>
  <si>
    <t>Minimum Profit Variation%</t>
  </si>
  <si>
    <t>Max Profit Variation</t>
  </si>
  <si>
    <t xml:space="preserve">Minimum Revenue </t>
  </si>
  <si>
    <t>Maximum Revenue</t>
  </si>
  <si>
    <t>Maximum Profit Variation%</t>
  </si>
  <si>
    <t>Minimum Profit Variation</t>
  </si>
  <si>
    <t>Product Level Approval Required</t>
  </si>
  <si>
    <t>To Do Reminder days</t>
  </si>
  <si>
    <t>To do High Priority days</t>
  </si>
  <si>
    <t>To Do type</t>
  </si>
  <si>
    <t>Questionnaire Templated</t>
  </si>
  <si>
    <t>C1-DLREM</t>
  </si>
  <si>
    <t xml:space="preserve">Deal Approval Profiles </t>
  </si>
  <si>
    <t>Approval Type</t>
  </si>
  <si>
    <t>Product</t>
  </si>
  <si>
    <t>prdmbk100</t>
  </si>
  <si>
    <t>Pricing</t>
  </si>
  <si>
    <t>Senior Pricing</t>
  </si>
  <si>
    <t>Post Processing Price Item Post Simulation</t>
  </si>
  <si>
    <t>10</t>
  </si>
  <si>
    <t>C1_ANNPOST</t>
  </si>
  <si>
    <t>Default Commitment Value</t>
  </si>
  <si>
    <t>1</t>
  </si>
  <si>
    <t xml:space="preserve"> DLPRTEXLR</t>
  </si>
  <si>
    <t>Account Limit for Online hierarchy Creation</t>
  </si>
  <si>
    <t>Character to Indicate T&amp;C in deal extract</t>
  </si>
  <si>
    <t>Deal Price item status char type</t>
  </si>
  <si>
    <t>Not found</t>
  </si>
  <si>
    <t>*</t>
  </si>
  <si>
    <t>Deal Profitability Export Report</t>
  </si>
  <si>
    <t>DLPRTEXLR</t>
  </si>
  <si>
    <t>Standard Price list Search</t>
  </si>
  <si>
    <t>4</t>
  </si>
  <si>
    <t>C1_GET_STDPL</t>
  </si>
  <si>
    <t>Preference to Assigned Pricelist for Ceil floor limit check</t>
  </si>
  <si>
    <t>Refer Volume Aggregation</t>
  </si>
  <si>
    <t>N</t>
  </si>
  <si>
    <t>C1-DLRM</t>
  </si>
  <si>
    <t>DIVISION</t>
  </si>
  <si>
    <t>DIVISION Description</t>
  </si>
  <si>
    <t>Deal Approval - To Do Type</t>
  </si>
  <si>
    <t>Used to create To Do for Hierarchy Creation, Simulation, Approval Workflow.</t>
  </si>
  <si>
    <t>C1-GENBSICPA</t>
  </si>
  <si>
    <t>Generate bill segment from post-proc price assignm</t>
  </si>
  <si>
    <t>PAC_Cust2Auto,IND</t>
  </si>
  <si>
    <t>PAC_Acct_01</t>
  </si>
  <si>
    <t>20</t>
  </si>
  <si>
    <t>110</t>
  </si>
  <si>
    <t>115</t>
  </si>
  <si>
    <t>275</t>
  </si>
  <si>
    <t>280</t>
  </si>
  <si>
    <t>12</t>
  </si>
  <si>
    <t>15</t>
  </si>
  <si>
    <t>30</t>
  </si>
  <si>
    <t>40</t>
  </si>
  <si>
    <t>3010</t>
  </si>
  <si>
    <t>0</t>
  </si>
  <si>
    <t>5</t>
  </si>
  <si>
    <t>2</t>
  </si>
  <si>
    <t>3970846500</t>
  </si>
  <si>
    <t>3353104474</t>
  </si>
  <si>
    <t>3077354705</t>
  </si>
  <si>
    <t>7757771227</t>
  </si>
  <si>
    <t>7598168216</t>
  </si>
  <si>
    <t>5417730766</t>
  </si>
  <si>
    <t>DM-AN01</t>
  </si>
  <si>
    <t>6</t>
  </si>
  <si>
    <t>Deal Profitability Export to excel</t>
  </si>
  <si>
    <t>PI_021 ,PI_022</t>
  </si>
  <si>
    <t>=A38</t>
  </si>
  <si>
    <t>Usage Period</t>
  </si>
  <si>
    <t>Acceptance Date</t>
  </si>
  <si>
    <t>Finalized Date</t>
  </si>
  <si>
    <t xml:space="preserve">Simulation - 3 ( To update rate - PI_022,PI_033,PI_027,PI_028,PI_031) and update commitment  - PI_022,PI_027,PI_028) and add sesasonal pricing  for price item - PI,021,PI_022,PI_033, PI_024     </t>
  </si>
  <si>
    <t>Approved</t>
  </si>
  <si>
    <t>Relationship Manager1</t>
  </si>
  <si>
    <t>Pre-Approved</t>
  </si>
  <si>
    <t>Error</t>
  </si>
  <si>
    <t>DEAL_T&amp;C3,DEAL_T&amp;C4</t>
  </si>
  <si>
    <t>DEAL_T&amp;C5,DEAL_T&amp;C6</t>
  </si>
  <si>
    <t>DEAL_T&amp;C7,DEAL_T&amp;C8</t>
  </si>
  <si>
    <t>Bug No.</t>
  </si>
  <si>
    <t xml:space="preserve"> Finalized</t>
  </si>
  <si>
    <t>Pending For Approval</t>
  </si>
  <si>
    <t>send price item to price item manger :- PI_030</t>
  </si>
  <si>
    <t>Price Item Manager 1</t>
  </si>
  <si>
    <t>Pending for Approval</t>
  </si>
  <si>
    <t xml:space="preserve">Deal To Dos </t>
  </si>
  <si>
    <t xml:space="preserve"> "Price Item Assigned to Price Item Manager Successfully"</t>
  </si>
  <si>
    <t>Deal Return to RMBK!</t>
  </si>
  <si>
    <t xml:space="preserve"> "Price Item are Returned from Price Item Manager 1 Sucessfully</t>
  </si>
  <si>
    <t>Simulation - 4 - PMBK1</t>
  </si>
  <si>
    <t>Pricing Manager1</t>
  </si>
  <si>
    <t xml:space="preserve">Deal To Do </t>
  </si>
  <si>
    <t>Deal Information</t>
  </si>
  <si>
    <t xml:space="preserve">Deal Assigned to you for Approval </t>
  </si>
  <si>
    <t>8</t>
  </si>
  <si>
    <t>1500</t>
  </si>
  <si>
    <t>Simulation - 5( Recommended Pricing )  - PI_029,PI_027 by SPMBK1</t>
  </si>
  <si>
    <t>Simulation - 6</t>
  </si>
  <si>
    <t>CurrConv_Cust1Auto,IND</t>
  </si>
  <si>
    <t>CurrConv_Acct_01</t>
  </si>
  <si>
    <t>CC_021</t>
  </si>
  <si>
    <t>CC_022</t>
  </si>
  <si>
    <t>CC_024</t>
  </si>
  <si>
    <t>CC_025</t>
  </si>
  <si>
    <t>CC1-Account Opening Fee</t>
  </si>
  <si>
    <t>CC2-Monthly Acct Serv Fee</t>
  </si>
  <si>
    <t>CC3-SEPA Transfers</t>
  </si>
  <si>
    <t>CC4-Domestic Funds Transfer Fee</t>
  </si>
  <si>
    <t>From Currency</t>
  </si>
  <si>
    <t xml:space="preserve">To Currency </t>
  </si>
  <si>
    <t>Exchange Rate</t>
  </si>
  <si>
    <t>0.013</t>
  </si>
  <si>
    <t>0.40</t>
  </si>
  <si>
    <t>0.60</t>
  </si>
  <si>
    <t xml:space="preserve">Deal Currency </t>
  </si>
  <si>
    <t>Account Currency</t>
  </si>
  <si>
    <t>3058702450</t>
  </si>
  <si>
    <t>6225947218</t>
  </si>
  <si>
    <t>100</t>
  </si>
  <si>
    <t>Currency_Con_PriceList -1</t>
  </si>
  <si>
    <t>4368251923</t>
  </si>
  <si>
    <t>CC_021,CC_022,CC_023,CC_024</t>
  </si>
  <si>
    <t>WEST_701</t>
  </si>
  <si>
    <t>WEST_702</t>
  </si>
  <si>
    <t>WEST_703</t>
  </si>
  <si>
    <t>WEST_704</t>
  </si>
  <si>
    <t>WEST_705</t>
  </si>
  <si>
    <t>WEST_706</t>
  </si>
  <si>
    <t>WEST_707</t>
  </si>
  <si>
    <t>WEST_708</t>
  </si>
  <si>
    <t>WEST_709</t>
  </si>
  <si>
    <t>WEST_711</t>
  </si>
  <si>
    <t>WEST_712</t>
  </si>
  <si>
    <t>V701-Account Opening Fee</t>
  </si>
  <si>
    <t>V702-Monthly Acct Serv Fee</t>
  </si>
  <si>
    <t>V703-Audit Reports</t>
  </si>
  <si>
    <t>V704_Audit Reports Currenc and saving boths acct</t>
  </si>
  <si>
    <t>V705-SEPA Transfers</t>
  </si>
  <si>
    <t>V706-Domestic Funds Transfer Fee</t>
  </si>
  <si>
    <t>V707-Electronic Credits</t>
  </si>
  <si>
    <t>V708-Direct Debit</t>
  </si>
  <si>
    <t>V709-Cheque Collections</t>
  </si>
  <si>
    <t xml:space="preserve">V710-Domestic Liquidity </t>
  </si>
  <si>
    <t>V711-Third Party Bank</t>
  </si>
  <si>
    <t>V712-Third Party Bank</t>
  </si>
  <si>
    <t>Cont_PriceList -1</t>
  </si>
  <si>
    <t>Cont_PriceList -2</t>
  </si>
  <si>
    <t>Cont_PriceList -3</t>
  </si>
  <si>
    <t>VARIABLE FLAG</t>
  </si>
  <si>
    <t>WEST_710</t>
  </si>
  <si>
    <t>4749643442</t>
  </si>
  <si>
    <t>7</t>
  </si>
  <si>
    <t>1.5</t>
  </si>
  <si>
    <t>0203670529</t>
  </si>
  <si>
    <t>5118514358</t>
  </si>
  <si>
    <t>Con_Cust1Auto,IND</t>
  </si>
  <si>
    <t>4793117996</t>
  </si>
  <si>
    <t>Con_Acct_01</t>
  </si>
  <si>
    <t>4565319680</t>
  </si>
  <si>
    <t>01-01-2021</t>
  </si>
  <si>
    <t>8.96</t>
  </si>
  <si>
    <t>7.97</t>
  </si>
  <si>
    <t xml:space="preserve">WEST_701,WEST_702,WEST_703,WEST_704
</t>
  </si>
  <si>
    <t>WEST_705,WEST_706,WEST_707,WEST_708,WEST_709,WEST_710,WEST_711,WEST_712</t>
  </si>
  <si>
    <t>DEAL_T&amp;C1</t>
  </si>
  <si>
    <t>DEAL_T&amp;C2</t>
  </si>
  <si>
    <t>DEAL_T&amp;C3</t>
  </si>
  <si>
    <t xml:space="preserve">PI_023,                    
PI_024,                        
PI_025,                        
PI_026,                        
PI_027,                        
PI_028,                        
PI_029,                        
PI_030,                        
PI_031,                        
PI_032,                        
PI_033, </t>
  </si>
  <si>
    <t>Business banking</t>
  </si>
  <si>
    <t>Deal Return</t>
  </si>
  <si>
    <t xml:space="preserve">verify price item PI_030  and return to the RM1 - user </t>
  </si>
  <si>
    <t xml:space="preserve"> Deal Returned to Submitter Successfully</t>
  </si>
  <si>
    <t xml:space="preserve">Deal Return Screen </t>
  </si>
  <si>
    <t>Deal Return RMBK1</t>
  </si>
  <si>
    <t>Deal To Dos</t>
  </si>
  <si>
    <t xml:space="preserve">Price Items Are Returned from Price Item Manager 1 Sucessfully </t>
  </si>
  <si>
    <t>Customer Accpeted Screen</t>
  </si>
  <si>
    <t>Effective End date</t>
  </si>
  <si>
    <t xml:space="preserve">Comments </t>
  </si>
  <si>
    <t xml:space="preserve">Deal has been accepted </t>
  </si>
  <si>
    <t>Customer Accepted</t>
  </si>
  <si>
    <t xml:space="preserve">Apply Back </t>
  </si>
  <si>
    <t>07-03-2021</t>
  </si>
  <si>
    <t>ABC_Cust1Auto,IND,07-03-2021,USD,DEAL_AUTO_01,DEAL_AUTO_12101 ,(1),Contracted Deal-No</t>
  </si>
  <si>
    <t xml:space="preserve"> Deal type code for Deal Approval</t>
  </si>
  <si>
    <t>Finalized</t>
  </si>
  <si>
    <t>Fully Orchestrated</t>
  </si>
  <si>
    <t>PRICELIST</t>
  </si>
  <si>
    <t xml:space="preserve">Customer ID </t>
  </si>
  <si>
    <t>PRICE LIST INFORMATION</t>
  </si>
  <si>
    <t>ASSIGNEMNT STATUS</t>
  </si>
  <si>
    <t>ACTIVE</t>
  </si>
  <si>
    <t>Assignement Level</t>
  </si>
  <si>
    <t>Rate Info</t>
  </si>
  <si>
    <t xml:space="preserve">Rate Schedule </t>
  </si>
  <si>
    <t>Deal Corporate Banking Rate: P * Q</t>
  </si>
  <si>
    <t>Deal Anniversary / Quarterly</t>
  </si>
  <si>
    <t>Deal Corporate Banking Rate multiple SQI : P * Q</t>
  </si>
  <si>
    <t xml:space="preserve">Deal Banking - Number of trans x stepped price </t>
  </si>
  <si>
    <t>Trigger</t>
  </si>
  <si>
    <t>2020-01-01</t>
  </si>
  <si>
    <t>12.99</t>
  </si>
  <si>
    <t>9.89</t>
  </si>
  <si>
    <t>8.99</t>
  </si>
  <si>
    <t>111.08</t>
  </si>
  <si>
    <t>109.9</t>
  </si>
  <si>
    <t>0.14</t>
  </si>
  <si>
    <t>1.99</t>
  </si>
  <si>
    <t>16.67</t>
  </si>
  <si>
    <t>13.05</t>
  </si>
  <si>
    <t>11.15</t>
  </si>
  <si>
    <t>13.50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</si>
</sst>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00"/>
    <numFmt numFmtId="165" formatCode="[$INR]\ #,##0.00"/>
    <numFmt numFmtId="166" formatCode="[$₹-4009]\ #,##0.00"/>
    <numFmt numFmtId="167" formatCode="&quot;₹&quot;\ #,##0.00"/>
    <numFmt numFmtId="168" formatCode="[$-409]d\-mmm\-yy;@"/>
    <numFmt numFmtId="169" formatCode="mm/dd/yyyy"/>
  </numFmts>
  <fonts count="18" x14ac:knownFonts="1">
    <font>
      <sz val="11"/>
      <color theme="1"/>
      <name val="Calibri"/>
      <family val="2"/>
      <scheme val="minor"/>
    </font>
    <font>
      <b/>
      <sz val="11"/>
      <color indexed="8"/>
      <name val="Calibri"/>
      <family val="2"/>
    </font>
    <font>
      <sz val="10"/>
      <name val="Arial"/>
      <family val="2"/>
    </font>
    <font>
      <sz val="9"/>
      <color indexed="81"/>
      <name val="Tahoma"/>
      <family val="2"/>
    </font>
    <font>
      <b/>
      <sz val="9"/>
      <color indexed="81"/>
      <name val="Tahoma"/>
      <family val="2"/>
    </font>
    <font>
      <u/>
      <sz val="11"/>
      <color theme="10"/>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2"/>
      <color theme="1"/>
      <name val="Calibri"/>
      <family val="2"/>
      <scheme val="minor"/>
    </font>
    <font>
      <b/>
      <sz val="11"/>
      <color rgb="FFFF0000"/>
      <name val="Calibri"/>
      <family val="2"/>
      <scheme val="minor"/>
    </font>
    <font>
      <b/>
      <sz val="14"/>
      <color theme="1"/>
      <name val="Calibri"/>
      <family val="2"/>
      <scheme val="minor"/>
    </font>
    <font>
      <sz val="14"/>
      <color theme="1"/>
      <name val="Calibri"/>
      <family val="2"/>
      <scheme val="minor"/>
    </font>
    <font>
      <b/>
      <sz val="8"/>
      <color theme="1"/>
      <name val="Arial"/>
      <family val="2"/>
    </font>
    <font>
      <b/>
      <sz val="16"/>
      <color theme="1"/>
      <name val="Calibri"/>
      <family val="2"/>
      <scheme val="minor"/>
    </font>
    <font>
      <sz val="16"/>
      <color theme="1"/>
      <name val="Calibri"/>
      <family val="2"/>
      <scheme val="minor"/>
    </font>
    <font>
      <sz val="12"/>
      <color theme="1"/>
      <name val="Calibri"/>
      <family val="2"/>
      <scheme val="minor"/>
    </font>
    <font>
      <b/>
      <sz val="18"/>
      <color theme="1"/>
      <name val="Calibri"/>
      <family val="2"/>
      <scheme val="minor"/>
    </font>
  </fonts>
  <fills count="25">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FFF99"/>
        <bgColor indexed="64"/>
      </patternFill>
    </fill>
    <fill>
      <patternFill patternType="solid">
        <fgColor theme="2" tint="-0.249977111117893"/>
        <bgColor indexed="64"/>
      </patternFill>
    </fill>
    <fill>
      <patternFill patternType="solid">
        <fgColor rgb="FFFFFF00"/>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C000"/>
        <bgColor indexed="64"/>
      </patternFill>
    </fill>
    <fill>
      <patternFill patternType="solid">
        <fgColor rgb="FF0070C0"/>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5" fillId="0" borderId="0" applyNumberFormat="0" applyFill="0" applyBorder="0" applyAlignment="0" applyProtection="0"/>
    <xf numFmtId="0" fontId="2" fillId="0" borderId="0"/>
  </cellStyleXfs>
  <cellXfs count="287">
    <xf numFmtId="0" fontId="0" fillId="0" borderId="0" xfId="0"/>
    <xf numFmtId="0" fontId="0" fillId="0" borderId="1" xfId="0" applyBorder="1"/>
    <xf numFmtId="49" fontId="0" fillId="2" borderId="1" xfId="0" applyNumberFormat="1" applyFill="1" applyBorder="1" applyAlignment="1">
      <alignment vertical="top"/>
    </xf>
    <xf numFmtId="0" fontId="0" fillId="2" borderId="1" xfId="0" applyFill="1" applyBorder="1"/>
    <xf numFmtId="0" fontId="8" fillId="2" borderId="1" xfId="0" applyNumberFormat="1" applyFont="1" applyFill="1" applyBorder="1" applyAlignment="1">
      <alignment vertical="top"/>
    </xf>
    <xf numFmtId="49" fontId="9" fillId="3" borderId="2" xfId="0" applyNumberFormat="1" applyFont="1" applyFill="1" applyBorder="1" applyAlignment="1">
      <alignment vertical="top"/>
    </xf>
    <xf numFmtId="49" fontId="0" fillId="2" borderId="1" xfId="0" applyNumberFormat="1" applyFill="1" applyBorder="1"/>
    <xf numFmtId="0" fontId="0" fillId="2" borderId="1" xfId="0" applyNumberFormat="1" applyFill="1" applyBorder="1" applyAlignment="1">
      <alignment horizontal="left"/>
    </xf>
    <xf numFmtId="49" fontId="0" fillId="2" borderId="1" xfId="0" applyNumberFormat="1" applyFill="1" applyBorder="1" applyAlignment="1">
      <alignment horizontal="left" vertical="top"/>
    </xf>
    <xf numFmtId="0" fontId="0" fillId="0" borderId="0" xfId="0" applyBorder="1"/>
    <xf numFmtId="49" fontId="9" fillId="3" borderId="2" xfId="0" applyNumberFormat="1" applyFont="1" applyFill="1" applyBorder="1" applyAlignment="1">
      <alignment vertical="top" wrapText="1"/>
    </xf>
    <xf numFmtId="15" fontId="0" fillId="2" borderId="1" xfId="0" applyNumberFormat="1" applyFill="1" applyBorder="1"/>
    <xf numFmtId="1" fontId="0" fillId="2" borderId="1" xfId="0" applyNumberFormat="1" applyFill="1" applyBorder="1"/>
    <xf numFmtId="0" fontId="9" fillId="3" borderId="1" xfId="0" quotePrefix="1" applyNumberFormat="1" applyFont="1" applyFill="1" applyBorder="1" applyAlignment="1">
      <alignment vertical="top"/>
    </xf>
    <xf numFmtId="0" fontId="9" fillId="3" borderId="1" xfId="0" applyNumberFormat="1" applyFont="1" applyFill="1" applyBorder="1" applyAlignment="1">
      <alignment vertical="top"/>
    </xf>
    <xf numFmtId="0" fontId="0" fillId="0" borderId="0" xfId="0" applyFill="1" applyBorder="1"/>
    <xf numFmtId="0" fontId="0" fillId="3" borderId="1" xfId="0" applyFill="1" applyBorder="1"/>
    <xf numFmtId="0" fontId="6" fillId="3" borderId="1" xfId="0" applyFont="1" applyFill="1" applyBorder="1"/>
    <xf numFmtId="0" fontId="9" fillId="3" borderId="3" xfId="0" quotePrefix="1" applyNumberFormat="1" applyFont="1" applyFill="1" applyBorder="1" applyAlignment="1">
      <alignment vertical="top"/>
    </xf>
    <xf numFmtId="0" fontId="0" fillId="0" borderId="1" xfId="0" applyBorder="1" applyAlignment="1">
      <alignment horizontal="left"/>
    </xf>
    <xf numFmtId="49" fontId="0" fillId="2" borderId="1" xfId="0" quotePrefix="1" applyNumberFormat="1" applyFill="1" applyBorder="1"/>
    <xf numFmtId="0" fontId="0" fillId="2" borderId="1" xfId="0" applyFill="1" applyBorder="1" applyAlignment="1">
      <alignment horizontal="left"/>
    </xf>
    <xf numFmtId="49" fontId="0" fillId="2" borderId="1" xfId="0" quotePrefix="1" applyNumberFormat="1" applyFill="1" applyBorder="1" applyAlignment="1">
      <alignment horizontal="left"/>
    </xf>
    <xf numFmtId="49" fontId="0" fillId="2" borderId="1" xfId="0" applyNumberFormat="1" applyFill="1" applyBorder="1" applyAlignment="1">
      <alignment horizontal="left"/>
    </xf>
    <xf numFmtId="0" fontId="6" fillId="4" borderId="1" xfId="0" applyFont="1" applyFill="1" applyBorder="1" applyAlignment="1">
      <alignment horizontal="left"/>
    </xf>
    <xf numFmtId="0" fontId="6" fillId="4" borderId="2" xfId="0" applyFont="1" applyFill="1" applyBorder="1" applyAlignment="1">
      <alignment horizontal="left"/>
    </xf>
    <xf numFmtId="0" fontId="0" fillId="2" borderId="1" xfId="0" applyFill="1" applyBorder="1" applyAlignment="1">
      <alignment horizontal="left" wrapText="1"/>
    </xf>
    <xf numFmtId="49" fontId="0" fillId="2" borderId="1" xfId="0" quotePrefix="1" applyNumberFormat="1" applyFill="1" applyBorder="1" applyAlignment="1">
      <alignment horizontal="left" wrapText="1"/>
    </xf>
    <xf numFmtId="0" fontId="6" fillId="4" borderId="4" xfId="0" applyFont="1" applyFill="1" applyBorder="1" applyAlignment="1">
      <alignment horizontal="left"/>
    </xf>
    <xf numFmtId="0" fontId="0" fillId="5" borderId="1" xfId="0" applyFill="1" applyBorder="1"/>
    <xf numFmtId="0" fontId="0" fillId="6" borderId="1" xfId="0" applyFill="1" applyBorder="1" applyAlignment="1">
      <alignment horizontal="left" vertical="top"/>
    </xf>
    <xf numFmtId="0" fontId="0" fillId="6" borderId="1" xfId="0" applyFill="1" applyBorder="1" applyAlignment="1">
      <alignment horizontal="left" vertical="top" wrapText="1"/>
    </xf>
    <xf numFmtId="3" fontId="0" fillId="6" borderId="1" xfId="0" applyNumberFormat="1" applyFill="1" applyBorder="1" applyAlignment="1">
      <alignment horizontal="left" vertical="top"/>
    </xf>
    <xf numFmtId="0" fontId="0" fillId="5" borderId="1" xfId="0" applyFill="1" applyBorder="1" applyAlignment="1">
      <alignment horizontal="left" vertical="top"/>
    </xf>
    <xf numFmtId="3" fontId="0" fillId="5" borderId="1" xfId="0" applyNumberFormat="1" applyFill="1" applyBorder="1" applyAlignment="1">
      <alignment horizontal="left" vertical="top"/>
    </xf>
    <xf numFmtId="49" fontId="0" fillId="6" borderId="1" xfId="0" applyNumberFormat="1" applyFill="1" applyBorder="1" applyAlignment="1">
      <alignment horizontal="left" vertical="top"/>
    </xf>
    <xf numFmtId="164" fontId="0" fillId="6" borderId="1" xfId="0" applyNumberFormat="1" applyFill="1" applyBorder="1" applyAlignment="1">
      <alignment horizontal="left" vertical="top"/>
    </xf>
    <xf numFmtId="0" fontId="0" fillId="7" borderId="1" xfId="0" applyFill="1" applyBorder="1"/>
    <xf numFmtId="164" fontId="0" fillId="5" borderId="1" xfId="0" applyNumberFormat="1" applyFill="1" applyBorder="1" applyAlignment="1">
      <alignment horizontal="left" vertical="top"/>
    </xf>
    <xf numFmtId="2" fontId="0" fillId="6" borderId="1" xfId="0" applyNumberFormat="1" applyFill="1" applyBorder="1" applyAlignment="1">
      <alignment horizontal="left" vertical="top"/>
    </xf>
    <xf numFmtId="2" fontId="0" fillId="5" borderId="1" xfId="0" applyNumberFormat="1" applyFill="1" applyBorder="1" applyAlignment="1">
      <alignment horizontal="left" vertical="top"/>
    </xf>
    <xf numFmtId="0" fontId="6" fillId="4" borderId="4" xfId="0" applyFont="1" applyFill="1" applyBorder="1" applyAlignment="1">
      <alignment horizontal="left" vertical="top"/>
    </xf>
    <xf numFmtId="0" fontId="6" fillId="4" borderId="2" xfId="0" applyFont="1" applyFill="1" applyBorder="1" applyAlignment="1">
      <alignment horizontal="left" vertical="top"/>
    </xf>
    <xf numFmtId="0" fontId="0" fillId="8" borderId="1" xfId="0" applyFill="1" applyBorder="1" applyAlignment="1">
      <alignment horizontal="left" vertical="top"/>
    </xf>
    <xf numFmtId="0" fontId="0" fillId="9" borderId="1" xfId="0" applyFill="1" applyBorder="1" applyAlignment="1">
      <alignment horizontal="left" vertical="top"/>
    </xf>
    <xf numFmtId="2" fontId="0" fillId="8" borderId="1" xfId="0" applyNumberFormat="1" applyFill="1" applyBorder="1" applyAlignment="1">
      <alignment horizontal="left" vertical="top"/>
    </xf>
    <xf numFmtId="2" fontId="0" fillId="9" borderId="1" xfId="0" applyNumberFormat="1" applyFill="1" applyBorder="1" applyAlignment="1">
      <alignment horizontal="left" vertical="top"/>
    </xf>
    <xf numFmtId="0" fontId="0" fillId="2" borderId="1" xfId="0" applyFill="1" applyBorder="1" applyAlignment="1">
      <alignment horizontal="left" vertical="top"/>
    </xf>
    <xf numFmtId="164" fontId="0" fillId="0" borderId="0" xfId="0" applyNumberFormat="1"/>
    <xf numFmtId="0" fontId="6" fillId="10" borderId="1" xfId="0" applyFont="1" applyFill="1" applyBorder="1" applyAlignment="1">
      <alignment horizontal="left" vertical="top"/>
    </xf>
    <xf numFmtId="3" fontId="6" fillId="10" borderId="1" xfId="0" applyNumberFormat="1" applyFont="1" applyFill="1" applyBorder="1" applyAlignment="1">
      <alignment horizontal="left" vertical="top"/>
    </xf>
    <xf numFmtId="164" fontId="6" fillId="10" borderId="1" xfId="0" applyNumberFormat="1" applyFont="1" applyFill="1" applyBorder="1" applyAlignment="1">
      <alignment horizontal="left" vertical="top"/>
    </xf>
    <xf numFmtId="0" fontId="6" fillId="11" borderId="1" xfId="0" applyFont="1" applyFill="1" applyBorder="1" applyAlignment="1">
      <alignment horizontal="left" vertical="top"/>
    </xf>
    <xf numFmtId="3" fontId="6" fillId="11" borderId="1" xfId="0" applyNumberFormat="1" applyFont="1" applyFill="1" applyBorder="1" applyAlignment="1">
      <alignment horizontal="left" vertical="top"/>
    </xf>
    <xf numFmtId="164" fontId="6" fillId="11" borderId="1" xfId="0" applyNumberFormat="1" applyFont="1" applyFill="1" applyBorder="1" applyAlignment="1">
      <alignment horizontal="left" vertical="top"/>
    </xf>
    <xf numFmtId="2" fontId="0" fillId="2" borderId="1" xfId="0" applyNumberFormat="1" applyFill="1" applyBorder="1" applyAlignment="1">
      <alignment horizontal="left"/>
    </xf>
    <xf numFmtId="164" fontId="0" fillId="2" borderId="1" xfId="0" applyNumberFormat="1" applyFill="1" applyBorder="1" applyAlignment="1">
      <alignment horizontal="left"/>
    </xf>
    <xf numFmtId="0" fontId="6" fillId="12" borderId="5" xfId="0" applyFont="1" applyFill="1" applyBorder="1" applyAlignment="1">
      <alignment vertical="top"/>
    </xf>
    <xf numFmtId="0" fontId="6" fillId="12" borderId="0" xfId="0" applyFont="1" applyFill="1" applyBorder="1" applyAlignment="1">
      <alignment vertical="top"/>
    </xf>
    <xf numFmtId="49" fontId="6" fillId="2" borderId="1" xfId="0" applyNumberFormat="1" applyFont="1" applyFill="1" applyBorder="1" applyAlignment="1">
      <alignment horizontal="left" vertical="top"/>
    </xf>
    <xf numFmtId="0" fontId="0" fillId="2" borderId="1" xfId="0" applyFill="1" applyBorder="1" applyAlignment="1">
      <alignment vertical="top" wrapText="1"/>
    </xf>
    <xf numFmtId="49" fontId="0" fillId="2" borderId="1" xfId="0" quotePrefix="1" applyNumberFormat="1" applyFill="1" applyBorder="1" applyAlignment="1">
      <alignment vertical="top" wrapText="1"/>
    </xf>
    <xf numFmtId="49" fontId="6" fillId="13" borderId="1" xfId="0" applyNumberFormat="1" applyFont="1" applyFill="1" applyBorder="1" applyAlignment="1">
      <alignment horizontal="left" vertical="top"/>
    </xf>
    <xf numFmtId="0" fontId="0" fillId="13" borderId="1" xfId="0" applyFill="1" applyBorder="1" applyAlignment="1">
      <alignment horizontal="left" vertical="top"/>
    </xf>
    <xf numFmtId="3" fontId="0" fillId="13" borderId="1" xfId="0" applyNumberFormat="1" applyFill="1" applyBorder="1" applyAlignment="1">
      <alignment horizontal="left" vertical="top"/>
    </xf>
    <xf numFmtId="2" fontId="0" fillId="13" borderId="1" xfId="0" applyNumberFormat="1" applyFill="1" applyBorder="1" applyAlignment="1">
      <alignment horizontal="left" vertical="top"/>
    </xf>
    <xf numFmtId="0" fontId="6" fillId="13" borderId="0" xfId="0" applyFont="1" applyFill="1" applyAlignment="1">
      <alignment horizontal="left"/>
    </xf>
    <xf numFmtId="15" fontId="6" fillId="13" borderId="0" xfId="0" applyNumberFormat="1" applyFont="1" applyFill="1" applyAlignment="1">
      <alignment horizontal="left"/>
    </xf>
    <xf numFmtId="15" fontId="0" fillId="13" borderId="1" xfId="0" applyNumberFormat="1" applyFill="1" applyBorder="1" applyAlignment="1">
      <alignment horizontal="left" vertical="top"/>
    </xf>
    <xf numFmtId="164" fontId="0" fillId="13" borderId="1" xfId="0" applyNumberFormat="1" applyFill="1" applyBorder="1" applyAlignment="1">
      <alignment horizontal="left" vertical="top"/>
    </xf>
    <xf numFmtId="15" fontId="0" fillId="5" borderId="1" xfId="0" applyNumberFormat="1" applyFill="1" applyBorder="1" applyAlignment="1">
      <alignment horizontal="left" vertical="top"/>
    </xf>
    <xf numFmtId="14" fontId="0" fillId="6" borderId="1" xfId="0" applyNumberFormat="1" applyFill="1" applyBorder="1" applyAlignment="1">
      <alignment horizontal="left" vertical="top"/>
    </xf>
    <xf numFmtId="15" fontId="0" fillId="6" borderId="1" xfId="0" applyNumberFormat="1" applyFill="1" applyBorder="1" applyAlignment="1">
      <alignment horizontal="left" vertical="top"/>
    </xf>
    <xf numFmtId="0" fontId="10" fillId="13" borderId="1" xfId="0" applyFont="1" applyFill="1" applyBorder="1" applyAlignment="1">
      <alignment horizontal="left" vertical="top"/>
    </xf>
    <xf numFmtId="0" fontId="0" fillId="2" borderId="5" xfId="0" applyFill="1" applyBorder="1" applyAlignment="1">
      <alignment horizontal="left"/>
    </xf>
    <xf numFmtId="164" fontId="0" fillId="2" borderId="0" xfId="0" applyNumberFormat="1" applyFill="1" applyBorder="1" applyAlignment="1">
      <alignment horizontal="left"/>
    </xf>
    <xf numFmtId="2" fontId="0" fillId="2" borderId="0" xfId="0" applyNumberFormat="1" applyFill="1" applyBorder="1" applyAlignment="1">
      <alignment horizontal="left"/>
    </xf>
    <xf numFmtId="0" fontId="6" fillId="13" borderId="0" xfId="0" applyFont="1" applyFill="1" applyAlignment="1">
      <alignment horizontal="left"/>
    </xf>
    <xf numFmtId="0" fontId="6" fillId="4" borderId="4" xfId="0" applyFont="1" applyFill="1" applyBorder="1" applyAlignment="1">
      <alignment horizontal="left" vertical="top"/>
    </xf>
    <xf numFmtId="0" fontId="6" fillId="4" borderId="4" xfId="0" applyFont="1" applyFill="1" applyBorder="1" applyAlignment="1">
      <alignment horizontal="left" vertical="top" wrapText="1"/>
    </xf>
    <xf numFmtId="0" fontId="6" fillId="4" borderId="2" xfId="0" applyFont="1" applyFill="1" applyBorder="1" applyAlignment="1">
      <alignment horizontal="left" vertical="top" wrapText="1"/>
    </xf>
    <xf numFmtId="49" fontId="0" fillId="0" borderId="0" xfId="0" applyNumberFormat="1" applyAlignment="1">
      <alignment vertical="top"/>
    </xf>
    <xf numFmtId="49" fontId="0" fillId="0" borderId="0" xfId="0" applyNumberFormat="1" applyAlignment="1">
      <alignment vertical="top" wrapText="1"/>
    </xf>
    <xf numFmtId="49" fontId="0" fillId="14" borderId="0" xfId="0" applyNumberFormat="1" applyFill="1" applyAlignment="1">
      <alignment vertical="top"/>
    </xf>
    <xf numFmtId="49" fontId="11" fillId="8" borderId="1" xfId="0" applyNumberFormat="1" applyFont="1" applyFill="1" applyBorder="1" applyAlignment="1">
      <alignment vertical="top"/>
    </xf>
    <xf numFmtId="49" fontId="12" fillId="0" borderId="0" xfId="0" applyNumberFormat="1" applyFont="1" applyAlignment="1">
      <alignment vertical="top"/>
    </xf>
    <xf numFmtId="49" fontId="12" fillId="0" borderId="0" xfId="0" applyNumberFormat="1" applyFont="1" applyAlignment="1">
      <alignment vertical="top" wrapText="1"/>
    </xf>
    <xf numFmtId="49" fontId="12" fillId="14" borderId="0" xfId="0" applyNumberFormat="1" applyFont="1" applyFill="1" applyAlignment="1">
      <alignment vertical="top"/>
    </xf>
    <xf numFmtId="49" fontId="9" fillId="3" borderId="1" xfId="0" applyNumberFormat="1" applyFont="1" applyFill="1" applyBorder="1" applyAlignment="1">
      <alignment vertical="top"/>
    </xf>
    <xf numFmtId="49" fontId="8" fillId="2" borderId="1" xfId="0" applyNumberFormat="1" applyFont="1" applyFill="1" applyBorder="1" applyAlignment="1">
      <alignment vertical="top"/>
    </xf>
    <xf numFmtId="2" fontId="8" fillId="2" borderId="1" xfId="0" applyNumberFormat="1" applyFont="1" applyFill="1" applyBorder="1" applyAlignment="1" applyProtection="1">
      <alignment vertical="top"/>
      <protection locked="0"/>
    </xf>
    <xf numFmtId="49" fontId="9" fillId="3" borderId="3" xfId="0" applyNumberFormat="1" applyFont="1" applyFill="1" applyBorder="1" applyAlignment="1">
      <alignment vertical="top"/>
    </xf>
    <xf numFmtId="49" fontId="9" fillId="3" borderId="3" xfId="0" applyNumberFormat="1" applyFont="1" applyFill="1" applyBorder="1" applyAlignment="1">
      <alignment vertical="top" wrapText="1"/>
    </xf>
    <xf numFmtId="49" fontId="0" fillId="2" borderId="1" xfId="0" applyNumberFormat="1" applyFill="1" applyBorder="1" applyAlignment="1">
      <alignment vertical="top" wrapText="1"/>
    </xf>
    <xf numFmtId="2" fontId="0" fillId="2" borderId="1" xfId="0" applyNumberFormat="1" applyFill="1" applyBorder="1" applyAlignment="1">
      <alignment vertical="top"/>
    </xf>
    <xf numFmtId="49" fontId="9" fillId="3" borderId="1" xfId="0" applyNumberFormat="1" applyFont="1" applyFill="1" applyBorder="1" applyAlignment="1">
      <alignment horizontal="left" vertical="top"/>
    </xf>
    <xf numFmtId="49" fontId="0" fillId="2" borderId="1" xfId="0" quotePrefix="1" applyNumberFormat="1" applyFill="1" applyBorder="1" applyAlignment="1">
      <alignment vertical="top"/>
    </xf>
    <xf numFmtId="49" fontId="9" fillId="3" borderId="6" xfId="0" applyNumberFormat="1" applyFont="1" applyFill="1" applyBorder="1" applyAlignment="1">
      <alignment vertical="top"/>
    </xf>
    <xf numFmtId="49" fontId="9" fillId="3" borderId="7" xfId="0" applyNumberFormat="1" applyFont="1" applyFill="1" applyBorder="1" applyAlignment="1">
      <alignment vertical="top" wrapText="1"/>
    </xf>
    <xf numFmtId="49" fontId="9" fillId="3" borderId="7" xfId="0" applyNumberFormat="1" applyFont="1" applyFill="1" applyBorder="1" applyAlignment="1">
      <alignment vertical="top"/>
    </xf>
    <xf numFmtId="0" fontId="13" fillId="15" borderId="1" xfId="0" applyFont="1" applyFill="1" applyBorder="1" applyAlignment="1">
      <alignment horizontal="left" vertical="top" wrapText="1"/>
    </xf>
    <xf numFmtId="49" fontId="0" fillId="2" borderId="8" xfId="0" applyNumberFormat="1" applyFill="1" applyBorder="1" applyAlignment="1">
      <alignment vertical="top"/>
    </xf>
    <xf numFmtId="0" fontId="8" fillId="2" borderId="9" xfId="0" applyNumberFormat="1" applyFont="1" applyFill="1" applyBorder="1" applyAlignment="1">
      <alignment vertical="top"/>
    </xf>
    <xf numFmtId="49" fontId="0" fillId="2" borderId="9" xfId="0" applyNumberFormat="1" applyFill="1" applyBorder="1" applyAlignment="1">
      <alignment vertical="top"/>
    </xf>
    <xf numFmtId="0" fontId="13" fillId="15" borderId="8" xfId="0" applyFont="1" applyFill="1" applyBorder="1" applyAlignment="1">
      <alignment horizontal="left" vertical="top" wrapText="1"/>
    </xf>
    <xf numFmtId="49" fontId="0" fillId="0" borderId="1" xfId="0" applyNumberFormat="1" applyBorder="1" applyAlignment="1">
      <alignment vertical="top"/>
    </xf>
    <xf numFmtId="49" fontId="0" fillId="0" borderId="1" xfId="0" applyNumberFormat="1" applyBorder="1" applyAlignment="1">
      <alignment vertical="top" wrapText="1"/>
    </xf>
    <xf numFmtId="0" fontId="0" fillId="16" borderId="1" xfId="0" applyFill="1" applyBorder="1" applyAlignment="1">
      <alignment horizontal="left" vertical="top"/>
    </xf>
    <xf numFmtId="164" fontId="0" fillId="16" borderId="1" xfId="0" applyNumberFormat="1" applyFill="1" applyBorder="1" applyAlignment="1">
      <alignment horizontal="left" vertical="top"/>
    </xf>
    <xf numFmtId="3" fontId="0" fillId="16" borderId="1" xfId="0" applyNumberFormat="1" applyFill="1" applyBorder="1" applyAlignment="1">
      <alignment horizontal="left" vertical="top"/>
    </xf>
    <xf numFmtId="2" fontId="0" fillId="16" borderId="1" xfId="0" applyNumberFormat="1" applyFill="1" applyBorder="1" applyAlignment="1">
      <alignment horizontal="left" vertical="top"/>
    </xf>
    <xf numFmtId="0" fontId="6" fillId="6" borderId="1" xfId="0" applyFont="1" applyFill="1" applyBorder="1" applyAlignment="1">
      <alignment horizontal="left"/>
    </xf>
    <xf numFmtId="0" fontId="6" fillId="5" borderId="1" xfId="0" applyFont="1" applyFill="1" applyBorder="1" applyAlignment="1">
      <alignment horizontal="left"/>
    </xf>
    <xf numFmtId="0" fontId="6" fillId="9" borderId="1" xfId="0" applyFont="1" applyFill="1" applyBorder="1" applyAlignment="1">
      <alignment horizontal="left"/>
    </xf>
    <xf numFmtId="0" fontId="10" fillId="16" borderId="1" xfId="0" applyFont="1" applyFill="1" applyBorder="1" applyAlignment="1">
      <alignment horizontal="left" vertical="top"/>
    </xf>
    <xf numFmtId="15" fontId="0" fillId="8" borderId="1" xfId="0" applyNumberFormat="1" applyFill="1" applyBorder="1" applyAlignment="1">
      <alignment horizontal="left" vertical="top"/>
    </xf>
    <xf numFmtId="164" fontId="0" fillId="8" borderId="1" xfId="0" applyNumberFormat="1" applyFill="1" applyBorder="1" applyAlignment="1">
      <alignment horizontal="left" vertical="top"/>
    </xf>
    <xf numFmtId="3" fontId="0" fillId="8" borderId="1" xfId="0" applyNumberFormat="1" applyFill="1" applyBorder="1" applyAlignment="1">
      <alignment horizontal="left" vertical="top"/>
    </xf>
    <xf numFmtId="0" fontId="10" fillId="8" borderId="1" xfId="0" applyFont="1" applyFill="1" applyBorder="1" applyAlignment="1">
      <alignment horizontal="left" vertical="top"/>
    </xf>
    <xf numFmtId="0" fontId="14" fillId="17" borderId="0" xfId="0" applyFont="1" applyFill="1"/>
    <xf numFmtId="0" fontId="15" fillId="17" borderId="0" xfId="0" applyFont="1" applyFill="1"/>
    <xf numFmtId="0" fontId="0" fillId="0" borderId="0" xfId="0" applyAlignment="1">
      <alignment wrapText="1"/>
    </xf>
    <xf numFmtId="49" fontId="0" fillId="3" borderId="3" xfId="0" applyNumberFormat="1" applyFont="1" applyFill="1" applyBorder="1" applyAlignment="1">
      <alignment vertical="top" wrapText="1"/>
    </xf>
    <xf numFmtId="49" fontId="0" fillId="3" borderId="1" xfId="0" applyNumberFormat="1" applyFont="1" applyFill="1" applyBorder="1" applyAlignment="1">
      <alignment vertical="top" wrapText="1"/>
    </xf>
    <xf numFmtId="2" fontId="0" fillId="18" borderId="1" xfId="0" applyNumberFormat="1" applyFont="1" applyFill="1" applyBorder="1" applyAlignment="1" applyProtection="1">
      <alignment vertical="top" wrapText="1"/>
      <protection locked="0"/>
    </xf>
    <xf numFmtId="49" fontId="0" fillId="18" borderId="1" xfId="0" applyNumberFormat="1" applyFont="1" applyFill="1" applyBorder="1" applyAlignment="1">
      <alignment vertical="top" wrapText="1"/>
    </xf>
    <xf numFmtId="49" fontId="0" fillId="18" borderId="1" xfId="0" applyNumberFormat="1" applyFont="1" applyFill="1" applyBorder="1" applyAlignment="1" applyProtection="1">
      <alignment vertical="top" wrapText="1"/>
      <protection locked="0"/>
    </xf>
    <xf numFmtId="49" fontId="11" fillId="4" borderId="8" xfId="0" applyNumberFormat="1" applyFont="1" applyFill="1" applyBorder="1" applyAlignment="1">
      <alignment vertical="top" wrapText="1"/>
    </xf>
    <xf numFmtId="49" fontId="11" fillId="4" borderId="9" xfId="0" applyNumberFormat="1" applyFont="1" applyFill="1" applyBorder="1" applyAlignment="1">
      <alignment vertical="top" wrapText="1"/>
    </xf>
    <xf numFmtId="2" fontId="0" fillId="18" borderId="1" xfId="0" quotePrefix="1" applyNumberFormat="1" applyFont="1" applyFill="1" applyBorder="1" applyAlignment="1" applyProtection="1">
      <alignment vertical="top" wrapText="1"/>
      <protection locked="0"/>
    </xf>
    <xf numFmtId="0" fontId="6" fillId="0" borderId="0" xfId="0" applyFont="1"/>
    <xf numFmtId="0" fontId="0" fillId="4" borderId="1" xfId="0" applyFill="1" applyBorder="1"/>
    <xf numFmtId="0" fontId="0" fillId="18" borderId="1" xfId="0" applyFill="1" applyBorder="1"/>
    <xf numFmtId="49" fontId="9" fillId="3" borderId="1" xfId="0" applyNumberFormat="1" applyFont="1" applyFill="1" applyBorder="1" applyAlignment="1">
      <alignment vertical="top" wrapText="1"/>
    </xf>
    <xf numFmtId="0" fontId="16" fillId="0" borderId="0" xfId="0" applyFont="1"/>
    <xf numFmtId="0" fontId="5" fillId="18" borderId="1" xfId="1" applyFill="1" applyBorder="1"/>
    <xf numFmtId="49" fontId="6" fillId="3" borderId="1" xfId="0" applyNumberFormat="1" applyFont="1" applyFill="1" applyBorder="1" applyAlignment="1">
      <alignment vertical="top" wrapText="1"/>
    </xf>
    <xf numFmtId="0" fontId="0" fillId="18" borderId="1" xfId="0" quotePrefix="1" applyFill="1" applyBorder="1"/>
    <xf numFmtId="49" fontId="6" fillId="3" borderId="3" xfId="0" applyNumberFormat="1" applyFont="1" applyFill="1" applyBorder="1" applyAlignment="1">
      <alignment vertical="top" wrapText="1"/>
    </xf>
    <xf numFmtId="0" fontId="0" fillId="18" borderId="1" xfId="0" applyFont="1" applyFill="1" applyBorder="1"/>
    <xf numFmtId="0" fontId="0" fillId="18" borderId="1" xfId="0" applyFont="1" applyFill="1" applyBorder="1" applyAlignment="1">
      <alignment wrapText="1"/>
    </xf>
    <xf numFmtId="0" fontId="0" fillId="0" borderId="0" xfId="0" applyFont="1"/>
    <xf numFmtId="0" fontId="0" fillId="18" borderId="1" xfId="0" applyFont="1" applyFill="1" applyBorder="1" applyAlignment="1">
      <alignment horizontal="center"/>
    </xf>
    <xf numFmtId="49" fontId="9" fillId="3" borderId="6" xfId="0" applyNumberFormat="1" applyFont="1" applyFill="1" applyBorder="1" applyAlignment="1">
      <alignment vertical="top" wrapText="1"/>
    </xf>
    <xf numFmtId="49" fontId="16" fillId="14" borderId="1" xfId="0" applyNumberFormat="1" applyFont="1" applyFill="1" applyBorder="1" applyAlignment="1">
      <alignment vertical="top" wrapText="1"/>
    </xf>
    <xf numFmtId="0" fontId="0" fillId="18" borderId="8" xfId="0" applyFont="1" applyFill="1" applyBorder="1"/>
    <xf numFmtId="0" fontId="0" fillId="14" borderId="1" xfId="0" applyFont="1" applyFill="1" applyBorder="1"/>
    <xf numFmtId="0" fontId="9" fillId="0" borderId="0" xfId="0" applyFont="1"/>
    <xf numFmtId="0" fontId="0" fillId="18" borderId="1" xfId="0" applyFill="1" applyBorder="1" applyAlignment="1">
      <alignment horizontal="center"/>
    </xf>
    <xf numFmtId="2" fontId="0" fillId="19" borderId="1" xfId="0" applyNumberFormat="1" applyFont="1" applyFill="1" applyBorder="1" applyAlignment="1" applyProtection="1">
      <alignment vertical="top" wrapText="1"/>
      <protection locked="0"/>
    </xf>
    <xf numFmtId="0" fontId="0" fillId="20" borderId="0" xfId="0" applyFill="1"/>
    <xf numFmtId="0" fontId="11" fillId="20" borderId="0" xfId="0" applyFont="1" applyFill="1"/>
    <xf numFmtId="0" fontId="14" fillId="21" borderId="0" xfId="0" applyFont="1" applyFill="1" applyAlignment="1"/>
    <xf numFmtId="0" fontId="0" fillId="8" borderId="1" xfId="0" applyFill="1" applyBorder="1"/>
    <xf numFmtId="0" fontId="0" fillId="19" borderId="1" xfId="0" applyFill="1" applyBorder="1"/>
    <xf numFmtId="0" fontId="0" fillId="19" borderId="1" xfId="0" applyFill="1" applyBorder="1" applyAlignment="1">
      <alignment horizontal="right"/>
    </xf>
    <xf numFmtId="0" fontId="0" fillId="11" borderId="1" xfId="0" applyFill="1" applyBorder="1"/>
    <xf numFmtId="0" fontId="0" fillId="11" borderId="1" xfId="0" applyFill="1" applyBorder="1" applyAlignment="1">
      <alignment horizontal="right"/>
    </xf>
    <xf numFmtId="0" fontId="0" fillId="11" borderId="0" xfId="0" applyFill="1" applyBorder="1"/>
    <xf numFmtId="0" fontId="6" fillId="4" borderId="4" xfId="0" applyFont="1" applyFill="1" applyBorder="1" applyAlignment="1">
      <alignment horizontal="left" vertical="top"/>
    </xf>
    <xf numFmtId="0" fontId="6" fillId="13" borderId="0" xfId="0" applyFont="1" applyFill="1" applyAlignment="1">
      <alignment horizontal="left"/>
    </xf>
    <xf numFmtId="0" fontId="6" fillId="4" borderId="4" xfId="0" applyFont="1" applyFill="1" applyBorder="1" applyAlignment="1">
      <alignment horizontal="left" vertical="top" wrapText="1"/>
    </xf>
    <xf numFmtId="0" fontId="6" fillId="4" borderId="2" xfId="0" applyFont="1" applyFill="1" applyBorder="1" applyAlignment="1">
      <alignment horizontal="left" vertical="top" wrapText="1"/>
    </xf>
    <xf numFmtId="0" fontId="0" fillId="2" borderId="0" xfId="0" applyFill="1" applyBorder="1"/>
    <xf numFmtId="49" fontId="0" fillId="19" borderId="1" xfId="0" applyNumberFormat="1" applyFill="1" applyBorder="1" applyAlignment="1">
      <alignment vertical="top"/>
    </xf>
    <xf numFmtId="15" fontId="0" fillId="2" borderId="1" xfId="0" quotePrefix="1" applyNumberFormat="1" applyFill="1" applyBorder="1" applyAlignment="1">
      <alignment horizontal="left" wrapText="1"/>
    </xf>
    <xf numFmtId="49" fontId="6" fillId="19" borderId="1" xfId="0" applyNumberFormat="1" applyFont="1" applyFill="1" applyBorder="1" applyAlignment="1">
      <alignment horizontal="left" vertical="top"/>
    </xf>
    <xf numFmtId="0" fontId="6" fillId="4" borderId="4" xfId="0" applyFont="1" applyFill="1" applyBorder="1" applyAlignment="1">
      <alignment horizontal="left" vertical="top"/>
    </xf>
    <xf numFmtId="0" fontId="6" fillId="13" borderId="0" xfId="0" applyFont="1" applyFill="1" applyAlignment="1">
      <alignment horizontal="left"/>
    </xf>
    <xf numFmtId="0" fontId="6" fillId="4" borderId="4" xfId="0" applyFont="1" applyFill="1" applyBorder="1" applyAlignment="1">
      <alignment horizontal="left" vertical="top"/>
    </xf>
    <xf numFmtId="0" fontId="6" fillId="4" borderId="4" xfId="0" applyFont="1" applyFill="1" applyBorder="1" applyAlignment="1">
      <alignment horizontal="left" vertical="top"/>
    </xf>
    <xf numFmtId="0" fontId="0" fillId="14" borderId="1" xfId="0" applyFill="1" applyBorder="1"/>
    <xf numFmtId="0" fontId="0" fillId="14" borderId="1" xfId="0" applyFill="1" applyBorder="1" applyAlignment="1">
      <alignment horizontal="left" vertical="top"/>
    </xf>
    <xf numFmtId="164" fontId="0" fillId="14" borderId="1" xfId="0" applyNumberFormat="1" applyFill="1" applyBorder="1" applyAlignment="1">
      <alignment horizontal="left" vertical="top"/>
    </xf>
    <xf numFmtId="3" fontId="0" fillId="14" borderId="1" xfId="0" applyNumberFormat="1" applyFill="1" applyBorder="1" applyAlignment="1">
      <alignment horizontal="left" vertical="top"/>
    </xf>
    <xf numFmtId="2" fontId="0" fillId="14" borderId="1" xfId="0" applyNumberFormat="1" applyFill="1" applyBorder="1" applyAlignment="1">
      <alignment horizontal="left" vertical="top"/>
    </xf>
    <xf numFmtId="0" fontId="0" fillId="0" borderId="0" xfId="0" applyAlignment="1">
      <alignment vertical="top" wrapText="1"/>
    </xf>
    <xf numFmtId="0" fontId="0" fillId="14" borderId="1" xfId="0" applyFill="1" applyBorder="1" applyAlignment="1">
      <alignment wrapText="1"/>
    </xf>
    <xf numFmtId="4" fontId="0" fillId="0" borderId="0" xfId="0" applyNumberFormat="1"/>
    <xf numFmtId="49" fontId="6" fillId="8" borderId="1" xfId="0" applyNumberFormat="1" applyFont="1" applyFill="1" applyBorder="1" applyAlignment="1">
      <alignment horizontal="left" vertical="top"/>
    </xf>
    <xf numFmtId="0" fontId="6" fillId="4" borderId="4" xfId="0" applyFont="1" applyFill="1" applyBorder="1" applyAlignment="1">
      <alignment horizontal="left" vertical="top"/>
    </xf>
    <xf numFmtId="0" fontId="6" fillId="22" borderId="4" xfId="0" applyFont="1" applyFill="1" applyBorder="1" applyAlignment="1">
      <alignment horizontal="left"/>
    </xf>
    <xf numFmtId="0" fontId="6" fillId="22" borderId="2" xfId="0" applyFont="1" applyFill="1" applyBorder="1" applyAlignment="1">
      <alignment horizontal="left"/>
    </xf>
    <xf numFmtId="0" fontId="0" fillId="22" borderId="1" xfId="0" applyFill="1" applyBorder="1"/>
    <xf numFmtId="49" fontId="0" fillId="22" borderId="1" xfId="0" applyNumberFormat="1" applyFill="1" applyBorder="1"/>
    <xf numFmtId="15" fontId="0" fillId="22" borderId="1" xfId="0" applyNumberFormat="1" applyFill="1" applyBorder="1"/>
    <xf numFmtId="0" fontId="0" fillId="6" borderId="1" xfId="0" quotePrefix="1" applyFill="1" applyBorder="1" applyAlignment="1">
      <alignment horizontal="left" vertical="top"/>
    </xf>
    <xf numFmtId="0" fontId="0" fillId="6" borderId="1" xfId="0" quotePrefix="1" applyFill="1" applyBorder="1" applyAlignment="1">
      <alignment horizontal="left" vertical="top" wrapText="1"/>
    </xf>
    <xf numFmtId="165" fontId="0" fillId="6" borderId="1" xfId="0" applyNumberFormat="1" applyFill="1" applyBorder="1" applyAlignment="1">
      <alignment horizontal="left" vertical="top"/>
    </xf>
    <xf numFmtId="166" fontId="6" fillId="10" borderId="1" xfId="0" applyNumberFormat="1" applyFont="1" applyFill="1" applyBorder="1" applyAlignment="1">
      <alignment horizontal="left" vertical="top"/>
    </xf>
    <xf numFmtId="166" fontId="6" fillId="11" borderId="1" xfId="0" applyNumberFormat="1" applyFont="1" applyFill="1" applyBorder="1" applyAlignment="1">
      <alignment horizontal="left" vertical="top"/>
    </xf>
    <xf numFmtId="166" fontId="0" fillId="6" borderId="1" xfId="0" applyNumberFormat="1" applyFill="1" applyBorder="1" applyAlignment="1">
      <alignment horizontal="left" vertical="top"/>
    </xf>
    <xf numFmtId="166" fontId="0" fillId="5" borderId="1" xfId="0" applyNumberFormat="1" applyFill="1" applyBorder="1" applyAlignment="1">
      <alignment horizontal="left" vertical="top"/>
    </xf>
    <xf numFmtId="166" fontId="0" fillId="8" borderId="1" xfId="0" applyNumberFormat="1" applyFill="1" applyBorder="1" applyAlignment="1">
      <alignment horizontal="left" vertical="top"/>
    </xf>
    <xf numFmtId="166" fontId="0" fillId="9" borderId="1" xfId="0" applyNumberFormat="1" applyFill="1" applyBorder="1" applyAlignment="1">
      <alignment horizontal="left" vertical="top"/>
    </xf>
    <xf numFmtId="0" fontId="0" fillId="0" borderId="1" xfId="0" quotePrefix="1" applyBorder="1"/>
    <xf numFmtId="0" fontId="6" fillId="13" borderId="0" xfId="0" applyFont="1" applyFill="1" applyAlignment="1">
      <alignment horizontal="left"/>
    </xf>
    <xf numFmtId="0" fontId="6" fillId="4" borderId="4"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4" xfId="0" applyFont="1" applyFill="1" applyBorder="1" applyAlignment="1">
      <alignment horizontal="left" vertical="top"/>
    </xf>
    <xf numFmtId="0" fontId="0" fillId="2" borderId="1" xfId="0" applyFill="1" applyBorder="1" applyAlignment="1">
      <alignment wrapText="1"/>
    </xf>
    <xf numFmtId="0" fontId="6" fillId="13" borderId="0" xfId="0" applyFont="1" applyFill="1" applyAlignment="1">
      <alignment horizontal="left"/>
    </xf>
    <xf numFmtId="0" fontId="6" fillId="4" borderId="4" xfId="0" applyFont="1" applyFill="1" applyBorder="1" applyAlignment="1">
      <alignment horizontal="left" vertical="top" wrapText="1"/>
    </xf>
    <xf numFmtId="0" fontId="6" fillId="4" borderId="2" xfId="0" applyFont="1" applyFill="1" applyBorder="1" applyAlignment="1">
      <alignment horizontal="left" vertical="top" wrapText="1"/>
    </xf>
    <xf numFmtId="15" fontId="0" fillId="2" borderId="1" xfId="0" applyNumberFormat="1" applyFill="1" applyBorder="1" applyAlignment="1">
      <alignment horizontal="left" vertical="top"/>
    </xf>
    <xf numFmtId="0" fontId="0" fillId="2" borderId="1" xfId="0" applyFill="1" applyBorder="1" applyAlignment="1">
      <alignment horizontal="left" vertical="top" wrapText="1"/>
    </xf>
    <xf numFmtId="0" fontId="6" fillId="13" borderId="5" xfId="0" applyFont="1" applyFill="1" applyBorder="1" applyAlignment="1">
      <alignment vertical="top"/>
    </xf>
    <xf numFmtId="0" fontId="6" fillId="13" borderId="0" xfId="0" applyFont="1" applyFill="1" applyBorder="1" applyAlignment="1">
      <alignment vertical="top"/>
    </xf>
    <xf numFmtId="0" fontId="0" fillId="13" borderId="0" xfId="0" applyFill="1"/>
    <xf numFmtId="0" fontId="0" fillId="14" borderId="0" xfId="0" applyFill="1" applyBorder="1" applyAlignment="1">
      <alignment horizontal="left" vertical="top"/>
    </xf>
    <xf numFmtId="164" fontId="0" fillId="14" borderId="0" xfId="0" applyNumberFormat="1" applyFill="1" applyBorder="1" applyAlignment="1">
      <alignment horizontal="left" vertical="top"/>
    </xf>
    <xf numFmtId="3" fontId="0" fillId="14" borderId="0" xfId="0" applyNumberFormat="1" applyFill="1" applyBorder="1" applyAlignment="1">
      <alignment horizontal="left" vertical="top"/>
    </xf>
    <xf numFmtId="2" fontId="0" fillId="14" borderId="0" xfId="0" applyNumberFormat="1" applyFill="1" applyBorder="1" applyAlignment="1">
      <alignment horizontal="left" vertical="top"/>
    </xf>
    <xf numFmtId="0" fontId="6" fillId="9" borderId="8" xfId="0" applyFont="1" applyFill="1" applyBorder="1" applyAlignment="1">
      <alignment vertical="center"/>
    </xf>
    <xf numFmtId="0" fontId="6" fillId="9" borderId="9" xfId="0" applyFont="1" applyFill="1" applyBorder="1" applyAlignment="1">
      <alignment vertical="center"/>
    </xf>
    <xf numFmtId="0" fontId="6" fillId="9" borderId="10" xfId="0" applyFont="1" applyFill="1" applyBorder="1" applyAlignment="1">
      <alignment vertical="center"/>
    </xf>
    <xf numFmtId="49" fontId="7" fillId="2" borderId="1" xfId="0" applyNumberFormat="1" applyFont="1" applyFill="1" applyBorder="1"/>
    <xf numFmtId="0" fontId="10" fillId="4" borderId="1" xfId="0" applyFont="1" applyFill="1" applyBorder="1" applyAlignment="1">
      <alignment horizontal="left"/>
    </xf>
    <xf numFmtId="14" fontId="0" fillId="2" borderId="1" xfId="0" quotePrefix="1" applyNumberFormat="1" applyFill="1" applyBorder="1"/>
    <xf numFmtId="167" fontId="0" fillId="2" borderId="1" xfId="0" applyNumberFormat="1" applyFill="1" applyBorder="1" applyAlignment="1">
      <alignment horizontal="left"/>
    </xf>
    <xf numFmtId="167" fontId="6" fillId="10" borderId="1" xfId="0" applyNumberFormat="1" applyFont="1" applyFill="1" applyBorder="1" applyAlignment="1">
      <alignment horizontal="left" vertical="top"/>
    </xf>
    <xf numFmtId="0" fontId="6" fillId="10" borderId="1" xfId="0" applyNumberFormat="1" applyFont="1" applyFill="1" applyBorder="1" applyAlignment="1">
      <alignment horizontal="left" vertical="top"/>
    </xf>
    <xf numFmtId="0" fontId="6" fillId="11" borderId="1" xfId="0" applyNumberFormat="1" applyFont="1" applyFill="1" applyBorder="1" applyAlignment="1">
      <alignment horizontal="left" vertical="top"/>
    </xf>
    <xf numFmtId="0" fontId="0" fillId="6"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8"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0" borderId="0" xfId="0" applyNumberFormat="1"/>
    <xf numFmtId="3" fontId="0" fillId="0" borderId="0" xfId="0" applyNumberFormat="1"/>
    <xf numFmtId="168" fontId="0" fillId="2" borderId="1" xfId="0" applyNumberFormat="1" applyFill="1" applyBorder="1" applyAlignment="1">
      <alignment horizontal="left" wrapText="1"/>
    </xf>
    <xf numFmtId="15" fontId="0" fillId="0" borderId="1" xfId="0" applyNumberFormat="1" applyBorder="1"/>
    <xf numFmtId="0" fontId="0" fillId="0" borderId="1" xfId="0" applyFill="1" applyBorder="1"/>
    <xf numFmtId="49" fontId="0" fillId="0" borderId="1" xfId="0" applyNumberFormat="1" applyBorder="1"/>
    <xf numFmtId="14" fontId="0" fillId="14" borderId="1" xfId="0" quotePrefix="1" applyNumberFormat="1" applyFill="1" applyBorder="1"/>
    <xf numFmtId="0" fontId="0" fillId="14" borderId="1" xfId="0" quotePrefix="1" applyNumberFormat="1" applyFill="1" applyBorder="1"/>
    <xf numFmtId="49" fontId="0" fillId="0" borderId="0" xfId="0" applyNumberFormat="1"/>
    <xf numFmtId="2" fontId="0" fillId="0" borderId="0" xfId="0" applyNumberFormat="1"/>
    <xf numFmtId="1" fontId="6" fillId="10" borderId="1" xfId="0" applyNumberFormat="1" applyFont="1" applyFill="1" applyBorder="1" applyAlignment="1">
      <alignment horizontal="left" vertical="top"/>
    </xf>
    <xf numFmtId="1" fontId="6" fillId="11" borderId="1" xfId="0" applyNumberFormat="1" applyFont="1" applyFill="1" applyBorder="1" applyAlignment="1">
      <alignment horizontal="left" vertical="top"/>
    </xf>
    <xf numFmtId="2" fontId="6" fillId="11" borderId="1" xfId="0" applyNumberFormat="1" applyFont="1" applyFill="1" applyBorder="1" applyAlignment="1">
      <alignment horizontal="left" vertical="top"/>
    </xf>
    <xf numFmtId="49" fontId="0" fillId="0" borderId="1" xfId="0" quotePrefix="1" applyNumberFormat="1" applyBorder="1"/>
    <xf numFmtId="2" fontId="0" fillId="0" borderId="1" xfId="0" quotePrefix="1" applyNumberFormat="1" applyBorder="1"/>
    <xf numFmtId="169" fontId="0" fillId="2" borderId="1" xfId="0" quotePrefix="1" applyNumberFormat="1" applyFill="1" applyBorder="1" applyAlignment="1">
      <alignment horizontal="left" wrapText="1"/>
    </xf>
    <xf numFmtId="49" fontId="11" fillId="4" borderId="8" xfId="0" applyNumberFormat="1" applyFont="1" applyFill="1" applyBorder="1" applyAlignment="1">
      <alignment horizontal="left" vertical="top" wrapText="1"/>
    </xf>
    <xf numFmtId="49" fontId="11" fillId="4" borderId="9" xfId="0" applyNumberFormat="1" applyFont="1" applyFill="1" applyBorder="1" applyAlignment="1">
      <alignment horizontal="left" vertical="top" wrapText="1"/>
    </xf>
    <xf numFmtId="49" fontId="11" fillId="4" borderId="10" xfId="0" applyNumberFormat="1" applyFont="1" applyFill="1" applyBorder="1" applyAlignment="1">
      <alignment horizontal="left" vertical="top" wrapText="1"/>
    </xf>
    <xf numFmtId="49" fontId="14" fillId="23" borderId="8" xfId="0" applyNumberFormat="1" applyFont="1" applyFill="1" applyBorder="1" applyAlignment="1">
      <alignment horizontal="left" vertical="top" wrapText="1"/>
    </xf>
    <xf numFmtId="49" fontId="14" fillId="23" borderId="9" xfId="0" applyNumberFormat="1" applyFont="1" applyFill="1" applyBorder="1" applyAlignment="1">
      <alignment horizontal="left" vertical="top" wrapText="1"/>
    </xf>
    <xf numFmtId="49" fontId="14" fillId="23" borderId="10" xfId="0" applyNumberFormat="1" applyFont="1" applyFill="1" applyBorder="1" applyAlignment="1">
      <alignment horizontal="left" vertical="top" wrapText="1"/>
    </xf>
    <xf numFmtId="0" fontId="6" fillId="12" borderId="5" xfId="0" applyFont="1" applyFill="1" applyBorder="1" applyAlignment="1">
      <alignment horizontal="left" vertical="top"/>
    </xf>
    <xf numFmtId="0" fontId="6" fillId="12" borderId="0" xfId="0" applyFont="1" applyFill="1" applyBorder="1" applyAlignment="1">
      <alignment horizontal="left" vertical="top"/>
    </xf>
    <xf numFmtId="0" fontId="6" fillId="12" borderId="6" xfId="0" applyFont="1" applyFill="1" applyBorder="1" applyAlignment="1">
      <alignment horizontal="left" vertical="top"/>
    </xf>
    <xf numFmtId="0" fontId="6" fillId="12" borderId="11" xfId="0" applyFont="1" applyFill="1" applyBorder="1" applyAlignment="1">
      <alignment horizontal="left" vertical="top"/>
    </xf>
    <xf numFmtId="0" fontId="6" fillId="4" borderId="4" xfId="0" applyFont="1" applyFill="1" applyBorder="1" applyAlignment="1">
      <alignment horizontal="left" vertical="top"/>
    </xf>
    <xf numFmtId="0" fontId="6" fillId="4" borderId="3" xfId="0" applyFont="1" applyFill="1" applyBorder="1" applyAlignment="1">
      <alignment horizontal="left" vertical="top"/>
    </xf>
    <xf numFmtId="0" fontId="6" fillId="6" borderId="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6" fillId="13" borderId="0" xfId="0" applyFont="1" applyFill="1" applyAlignment="1">
      <alignment horizontal="left"/>
    </xf>
    <xf numFmtId="0" fontId="6" fillId="4" borderId="8" xfId="0" applyFont="1" applyFill="1" applyBorder="1" applyAlignment="1">
      <alignment horizontal="left" vertical="top"/>
    </xf>
    <xf numFmtId="0" fontId="6" fillId="4" borderId="9" xfId="0" applyFont="1" applyFill="1" applyBorder="1" applyAlignment="1">
      <alignment horizontal="left" vertical="top"/>
    </xf>
    <xf numFmtId="0" fontId="6" fillId="4" borderId="10" xfId="0" applyFont="1" applyFill="1" applyBorder="1" applyAlignment="1">
      <alignment horizontal="left" vertical="top"/>
    </xf>
    <xf numFmtId="0" fontId="6" fillId="4" borderId="8" xfId="0" applyFont="1" applyFill="1" applyBorder="1" applyAlignment="1">
      <alignment horizontal="center"/>
    </xf>
    <xf numFmtId="0" fontId="6" fillId="4" borderId="9" xfId="0" applyFont="1" applyFill="1" applyBorder="1" applyAlignment="1">
      <alignment horizontal="center"/>
    </xf>
    <xf numFmtId="0" fontId="6" fillId="4" borderId="10" xfId="0" applyFont="1" applyFill="1" applyBorder="1" applyAlignment="1">
      <alignment horizontal="center"/>
    </xf>
    <xf numFmtId="0" fontId="6" fillId="4" borderId="4"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9" borderId="8" xfId="0" applyFont="1" applyFill="1" applyBorder="1" applyAlignment="1">
      <alignment horizontal="center" vertical="center"/>
    </xf>
    <xf numFmtId="0" fontId="6" fillId="9" borderId="9" xfId="0" applyFont="1" applyFill="1" applyBorder="1" applyAlignment="1">
      <alignment horizontal="center" vertical="center"/>
    </xf>
    <xf numFmtId="0" fontId="6" fillId="9" borderId="10" xfId="0" applyFont="1" applyFill="1" applyBorder="1" applyAlignment="1">
      <alignment horizontal="center" vertical="center"/>
    </xf>
    <xf numFmtId="0" fontId="6" fillId="5" borderId="8" xfId="0" applyFont="1" applyFill="1" applyBorder="1" applyAlignment="1">
      <alignment horizontal="center"/>
    </xf>
    <xf numFmtId="0" fontId="6" fillId="5" borderId="9" xfId="0" applyFont="1" applyFill="1" applyBorder="1" applyAlignment="1">
      <alignment horizontal="center"/>
    </xf>
    <xf numFmtId="0" fontId="6" fillId="5" borderId="10" xfId="0" applyFont="1" applyFill="1" applyBorder="1" applyAlignment="1">
      <alignment horizontal="center"/>
    </xf>
    <xf numFmtId="49" fontId="17" fillId="17" borderId="1" xfId="0" applyNumberFormat="1" applyFont="1" applyFill="1" applyBorder="1" applyAlignment="1">
      <alignment horizontal="center" vertical="center"/>
    </xf>
    <xf numFmtId="49" fontId="11" fillId="4" borderId="8" xfId="0" applyNumberFormat="1" applyFont="1" applyFill="1" applyBorder="1" applyAlignment="1">
      <alignment horizontal="left" vertical="top"/>
    </xf>
    <xf numFmtId="49" fontId="11" fillId="4" borderId="9" xfId="0" applyNumberFormat="1" applyFont="1" applyFill="1" applyBorder="1" applyAlignment="1">
      <alignment horizontal="left" vertical="top"/>
    </xf>
    <xf numFmtId="49" fontId="11" fillId="4" borderId="10" xfId="0" applyNumberFormat="1" applyFont="1" applyFill="1" applyBorder="1" applyAlignment="1">
      <alignment horizontal="left" vertical="top"/>
    </xf>
    <xf numFmtId="49" fontId="11" fillId="4" borderId="1" xfId="0" applyNumberFormat="1" applyFont="1" applyFill="1" applyBorder="1" applyAlignment="1">
      <alignment horizontal="left" vertical="top"/>
    </xf>
    <xf numFmtId="49" fontId="11" fillId="4" borderId="5" xfId="0" applyNumberFormat="1" applyFont="1" applyFill="1" applyBorder="1" applyAlignment="1">
      <alignment horizontal="left" vertical="top"/>
    </xf>
    <xf numFmtId="49" fontId="11" fillId="4" borderId="0" xfId="0" applyNumberFormat="1" applyFont="1" applyFill="1" applyBorder="1" applyAlignment="1">
      <alignment horizontal="left" vertical="top"/>
    </xf>
    <xf numFmtId="0" fontId="17" fillId="24" borderId="0" xfId="0" applyFont="1" applyFill="1" applyAlignment="1">
      <alignment horizontal="left" vertical="top"/>
    </xf>
    <xf numFmtId="0" fontId="6" fillId="12" borderId="1" xfId="0" applyFont="1" applyFill="1" applyBorder="1" applyAlignment="1">
      <alignment vertical="top"/>
    </xf>
    <xf numFmtId="49" fontId="11" fillId="4" borderId="1" xfId="0" applyNumberFormat="1" applyFont="1" applyFill="1" applyBorder="1" applyAlignment="1">
      <alignment vertical="top"/>
    </xf>
    <xf numFmtId="0" fontId="0" fillId="22" borderId="0" xfId="0" applyFill="1" applyAlignment="1">
      <alignment horizontal="center"/>
    </xf>
    <xf numFmtId="0" fontId="6" fillId="22" borderId="5" xfId="0" applyFont="1" applyFill="1" applyBorder="1" applyAlignment="1">
      <alignment horizontal="left" vertical="top"/>
    </xf>
    <xf numFmtId="0" fontId="6" fillId="22" borderId="0" xfId="0" applyFont="1" applyFill="1" applyBorder="1" applyAlignment="1">
      <alignment horizontal="left" vertical="top"/>
    </xf>
    <xf numFmtId="0" fontId="6" fillId="12" borderId="0" xfId="0" applyFont="1" applyFill="1" applyAlignment="1">
      <alignment horizontal="left"/>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nju.k.kumari@oracle.com" TargetMode="External"/><Relationship Id="rId2" Type="http://schemas.openxmlformats.org/officeDocument/2006/relationships/hyperlink" Target="mailto:anju.k.kumari@oracle.com" TargetMode="External"/><Relationship Id="rId1" Type="http://schemas.openxmlformats.org/officeDocument/2006/relationships/hyperlink" Target="mailto:anju.k.kumari@oracle.com" TargetMode="External"/><Relationship Id="rId5" Type="http://schemas.openxmlformats.org/officeDocument/2006/relationships/printerSettings" Target="../printerSettings/printerSettings1.bin"/><Relationship Id="rId4" Type="http://schemas.openxmlformats.org/officeDocument/2006/relationships/hyperlink" Target="mailto:anju.k.kumari@oracle.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7"/>
  <sheetViews>
    <sheetView topLeftCell="A28" workbookViewId="0">
      <selection activeCell="D37" sqref="D37"/>
    </sheetView>
  </sheetViews>
  <sheetFormatPr defaultRowHeight="14.5" x14ac:dyDescent="0.35"/>
  <cols>
    <col min="1" max="1" width="20.1796875" bestFit="1" customWidth="1"/>
    <col min="2" max="2" width="29.1796875" bestFit="1" customWidth="1"/>
    <col min="3" max="3" width="17.453125" bestFit="1" customWidth="1"/>
    <col min="4" max="4" width="42.81640625" bestFit="1" customWidth="1"/>
    <col min="5" max="5" width="17.54296875" bestFit="1" customWidth="1"/>
    <col min="6" max="6" width="12.81640625" bestFit="1" customWidth="1"/>
    <col min="7" max="7" width="11.453125" bestFit="1" customWidth="1"/>
    <col min="9" max="9" width="17.1796875" bestFit="1" customWidth="1"/>
    <col min="17" max="17" width="13.453125" bestFit="1" customWidth="1"/>
  </cols>
  <sheetData>
    <row r="1" spans="1:5" x14ac:dyDescent="0.35">
      <c r="A1" s="16" t="s">
        <v>10</v>
      </c>
      <c r="B1" s="9"/>
      <c r="C1" s="9"/>
      <c r="D1" s="9"/>
      <c r="E1" s="9"/>
    </row>
    <row r="2" spans="1:5" x14ac:dyDescent="0.35">
      <c r="A2" s="3" t="s">
        <v>14</v>
      </c>
      <c r="B2" s="9"/>
      <c r="C2" s="9"/>
      <c r="D2" s="9"/>
    </row>
    <row r="3" spans="1:5" x14ac:dyDescent="0.35">
      <c r="A3" s="16" t="s">
        <v>0</v>
      </c>
      <c r="B3" s="16" t="s">
        <v>11</v>
      </c>
      <c r="C3" s="16" t="s">
        <v>12</v>
      </c>
    </row>
    <row r="4" spans="1:5" x14ac:dyDescent="0.35">
      <c r="A4" s="3" t="s">
        <v>6</v>
      </c>
      <c r="B4" s="3" t="s">
        <v>13</v>
      </c>
      <c r="C4" s="3" t="s">
        <v>14</v>
      </c>
      <c r="D4" s="3"/>
    </row>
    <row r="5" spans="1:5" ht="15.5" x14ac:dyDescent="0.35">
      <c r="A5" s="18" t="s">
        <v>7</v>
      </c>
    </row>
    <row r="6" spans="1:5" x14ac:dyDescent="0.35">
      <c r="A6" s="16" t="s">
        <v>77</v>
      </c>
      <c r="B6" s="16" t="s">
        <v>78</v>
      </c>
      <c r="C6" s="16" t="s">
        <v>12</v>
      </c>
      <c r="D6" s="1"/>
    </row>
    <row r="7" spans="1:5" x14ac:dyDescent="0.35">
      <c r="A7" s="3" t="s">
        <v>8</v>
      </c>
      <c r="B7" s="3" t="s">
        <v>13</v>
      </c>
      <c r="C7" s="3" t="s">
        <v>79</v>
      </c>
      <c r="D7" s="3" t="s">
        <v>80</v>
      </c>
    </row>
    <row r="8" spans="1:5" x14ac:dyDescent="0.35">
      <c r="A8" s="3"/>
      <c r="B8" s="163"/>
      <c r="C8" s="163" t="s">
        <v>514</v>
      </c>
      <c r="D8" s="163" t="s">
        <v>515</v>
      </c>
    </row>
    <row r="9" spans="1:5" ht="15.5" x14ac:dyDescent="0.35">
      <c r="A9" s="13" t="s">
        <v>3</v>
      </c>
    </row>
    <row r="10" spans="1:5" x14ac:dyDescent="0.35">
      <c r="A10" s="3" t="s">
        <v>5</v>
      </c>
      <c r="B10" s="3" t="s">
        <v>15</v>
      </c>
    </row>
    <row r="12" spans="1:5" ht="15.5" x14ac:dyDescent="0.35">
      <c r="A12" s="13" t="s">
        <v>16</v>
      </c>
    </row>
    <row r="13" spans="1:5" x14ac:dyDescent="0.35">
      <c r="A13" s="16" t="s">
        <v>17</v>
      </c>
      <c r="B13" s="16" t="s">
        <v>18</v>
      </c>
      <c r="C13" s="16" t="s">
        <v>19</v>
      </c>
      <c r="D13" s="16" t="s">
        <v>20</v>
      </c>
    </row>
    <row r="14" spans="1:5" x14ac:dyDescent="0.35">
      <c r="A14" s="3" t="s">
        <v>21</v>
      </c>
      <c r="B14" s="3" t="s">
        <v>22</v>
      </c>
      <c r="C14" s="3"/>
      <c r="D14" s="3"/>
    </row>
    <row r="15" spans="1:5" x14ac:dyDescent="0.35">
      <c r="A15" s="3" t="s">
        <v>25</v>
      </c>
      <c r="B15" s="3" t="s">
        <v>22</v>
      </c>
      <c r="C15" s="3"/>
      <c r="D15" s="3"/>
    </row>
    <row r="16" spans="1:5" x14ac:dyDescent="0.35">
      <c r="A16" s="3"/>
      <c r="B16" s="3" t="s">
        <v>24</v>
      </c>
      <c r="C16" s="3"/>
      <c r="D16" s="3"/>
    </row>
    <row r="17" spans="1:9" x14ac:dyDescent="0.35">
      <c r="A17" s="3"/>
      <c r="B17" s="3" t="s">
        <v>26</v>
      </c>
      <c r="C17" s="3">
        <v>3000</v>
      </c>
      <c r="D17" s="3" t="s">
        <v>27</v>
      </c>
    </row>
    <row r="18" spans="1:9" x14ac:dyDescent="0.35">
      <c r="A18" s="3" t="s">
        <v>86</v>
      </c>
      <c r="B18" s="3"/>
      <c r="C18" s="3"/>
      <c r="D18" s="3"/>
    </row>
    <row r="19" spans="1:9" x14ac:dyDescent="0.35">
      <c r="A19" s="3" t="s">
        <v>31</v>
      </c>
      <c r="B19" s="3"/>
      <c r="C19" s="3"/>
      <c r="D19" s="3"/>
    </row>
    <row r="20" spans="1:9" x14ac:dyDescent="0.35">
      <c r="A20" s="3" t="s">
        <v>329</v>
      </c>
      <c r="B20" s="3" t="s">
        <v>22</v>
      </c>
      <c r="C20" s="163"/>
      <c r="D20" s="163"/>
    </row>
    <row r="21" spans="1:9" x14ac:dyDescent="0.35">
      <c r="A21" s="3" t="s">
        <v>332</v>
      </c>
      <c r="B21" s="3" t="s">
        <v>22</v>
      </c>
      <c r="C21" s="163"/>
      <c r="D21" s="163"/>
    </row>
    <row r="22" spans="1:9" ht="15.5" x14ac:dyDescent="0.35">
      <c r="A22" s="13" t="s">
        <v>82</v>
      </c>
      <c r="B22" s="9"/>
      <c r="C22" s="9"/>
      <c r="D22" s="9"/>
    </row>
    <row r="23" spans="1:9" x14ac:dyDescent="0.35">
      <c r="A23" s="17" t="s">
        <v>83</v>
      </c>
      <c r="B23" s="16" t="s">
        <v>84</v>
      </c>
      <c r="C23" s="9"/>
      <c r="D23" s="9"/>
    </row>
    <row r="24" spans="1:9" x14ac:dyDescent="0.35">
      <c r="A24" s="153" t="s">
        <v>81</v>
      </c>
      <c r="B24" s="3" t="s">
        <v>75</v>
      </c>
      <c r="C24" s="9"/>
      <c r="D24" s="9"/>
    </row>
    <row r="25" spans="1:9" x14ac:dyDescent="0.35">
      <c r="A25" s="153" t="s">
        <v>85</v>
      </c>
      <c r="B25" s="3" t="s">
        <v>75</v>
      </c>
    </row>
    <row r="26" spans="1:9" x14ac:dyDescent="0.35">
      <c r="A26" s="9"/>
      <c r="B26" s="15"/>
    </row>
    <row r="27" spans="1:9" ht="15.5" x14ac:dyDescent="0.35">
      <c r="A27" s="13" t="s">
        <v>66</v>
      </c>
      <c r="B27" s="13" t="s">
        <v>67</v>
      </c>
      <c r="C27" s="13" t="s">
        <v>68</v>
      </c>
      <c r="D27" s="14" t="s">
        <v>69</v>
      </c>
      <c r="E27" s="14" t="s">
        <v>70</v>
      </c>
      <c r="F27" s="14" t="s">
        <v>71</v>
      </c>
      <c r="G27" s="14" t="s">
        <v>72</v>
      </c>
      <c r="H27" s="14" t="s">
        <v>73</v>
      </c>
      <c r="I27" s="14" t="s">
        <v>74</v>
      </c>
    </row>
    <row r="28" spans="1:9" x14ac:dyDescent="0.35">
      <c r="A28" s="4" t="s">
        <v>4</v>
      </c>
      <c r="B28" s="4" t="s">
        <v>51</v>
      </c>
      <c r="C28" s="4" t="s">
        <v>6</v>
      </c>
      <c r="D28" s="4"/>
      <c r="E28" s="11">
        <v>43831</v>
      </c>
      <c r="F28" s="4"/>
      <c r="G28" s="4">
        <v>70</v>
      </c>
      <c r="H28" s="4"/>
      <c r="I28" s="4">
        <v>5253365589</v>
      </c>
    </row>
    <row r="30" spans="1:9" ht="15.5" x14ac:dyDescent="0.35">
      <c r="A30" s="13" t="s">
        <v>32</v>
      </c>
    </row>
    <row r="31" spans="1:9" ht="15.5" x14ac:dyDescent="0.35">
      <c r="A31" s="13" t="s">
        <v>33</v>
      </c>
      <c r="B31" s="13" t="s">
        <v>11</v>
      </c>
      <c r="C31" s="13" t="s">
        <v>34</v>
      </c>
      <c r="D31" s="14" t="s">
        <v>35</v>
      </c>
      <c r="E31" s="14" t="s">
        <v>36</v>
      </c>
    </row>
    <row r="32" spans="1:9" x14ac:dyDescent="0.35">
      <c r="A32" s="3" t="s">
        <v>37</v>
      </c>
      <c r="B32" s="3" t="s">
        <v>38</v>
      </c>
      <c r="C32" s="3" t="s">
        <v>29</v>
      </c>
      <c r="D32" s="3" t="s">
        <v>39</v>
      </c>
      <c r="E32" s="3" t="s">
        <v>40</v>
      </c>
    </row>
    <row r="33" spans="1:5" x14ac:dyDescent="0.35">
      <c r="A33" s="3"/>
      <c r="B33" s="3"/>
      <c r="C33" s="3" t="s">
        <v>28</v>
      </c>
      <c r="D33" s="3" t="s">
        <v>41</v>
      </c>
      <c r="E33" s="3"/>
    </row>
    <row r="34" spans="1:5" x14ac:dyDescent="0.35">
      <c r="A34" s="3"/>
      <c r="B34" s="3"/>
      <c r="C34" s="3" t="s">
        <v>30</v>
      </c>
      <c r="D34" s="3" t="s">
        <v>42</v>
      </c>
      <c r="E34" s="3"/>
    </row>
    <row r="39" spans="1:5" ht="15.5" x14ac:dyDescent="0.35">
      <c r="A39" s="13" t="s">
        <v>43</v>
      </c>
    </row>
    <row r="40" spans="1:5" ht="15.5" x14ac:dyDescent="0.35">
      <c r="A40" s="13" t="s">
        <v>44</v>
      </c>
      <c r="B40" s="13" t="s">
        <v>45</v>
      </c>
      <c r="C40" s="13" t="s">
        <v>46</v>
      </c>
      <c r="D40" s="14" t="s">
        <v>47</v>
      </c>
      <c r="E40" s="14" t="s">
        <v>48</v>
      </c>
    </row>
    <row r="41" spans="1:5" x14ac:dyDescent="0.35">
      <c r="A41" s="3" t="s">
        <v>50</v>
      </c>
      <c r="B41" s="3" t="s">
        <v>51</v>
      </c>
      <c r="C41" s="3" t="s">
        <v>51</v>
      </c>
      <c r="D41" s="3"/>
      <c r="E41" s="3" t="s">
        <v>49</v>
      </c>
    </row>
    <row r="42" spans="1:5" x14ac:dyDescent="0.35">
      <c r="A42" s="3"/>
      <c r="B42" s="3" t="s">
        <v>4</v>
      </c>
      <c r="C42" s="3" t="s">
        <v>4</v>
      </c>
      <c r="D42" s="3" t="s">
        <v>50</v>
      </c>
      <c r="E42" s="3" t="s">
        <v>49</v>
      </c>
    </row>
    <row r="43" spans="1:5" x14ac:dyDescent="0.35">
      <c r="A43" s="3" t="s">
        <v>52</v>
      </c>
      <c r="B43" s="3" t="s">
        <v>53</v>
      </c>
      <c r="C43" s="3" t="s">
        <v>53</v>
      </c>
      <c r="D43" s="3" t="s">
        <v>50</v>
      </c>
      <c r="E43" s="3" t="s">
        <v>49</v>
      </c>
    </row>
    <row r="46" spans="1:5" x14ac:dyDescent="0.35">
      <c r="A46" s="153" t="s">
        <v>97</v>
      </c>
      <c r="B46" s="153"/>
      <c r="C46" s="153"/>
      <c r="D46" s="153"/>
    </row>
    <row r="47" spans="1:5" x14ac:dyDescent="0.35">
      <c r="A47" s="154" t="s">
        <v>495</v>
      </c>
      <c r="B47" s="153" t="s">
        <v>539</v>
      </c>
      <c r="C47" s="153"/>
      <c r="D47" s="153"/>
    </row>
    <row r="49" spans="1:17" x14ac:dyDescent="0.35">
      <c r="A49" s="153" t="s">
        <v>98</v>
      </c>
      <c r="B49" s="153"/>
      <c r="C49" s="153"/>
      <c r="D49" s="153"/>
    </row>
    <row r="50" spans="1:17" x14ac:dyDescent="0.35">
      <c r="A50" s="153" t="s">
        <v>99</v>
      </c>
      <c r="B50" s="153"/>
      <c r="C50" s="153"/>
      <c r="D50" s="153"/>
    </row>
    <row r="51" spans="1:17" x14ac:dyDescent="0.35">
      <c r="A51" s="156" t="s">
        <v>496</v>
      </c>
      <c r="B51" s="156">
        <v>5000</v>
      </c>
      <c r="C51" s="156"/>
      <c r="D51" s="156"/>
    </row>
    <row r="52" spans="1:17" x14ac:dyDescent="0.35">
      <c r="A52" s="156" t="s">
        <v>497</v>
      </c>
      <c r="B52" s="156">
        <v>2</v>
      </c>
      <c r="C52" s="156" t="s">
        <v>500</v>
      </c>
      <c r="D52" s="156"/>
    </row>
    <row r="53" spans="1:17" x14ac:dyDescent="0.35">
      <c r="A53" s="156" t="s">
        <v>498</v>
      </c>
      <c r="B53" s="157" t="s">
        <v>499</v>
      </c>
      <c r="C53" s="156"/>
      <c r="D53" s="156"/>
    </row>
    <row r="54" spans="1:17" x14ac:dyDescent="0.35">
      <c r="A54" s="156" t="s">
        <v>501</v>
      </c>
      <c r="B54" s="157" t="s">
        <v>502</v>
      </c>
      <c r="C54" s="156"/>
      <c r="D54" s="156"/>
    </row>
    <row r="55" spans="1:17" x14ac:dyDescent="0.35">
      <c r="A55" s="156" t="s">
        <v>506</v>
      </c>
      <c r="B55" s="156"/>
      <c r="C55" s="156"/>
      <c r="D55" s="156"/>
    </row>
    <row r="56" spans="1:17" x14ac:dyDescent="0.35">
      <c r="A56" s="154" t="s">
        <v>507</v>
      </c>
      <c r="B56" s="155" t="s">
        <v>508</v>
      </c>
      <c r="C56" s="156"/>
      <c r="D56" s="156"/>
    </row>
    <row r="58" spans="1:17" x14ac:dyDescent="0.35">
      <c r="A58" s="156" t="s">
        <v>510</v>
      </c>
      <c r="B58" s="156" t="s">
        <v>511</v>
      </c>
    </row>
    <row r="59" spans="1:17" x14ac:dyDescent="0.35">
      <c r="A59" s="158" t="s">
        <v>6</v>
      </c>
      <c r="B59" t="s">
        <v>13</v>
      </c>
    </row>
    <row r="62" spans="1:17" s="120" customFormat="1" ht="21" x14ac:dyDescent="0.5">
      <c r="A62" s="119" t="s">
        <v>360</v>
      </c>
      <c r="B62" s="119"/>
    </row>
    <row r="64" spans="1:17" ht="18.5" x14ac:dyDescent="0.35">
      <c r="A64" s="243" t="s">
        <v>361</v>
      </c>
      <c r="B64" s="244"/>
      <c r="C64" s="244"/>
      <c r="D64" s="245"/>
      <c r="E64" s="121"/>
      <c r="F64" s="121"/>
      <c r="G64" s="121"/>
      <c r="H64" s="121"/>
      <c r="I64" s="121"/>
      <c r="J64" s="121"/>
      <c r="K64" s="121"/>
      <c r="L64" s="121"/>
      <c r="M64" s="121"/>
      <c r="N64" s="121"/>
      <c r="O64" s="121"/>
      <c r="P64" s="121"/>
      <c r="Q64" s="121"/>
    </row>
    <row r="65" spans="1:17" ht="29" x14ac:dyDescent="0.35">
      <c r="A65" s="122" t="s">
        <v>468</v>
      </c>
      <c r="B65" s="122" t="s">
        <v>11</v>
      </c>
      <c r="C65" s="122" t="s">
        <v>362</v>
      </c>
      <c r="D65" s="123" t="s">
        <v>469</v>
      </c>
      <c r="E65" s="123" t="s">
        <v>204</v>
      </c>
      <c r="F65" s="121"/>
      <c r="G65" s="121"/>
      <c r="H65" s="121"/>
      <c r="I65" s="121"/>
      <c r="J65" s="121"/>
      <c r="K65" s="121"/>
      <c r="L65" s="121"/>
      <c r="M65" s="121"/>
      <c r="N65" s="121"/>
      <c r="O65" s="121"/>
      <c r="P65" s="121"/>
      <c r="Q65" s="121"/>
    </row>
    <row r="66" spans="1:17" ht="63" customHeight="1" x14ac:dyDescent="0.35">
      <c r="A66" s="124" t="s">
        <v>363</v>
      </c>
      <c r="B66" s="124" t="s">
        <v>364</v>
      </c>
      <c r="C66" s="125" t="s">
        <v>364</v>
      </c>
      <c r="D66" s="125" t="s">
        <v>4</v>
      </c>
      <c r="E66" s="125" t="s">
        <v>271</v>
      </c>
      <c r="F66" s="121"/>
      <c r="G66" s="121"/>
      <c r="H66" s="121"/>
      <c r="I66" s="121"/>
      <c r="J66" s="121"/>
      <c r="K66" s="121"/>
      <c r="L66" s="121"/>
      <c r="M66" s="121"/>
      <c r="N66" s="121"/>
      <c r="O66" s="121"/>
      <c r="P66" s="121"/>
      <c r="Q66" s="121"/>
    </row>
    <row r="67" spans="1:17" x14ac:dyDescent="0.35">
      <c r="A67" s="121"/>
      <c r="B67" s="121"/>
      <c r="C67" s="121"/>
      <c r="D67" s="121"/>
      <c r="E67" s="121"/>
      <c r="F67" s="121"/>
      <c r="G67" s="121"/>
      <c r="H67" s="121"/>
      <c r="I67" s="121"/>
      <c r="J67" s="121"/>
      <c r="K67" s="121"/>
      <c r="L67" s="121"/>
      <c r="M67" s="121"/>
      <c r="N67" s="121"/>
      <c r="O67" s="121"/>
      <c r="P67" s="121"/>
      <c r="Q67" s="121"/>
    </row>
    <row r="68" spans="1:17" ht="18.5" x14ac:dyDescent="0.35">
      <c r="A68" s="243" t="s">
        <v>365</v>
      </c>
      <c r="B68" s="244"/>
      <c r="C68" s="244"/>
      <c r="D68" s="245"/>
      <c r="E68" s="121"/>
      <c r="F68" s="121"/>
      <c r="G68" s="121"/>
      <c r="H68" s="121"/>
      <c r="I68" s="121"/>
      <c r="J68" s="121"/>
      <c r="K68" s="121"/>
      <c r="L68" s="121"/>
      <c r="M68" s="121"/>
      <c r="N68" s="121"/>
      <c r="O68" s="121"/>
      <c r="P68" s="121"/>
      <c r="Q68" s="121"/>
    </row>
    <row r="69" spans="1:17" ht="58" x14ac:dyDescent="0.35">
      <c r="A69" s="122" t="s">
        <v>203</v>
      </c>
      <c r="B69" s="122" t="s">
        <v>366</v>
      </c>
      <c r="C69" s="122" t="s">
        <v>280</v>
      </c>
      <c r="D69" s="122" t="s">
        <v>367</v>
      </c>
      <c r="E69" s="122" t="s">
        <v>368</v>
      </c>
      <c r="F69" s="122" t="s">
        <v>369</v>
      </c>
      <c r="G69" s="122" t="s">
        <v>370</v>
      </c>
      <c r="H69" s="122" t="s">
        <v>371</v>
      </c>
      <c r="I69" s="122" t="s">
        <v>372</v>
      </c>
      <c r="J69" s="122" t="s">
        <v>470</v>
      </c>
      <c r="K69" s="122" t="s">
        <v>471</v>
      </c>
      <c r="L69" s="122" t="s">
        <v>472</v>
      </c>
      <c r="M69" s="122" t="s">
        <v>476</v>
      </c>
      <c r="N69" s="122" t="s">
        <v>477</v>
      </c>
      <c r="O69" s="122" t="s">
        <v>473</v>
      </c>
      <c r="P69" s="122" t="s">
        <v>474</v>
      </c>
      <c r="Q69" s="122" t="s">
        <v>475</v>
      </c>
    </row>
    <row r="70" spans="1:17" x14ac:dyDescent="0.35">
      <c r="A70" s="126">
        <v>0</v>
      </c>
      <c r="B70" s="124" t="s">
        <v>373</v>
      </c>
      <c r="C70" s="124" t="s">
        <v>374</v>
      </c>
      <c r="D70" s="124" t="s">
        <v>75</v>
      </c>
      <c r="E70" s="124" t="s">
        <v>90</v>
      </c>
      <c r="F70" s="124" t="s">
        <v>90</v>
      </c>
      <c r="G70" s="124" t="s">
        <v>75</v>
      </c>
      <c r="H70" s="124">
        <v>0</v>
      </c>
      <c r="I70" s="124">
        <v>100</v>
      </c>
      <c r="J70" s="124"/>
      <c r="K70" s="124"/>
      <c r="L70" s="124">
        <v>0</v>
      </c>
      <c r="M70" s="124">
        <v>100</v>
      </c>
      <c r="N70" s="124"/>
      <c r="O70" s="124"/>
      <c r="P70" s="124">
        <v>0</v>
      </c>
      <c r="Q70" s="124">
        <v>4000000000</v>
      </c>
    </row>
    <row r="71" spans="1:17" x14ac:dyDescent="0.35">
      <c r="A71" s="126">
        <v>1</v>
      </c>
      <c r="B71" s="124" t="s">
        <v>373</v>
      </c>
      <c r="C71" s="124" t="s">
        <v>375</v>
      </c>
      <c r="D71" s="124" t="s">
        <v>75</v>
      </c>
      <c r="E71" s="124" t="s">
        <v>90</v>
      </c>
      <c r="F71" s="124" t="s">
        <v>90</v>
      </c>
      <c r="G71" s="124" t="s">
        <v>90</v>
      </c>
      <c r="H71" s="124">
        <v>0</v>
      </c>
      <c r="I71" s="124">
        <v>100</v>
      </c>
      <c r="J71" s="124"/>
      <c r="K71" s="124"/>
      <c r="L71" s="124">
        <v>0</v>
      </c>
      <c r="M71" s="124">
        <v>100</v>
      </c>
      <c r="N71" s="124"/>
      <c r="O71" s="124"/>
      <c r="P71" s="124">
        <v>0</v>
      </c>
      <c r="Q71" s="124">
        <v>6000000000</v>
      </c>
    </row>
    <row r="72" spans="1:17" x14ac:dyDescent="0.35">
      <c r="A72" s="126">
        <v>2</v>
      </c>
      <c r="B72" s="124" t="s">
        <v>373</v>
      </c>
      <c r="C72" s="124" t="s">
        <v>376</v>
      </c>
      <c r="D72" s="124" t="s">
        <v>75</v>
      </c>
      <c r="E72" s="124" t="s">
        <v>90</v>
      </c>
      <c r="F72" s="124" t="s">
        <v>90</v>
      </c>
      <c r="G72" s="124" t="s">
        <v>90</v>
      </c>
      <c r="H72" s="124">
        <v>0</v>
      </c>
      <c r="I72" s="124">
        <v>100</v>
      </c>
      <c r="J72" s="124"/>
      <c r="K72" s="124"/>
      <c r="L72" s="124">
        <v>0</v>
      </c>
      <c r="M72" s="124">
        <v>100</v>
      </c>
      <c r="N72" s="124"/>
      <c r="O72" s="124"/>
      <c r="P72" s="124">
        <v>0</v>
      </c>
      <c r="Q72" s="124">
        <v>7000000000</v>
      </c>
    </row>
    <row r="75" spans="1:17" s="120" customFormat="1" ht="21" x14ac:dyDescent="0.5">
      <c r="A75" s="119" t="s">
        <v>377</v>
      </c>
      <c r="B75" s="119"/>
    </row>
    <row r="77" spans="1:17" ht="18.5" x14ac:dyDescent="0.35">
      <c r="A77" s="243" t="s">
        <v>378</v>
      </c>
      <c r="B77" s="244"/>
      <c r="C77" s="244"/>
      <c r="D77" s="245"/>
      <c r="E77" s="121"/>
      <c r="F77" s="121"/>
      <c r="G77" s="121"/>
      <c r="H77" s="121"/>
      <c r="I77" s="121"/>
      <c r="J77" s="121"/>
    </row>
    <row r="78" spans="1:17" ht="61.5" customHeight="1" x14ac:dyDescent="0.35">
      <c r="A78" s="122" t="s">
        <v>131</v>
      </c>
      <c r="B78" s="122" t="s">
        <v>11</v>
      </c>
      <c r="C78" s="122" t="s">
        <v>362</v>
      </c>
      <c r="D78" s="122" t="s">
        <v>379</v>
      </c>
      <c r="E78" s="122" t="s">
        <v>380</v>
      </c>
      <c r="F78" s="122" t="s">
        <v>381</v>
      </c>
      <c r="G78" s="122" t="s">
        <v>478</v>
      </c>
      <c r="H78" s="122" t="s">
        <v>382</v>
      </c>
      <c r="I78" s="122" t="s">
        <v>383</v>
      </c>
      <c r="J78" s="122" t="s">
        <v>204</v>
      </c>
      <c r="K78" s="122" t="s">
        <v>384</v>
      </c>
      <c r="L78" s="122" t="s">
        <v>479</v>
      </c>
      <c r="M78" s="122" t="s">
        <v>480</v>
      </c>
      <c r="N78" s="122" t="s">
        <v>481</v>
      </c>
      <c r="O78" s="122" t="s">
        <v>482</v>
      </c>
    </row>
    <row r="79" spans="1:17" ht="52" customHeight="1" x14ac:dyDescent="0.35">
      <c r="A79" s="124" t="s">
        <v>385</v>
      </c>
      <c r="B79" s="124" t="s">
        <v>386</v>
      </c>
      <c r="C79" s="124" t="s">
        <v>386</v>
      </c>
      <c r="D79" s="124" t="s">
        <v>387</v>
      </c>
      <c r="E79" s="124" t="s">
        <v>90</v>
      </c>
      <c r="F79" s="124" t="s">
        <v>75</v>
      </c>
      <c r="G79" s="124" t="s">
        <v>75</v>
      </c>
      <c r="H79" s="124" t="s">
        <v>75</v>
      </c>
      <c r="I79" s="124" t="s">
        <v>90</v>
      </c>
      <c r="J79" s="124" t="s">
        <v>271</v>
      </c>
      <c r="K79" s="124" t="s">
        <v>75</v>
      </c>
      <c r="L79" s="124" t="s">
        <v>75</v>
      </c>
      <c r="M79" s="124" t="s">
        <v>75</v>
      </c>
      <c r="N79" s="149" t="s">
        <v>483</v>
      </c>
      <c r="O79" s="124" t="s">
        <v>75</v>
      </c>
    </row>
    <row r="81" spans="1:8" ht="18.5" x14ac:dyDescent="0.35">
      <c r="A81" s="243" t="s">
        <v>484</v>
      </c>
      <c r="B81" s="244"/>
      <c r="C81" s="244"/>
      <c r="D81" s="245"/>
      <c r="E81" s="121"/>
      <c r="F81" s="121"/>
      <c r="G81" s="121"/>
    </row>
    <row r="82" spans="1:8" ht="58" x14ac:dyDescent="0.35">
      <c r="A82" s="122" t="s">
        <v>55</v>
      </c>
      <c r="B82" s="122" t="s">
        <v>56</v>
      </c>
      <c r="C82" s="122" t="s">
        <v>485</v>
      </c>
      <c r="D82" s="122" t="s">
        <v>0</v>
      </c>
      <c r="E82" s="122" t="s">
        <v>251</v>
      </c>
      <c r="F82" s="122" t="s">
        <v>252</v>
      </c>
      <c r="G82" s="122" t="s">
        <v>486</v>
      </c>
      <c r="H82" s="122" t="s">
        <v>388</v>
      </c>
    </row>
    <row r="83" spans="1:8" ht="15.65" customHeight="1" x14ac:dyDescent="0.35">
      <c r="A83" s="126" t="s">
        <v>389</v>
      </c>
      <c r="B83" s="124"/>
      <c r="C83" s="124" t="s">
        <v>157</v>
      </c>
      <c r="D83" s="126" t="s">
        <v>390</v>
      </c>
      <c r="E83" s="124"/>
      <c r="F83" s="124"/>
      <c r="G83" s="124"/>
      <c r="H83" s="124" t="s">
        <v>363</v>
      </c>
    </row>
    <row r="85" spans="1:8" ht="18.5" x14ac:dyDescent="0.35">
      <c r="A85" s="127" t="s">
        <v>391</v>
      </c>
      <c r="B85" s="128"/>
      <c r="C85" s="128"/>
    </row>
    <row r="86" spans="1:8" x14ac:dyDescent="0.35">
      <c r="A86" s="122" t="s">
        <v>392</v>
      </c>
      <c r="B86" s="122" t="s">
        <v>232</v>
      </c>
      <c r="C86" s="122" t="s">
        <v>10</v>
      </c>
    </row>
    <row r="87" spans="1:8" ht="18" customHeight="1" x14ac:dyDescent="0.35">
      <c r="A87" s="124" t="s">
        <v>490</v>
      </c>
      <c r="B87" s="126" t="s">
        <v>491</v>
      </c>
      <c r="C87" s="124" t="s">
        <v>492</v>
      </c>
    </row>
    <row r="88" spans="1:8" ht="18" customHeight="1" x14ac:dyDescent="0.35">
      <c r="A88" s="124" t="s">
        <v>503</v>
      </c>
      <c r="B88" s="126" t="s">
        <v>504</v>
      </c>
      <c r="C88" s="124" t="s">
        <v>505</v>
      </c>
    </row>
    <row r="90" spans="1:8" ht="18.649999999999999" customHeight="1" x14ac:dyDescent="0.35">
      <c r="A90" s="127" t="s">
        <v>393</v>
      </c>
      <c r="B90" s="128"/>
      <c r="C90" s="128"/>
    </row>
    <row r="91" spans="1:8" x14ac:dyDescent="0.35">
      <c r="A91" s="122" t="s">
        <v>394</v>
      </c>
      <c r="B91" s="122" t="s">
        <v>395</v>
      </c>
      <c r="C91" s="122" t="s">
        <v>34</v>
      </c>
    </row>
    <row r="92" spans="1:8" x14ac:dyDescent="0.35">
      <c r="A92" s="129" t="s">
        <v>315</v>
      </c>
      <c r="B92" s="124" t="s">
        <v>493</v>
      </c>
      <c r="C92" s="129" t="s">
        <v>494</v>
      </c>
    </row>
    <row r="94" spans="1:8" ht="21" x14ac:dyDescent="0.5">
      <c r="A94" s="152" t="s">
        <v>396</v>
      </c>
      <c r="B94" s="152"/>
      <c r="C94" s="152"/>
      <c r="D94" s="152"/>
    </row>
    <row r="95" spans="1:8" x14ac:dyDescent="0.35">
      <c r="A95" s="130"/>
    </row>
    <row r="96" spans="1:8" x14ac:dyDescent="0.35">
      <c r="A96" s="131" t="s">
        <v>96</v>
      </c>
      <c r="B96" s="131" t="s">
        <v>397</v>
      </c>
      <c r="C96" s="131" t="s">
        <v>11</v>
      </c>
      <c r="D96" s="131" t="s">
        <v>398</v>
      </c>
    </row>
    <row r="97" spans="1:12" x14ac:dyDescent="0.35">
      <c r="A97" s="132" t="s">
        <v>117</v>
      </c>
      <c r="B97" s="132" t="s">
        <v>399</v>
      </c>
      <c r="C97" s="132" t="s">
        <v>400</v>
      </c>
      <c r="D97" s="132" t="s">
        <v>401</v>
      </c>
    </row>
    <row r="98" spans="1:12" x14ac:dyDescent="0.35">
      <c r="A98" s="132" t="s">
        <v>118</v>
      </c>
      <c r="B98" s="132" t="s">
        <v>402</v>
      </c>
      <c r="C98" s="132" t="s">
        <v>403</v>
      </c>
      <c r="D98" s="132" t="s">
        <v>401</v>
      </c>
    </row>
    <row r="99" spans="1:12" x14ac:dyDescent="0.35">
      <c r="A99" s="132" t="s">
        <v>119</v>
      </c>
      <c r="B99" s="132" t="s">
        <v>404</v>
      </c>
      <c r="C99" s="132" t="s">
        <v>405</v>
      </c>
      <c r="D99" s="132" t="s">
        <v>401</v>
      </c>
    </row>
    <row r="100" spans="1:12" x14ac:dyDescent="0.35">
      <c r="A100" s="132" t="s">
        <v>120</v>
      </c>
      <c r="B100" s="132" t="s">
        <v>487</v>
      </c>
      <c r="C100" s="132" t="s">
        <v>406</v>
      </c>
      <c r="D100" s="132" t="s">
        <v>401</v>
      </c>
    </row>
    <row r="102" spans="1:12" ht="18.5" x14ac:dyDescent="0.35">
      <c r="A102" s="243" t="s">
        <v>407</v>
      </c>
      <c r="B102" s="244"/>
      <c r="C102" s="244"/>
      <c r="D102" s="245"/>
    </row>
    <row r="104" spans="1:12" s="150" customFormat="1" ht="18.5" x14ac:dyDescent="0.45">
      <c r="A104" s="151" t="s">
        <v>117</v>
      </c>
    </row>
    <row r="105" spans="1:12" ht="18.5" x14ac:dyDescent="0.35">
      <c r="A105" s="243" t="s">
        <v>408</v>
      </c>
      <c r="B105" s="244"/>
      <c r="C105" s="244"/>
      <c r="D105" s="245"/>
    </row>
    <row r="106" spans="1:12" s="134" customFormat="1" ht="35.15" customHeight="1" x14ac:dyDescent="0.35">
      <c r="A106" s="92" t="s">
        <v>409</v>
      </c>
      <c r="B106" s="92" t="s">
        <v>410</v>
      </c>
      <c r="C106" s="92" t="s">
        <v>411</v>
      </c>
      <c r="D106" s="133" t="s">
        <v>412</v>
      </c>
      <c r="E106" s="133" t="s">
        <v>413</v>
      </c>
      <c r="F106" s="133" t="s">
        <v>414</v>
      </c>
      <c r="G106" s="133" t="s">
        <v>415</v>
      </c>
      <c r="H106" s="133" t="s">
        <v>416</v>
      </c>
      <c r="I106" s="133" t="s">
        <v>417</v>
      </c>
      <c r="J106" s="133" t="s">
        <v>418</v>
      </c>
      <c r="K106" s="133" t="s">
        <v>419</v>
      </c>
      <c r="L106" s="133" t="s">
        <v>420</v>
      </c>
    </row>
    <row r="107" spans="1:12" x14ac:dyDescent="0.35">
      <c r="A107" s="132" t="s">
        <v>117</v>
      </c>
      <c r="B107" s="132" t="s">
        <v>117</v>
      </c>
      <c r="C107" s="132" t="s">
        <v>421</v>
      </c>
      <c r="D107" s="132" t="s">
        <v>422</v>
      </c>
      <c r="E107" s="132" t="s">
        <v>423</v>
      </c>
      <c r="F107" s="132" t="s">
        <v>424</v>
      </c>
      <c r="G107" s="132"/>
      <c r="H107" s="135" t="s">
        <v>425</v>
      </c>
      <c r="I107" s="132">
        <v>200</v>
      </c>
      <c r="J107" s="132" t="s">
        <v>426</v>
      </c>
      <c r="K107" s="132">
        <v>50</v>
      </c>
      <c r="L107" s="132">
        <v>100</v>
      </c>
    </row>
    <row r="109" spans="1:12" x14ac:dyDescent="0.35">
      <c r="A109" s="136" t="s">
        <v>427</v>
      </c>
      <c r="B109" s="136" t="s">
        <v>428</v>
      </c>
    </row>
    <row r="110" spans="1:12" x14ac:dyDescent="0.35">
      <c r="A110" s="132" t="s">
        <v>429</v>
      </c>
      <c r="B110" s="137" t="s">
        <v>430</v>
      </c>
    </row>
    <row r="111" spans="1:12" x14ac:dyDescent="0.35">
      <c r="A111" s="132" t="s">
        <v>431</v>
      </c>
      <c r="B111" s="137" t="s">
        <v>430</v>
      </c>
    </row>
    <row r="113" spans="1:12" s="150" customFormat="1" ht="18.5" x14ac:dyDescent="0.45">
      <c r="A113" s="151" t="s">
        <v>118</v>
      </c>
    </row>
    <row r="114" spans="1:12" ht="18.5" x14ac:dyDescent="0.35">
      <c r="A114" s="243" t="s">
        <v>408</v>
      </c>
      <c r="B114" s="244"/>
      <c r="C114" s="244"/>
      <c r="D114" s="245"/>
    </row>
    <row r="115" spans="1:12" s="134" customFormat="1" ht="35.15" customHeight="1" x14ac:dyDescent="0.35">
      <c r="A115" s="92" t="s">
        <v>409</v>
      </c>
      <c r="B115" s="92" t="s">
        <v>410</v>
      </c>
      <c r="C115" s="92" t="s">
        <v>411</v>
      </c>
      <c r="D115" s="133" t="s">
        <v>412</v>
      </c>
      <c r="E115" s="133" t="s">
        <v>413</v>
      </c>
      <c r="F115" s="133" t="s">
        <v>414</v>
      </c>
      <c r="G115" s="133" t="s">
        <v>415</v>
      </c>
      <c r="H115" s="133" t="s">
        <v>416</v>
      </c>
      <c r="I115" s="133" t="s">
        <v>417</v>
      </c>
      <c r="J115" s="133" t="s">
        <v>418</v>
      </c>
      <c r="K115" s="133" t="s">
        <v>419</v>
      </c>
      <c r="L115" s="133" t="s">
        <v>420</v>
      </c>
    </row>
    <row r="116" spans="1:12" x14ac:dyDescent="0.35">
      <c r="A116" s="132" t="s">
        <v>118</v>
      </c>
      <c r="B116" s="132" t="s">
        <v>118</v>
      </c>
      <c r="C116" s="132" t="s">
        <v>421</v>
      </c>
      <c r="D116" s="132" t="s">
        <v>488</v>
      </c>
      <c r="E116" s="132" t="s">
        <v>423</v>
      </c>
      <c r="F116" s="132" t="s">
        <v>424</v>
      </c>
      <c r="G116" s="132"/>
      <c r="H116" s="135" t="s">
        <v>425</v>
      </c>
      <c r="I116" s="132">
        <v>200</v>
      </c>
      <c r="J116" s="132" t="s">
        <v>426</v>
      </c>
      <c r="K116" s="132">
        <v>50</v>
      </c>
      <c r="L116" s="132">
        <v>100</v>
      </c>
    </row>
    <row r="118" spans="1:12" x14ac:dyDescent="0.35">
      <c r="A118" s="136" t="s">
        <v>427</v>
      </c>
      <c r="B118" s="136" t="s">
        <v>428</v>
      </c>
    </row>
    <row r="119" spans="1:12" x14ac:dyDescent="0.35">
      <c r="A119" s="132" t="s">
        <v>429</v>
      </c>
      <c r="B119" s="137" t="s">
        <v>430</v>
      </c>
    </row>
    <row r="120" spans="1:12" x14ac:dyDescent="0.35">
      <c r="A120" s="132" t="s">
        <v>431</v>
      </c>
      <c r="B120" s="137" t="s">
        <v>430</v>
      </c>
    </row>
    <row r="122" spans="1:12" s="150" customFormat="1" ht="18.5" x14ac:dyDescent="0.45">
      <c r="A122" s="151" t="s">
        <v>119</v>
      </c>
    </row>
    <row r="123" spans="1:12" ht="18.5" x14ac:dyDescent="0.35">
      <c r="A123" s="243" t="s">
        <v>408</v>
      </c>
      <c r="B123" s="244"/>
      <c r="C123" s="244"/>
      <c r="D123" s="245"/>
    </row>
    <row r="124" spans="1:12" s="134" customFormat="1" ht="35.15" customHeight="1" x14ac:dyDescent="0.35">
      <c r="A124" s="92" t="s">
        <v>409</v>
      </c>
      <c r="B124" s="92" t="s">
        <v>410</v>
      </c>
      <c r="C124" s="92" t="s">
        <v>411</v>
      </c>
      <c r="D124" s="133" t="s">
        <v>412</v>
      </c>
      <c r="E124" s="133" t="s">
        <v>413</v>
      </c>
      <c r="F124" s="133" t="s">
        <v>414</v>
      </c>
      <c r="G124" s="133" t="s">
        <v>415</v>
      </c>
      <c r="H124" s="133" t="s">
        <v>416</v>
      </c>
      <c r="I124" s="133" t="s">
        <v>417</v>
      </c>
      <c r="J124" s="133" t="s">
        <v>418</v>
      </c>
      <c r="K124" s="133" t="s">
        <v>419</v>
      </c>
      <c r="L124" s="133" t="s">
        <v>420</v>
      </c>
    </row>
    <row r="125" spans="1:12" x14ac:dyDescent="0.35">
      <c r="A125" s="132" t="s">
        <v>119</v>
      </c>
      <c r="B125" s="132" t="s">
        <v>119</v>
      </c>
      <c r="C125" s="132" t="s">
        <v>421</v>
      </c>
      <c r="D125" s="132" t="s">
        <v>489</v>
      </c>
      <c r="E125" s="132" t="s">
        <v>423</v>
      </c>
      <c r="F125" s="132" t="s">
        <v>424</v>
      </c>
      <c r="G125" s="132"/>
      <c r="H125" s="135" t="s">
        <v>425</v>
      </c>
      <c r="I125" s="132">
        <v>200</v>
      </c>
      <c r="J125" s="132" t="s">
        <v>426</v>
      </c>
      <c r="K125" s="132">
        <v>50</v>
      </c>
      <c r="L125" s="132">
        <v>100</v>
      </c>
    </row>
    <row r="127" spans="1:12" x14ac:dyDescent="0.35">
      <c r="A127" s="136" t="s">
        <v>427</v>
      </c>
      <c r="B127" s="136" t="s">
        <v>428</v>
      </c>
    </row>
    <row r="128" spans="1:12" x14ac:dyDescent="0.35">
      <c r="A128" s="132" t="s">
        <v>429</v>
      </c>
      <c r="B128" s="137" t="s">
        <v>430</v>
      </c>
    </row>
    <row r="129" spans="1:12" x14ac:dyDescent="0.35">
      <c r="A129" s="132" t="s">
        <v>431</v>
      </c>
      <c r="B129" s="137" t="s">
        <v>430</v>
      </c>
    </row>
    <row r="131" spans="1:12" s="150" customFormat="1" ht="18.5" x14ac:dyDescent="0.45">
      <c r="A131" s="151" t="s">
        <v>120</v>
      </c>
    </row>
    <row r="132" spans="1:12" ht="18.5" x14ac:dyDescent="0.35">
      <c r="A132" s="243" t="s">
        <v>408</v>
      </c>
      <c r="B132" s="244"/>
      <c r="C132" s="244"/>
      <c r="D132" s="245"/>
    </row>
    <row r="133" spans="1:12" s="134" customFormat="1" ht="35.15" customHeight="1" x14ac:dyDescent="0.35">
      <c r="A133" s="92" t="s">
        <v>409</v>
      </c>
      <c r="B133" s="92" t="s">
        <v>410</v>
      </c>
      <c r="C133" s="92" t="s">
        <v>411</v>
      </c>
      <c r="D133" s="133" t="s">
        <v>412</v>
      </c>
      <c r="E133" s="133" t="s">
        <v>413</v>
      </c>
      <c r="F133" s="133" t="s">
        <v>414</v>
      </c>
      <c r="G133" s="133" t="s">
        <v>415</v>
      </c>
      <c r="H133" s="133" t="s">
        <v>416</v>
      </c>
      <c r="I133" s="133" t="s">
        <v>417</v>
      </c>
      <c r="J133" s="133" t="s">
        <v>418</v>
      </c>
      <c r="K133" s="133" t="s">
        <v>419</v>
      </c>
      <c r="L133" s="133" t="s">
        <v>420</v>
      </c>
    </row>
    <row r="134" spans="1:12" x14ac:dyDescent="0.35">
      <c r="A134" s="132" t="s">
        <v>120</v>
      </c>
      <c r="B134" s="132" t="s">
        <v>120</v>
      </c>
      <c r="C134" s="132" t="s">
        <v>421</v>
      </c>
      <c r="D134" s="132" t="s">
        <v>9</v>
      </c>
      <c r="E134" s="132" t="s">
        <v>423</v>
      </c>
      <c r="F134" s="132" t="s">
        <v>424</v>
      </c>
      <c r="G134" s="132"/>
      <c r="H134" s="135" t="s">
        <v>425</v>
      </c>
      <c r="I134" s="132">
        <v>200</v>
      </c>
      <c r="J134" s="132" t="s">
        <v>426</v>
      </c>
      <c r="K134" s="132">
        <v>50</v>
      </c>
      <c r="L134" s="132">
        <v>100</v>
      </c>
    </row>
    <row r="136" spans="1:12" x14ac:dyDescent="0.35">
      <c r="A136" s="136" t="s">
        <v>427</v>
      </c>
      <c r="B136" s="136" t="s">
        <v>428</v>
      </c>
    </row>
    <row r="137" spans="1:12" x14ac:dyDescent="0.35">
      <c r="A137" s="132" t="s">
        <v>429</v>
      </c>
      <c r="B137" s="137" t="s">
        <v>430</v>
      </c>
    </row>
    <row r="138" spans="1:12" x14ac:dyDescent="0.35">
      <c r="A138" s="132" t="s">
        <v>431</v>
      </c>
      <c r="B138" s="137" t="s">
        <v>430</v>
      </c>
    </row>
    <row r="141" spans="1:12" ht="18.5" x14ac:dyDescent="0.35">
      <c r="A141" s="243" t="s">
        <v>432</v>
      </c>
      <c r="B141" s="244"/>
      <c r="C141" s="244"/>
      <c r="D141" s="245"/>
    </row>
    <row r="142" spans="1:12" ht="17.5" customHeight="1" x14ac:dyDescent="0.35">
      <c r="A142" s="92" t="s">
        <v>409</v>
      </c>
      <c r="B142" s="92" t="s">
        <v>280</v>
      </c>
    </row>
    <row r="143" spans="1:12" x14ac:dyDescent="0.35">
      <c r="A143" s="132" t="s">
        <v>117</v>
      </c>
      <c r="B143" s="132" t="s">
        <v>374</v>
      </c>
    </row>
    <row r="145" spans="1:4" ht="18.5" x14ac:dyDescent="0.35">
      <c r="A145" s="243" t="s">
        <v>433</v>
      </c>
      <c r="B145" s="244"/>
      <c r="C145" s="244"/>
      <c r="D145" s="245"/>
    </row>
    <row r="146" spans="1:4" ht="15.5" x14ac:dyDescent="0.35">
      <c r="A146" s="92" t="s">
        <v>409</v>
      </c>
      <c r="B146" s="92" t="s">
        <v>434</v>
      </c>
      <c r="C146" s="92" t="s">
        <v>435</v>
      </c>
      <c r="D146" s="92" t="s">
        <v>428</v>
      </c>
    </row>
    <row r="147" spans="1:4" x14ac:dyDescent="0.35">
      <c r="A147" s="132" t="s">
        <v>117</v>
      </c>
      <c r="B147" s="132" t="s">
        <v>436</v>
      </c>
      <c r="C147" s="132" t="s">
        <v>436</v>
      </c>
      <c r="D147" s="137" t="s">
        <v>430</v>
      </c>
    </row>
    <row r="149" spans="1:4" ht="17.5" customHeight="1" x14ac:dyDescent="0.35">
      <c r="A149" s="92" t="s">
        <v>409</v>
      </c>
      <c r="B149" s="92" t="s">
        <v>280</v>
      </c>
    </row>
    <row r="150" spans="1:4" x14ac:dyDescent="0.35">
      <c r="A150" s="132" t="s">
        <v>118</v>
      </c>
      <c r="B150" s="132" t="s">
        <v>375</v>
      </c>
    </row>
    <row r="152" spans="1:4" ht="18.5" x14ac:dyDescent="0.35">
      <c r="A152" s="243" t="s">
        <v>433</v>
      </c>
      <c r="B152" s="244"/>
      <c r="C152" s="244"/>
      <c r="D152" s="245"/>
    </row>
    <row r="153" spans="1:4" ht="15.5" x14ac:dyDescent="0.35">
      <c r="A153" s="92" t="s">
        <v>409</v>
      </c>
      <c r="B153" s="92" t="s">
        <v>434</v>
      </c>
      <c r="C153" s="92" t="s">
        <v>435</v>
      </c>
      <c r="D153" s="92" t="s">
        <v>428</v>
      </c>
    </row>
    <row r="154" spans="1:4" x14ac:dyDescent="0.35">
      <c r="A154" s="132" t="s">
        <v>118</v>
      </c>
      <c r="B154" s="132" t="s">
        <v>436</v>
      </c>
      <c r="C154" s="132" t="s">
        <v>436</v>
      </c>
      <c r="D154" s="137" t="s">
        <v>430</v>
      </c>
    </row>
    <row r="156" spans="1:4" ht="17.5" customHeight="1" x14ac:dyDescent="0.35">
      <c r="A156" s="92" t="s">
        <v>409</v>
      </c>
      <c r="B156" s="92" t="s">
        <v>280</v>
      </c>
    </row>
    <row r="157" spans="1:4" x14ac:dyDescent="0.35">
      <c r="A157" s="132" t="s">
        <v>119</v>
      </c>
      <c r="B157" s="132" t="s">
        <v>119</v>
      </c>
    </row>
    <row r="159" spans="1:4" ht="18.5" x14ac:dyDescent="0.35">
      <c r="A159" s="243" t="s">
        <v>433</v>
      </c>
      <c r="B159" s="244"/>
      <c r="C159" s="244"/>
      <c r="D159" s="245"/>
    </row>
    <row r="160" spans="1:4" ht="15.5" x14ac:dyDescent="0.35">
      <c r="A160" s="92" t="s">
        <v>409</v>
      </c>
      <c r="B160" s="92" t="s">
        <v>434</v>
      </c>
      <c r="C160" s="92" t="s">
        <v>435</v>
      </c>
      <c r="D160" s="92" t="s">
        <v>428</v>
      </c>
    </row>
    <row r="161" spans="1:10" x14ac:dyDescent="0.35">
      <c r="A161" s="132" t="s">
        <v>119</v>
      </c>
      <c r="B161" s="132" t="s">
        <v>436</v>
      </c>
      <c r="C161" s="132" t="s">
        <v>436</v>
      </c>
      <c r="D161" s="137" t="s">
        <v>430</v>
      </c>
    </row>
    <row r="163" spans="1:10" ht="17.5" customHeight="1" x14ac:dyDescent="0.35">
      <c r="A163" s="92" t="s">
        <v>409</v>
      </c>
      <c r="B163" s="92" t="s">
        <v>280</v>
      </c>
    </row>
    <row r="164" spans="1:10" x14ac:dyDescent="0.35">
      <c r="A164" s="132" t="s">
        <v>120</v>
      </c>
      <c r="B164" s="132" t="s">
        <v>120</v>
      </c>
    </row>
    <row r="166" spans="1:10" ht="18.5" x14ac:dyDescent="0.35">
      <c r="A166" s="243" t="s">
        <v>433</v>
      </c>
      <c r="B166" s="244"/>
      <c r="C166" s="244"/>
      <c r="D166" s="245"/>
    </row>
    <row r="167" spans="1:10" ht="15.5" x14ac:dyDescent="0.35">
      <c r="A167" s="92" t="s">
        <v>409</v>
      </c>
      <c r="B167" s="92" t="s">
        <v>434</v>
      </c>
      <c r="C167" s="92" t="s">
        <v>435</v>
      </c>
      <c r="D167" s="92" t="s">
        <v>428</v>
      </c>
    </row>
    <row r="168" spans="1:10" x14ac:dyDescent="0.35">
      <c r="A168" s="132" t="s">
        <v>119</v>
      </c>
      <c r="B168" s="132" t="s">
        <v>436</v>
      </c>
      <c r="C168" s="132" t="s">
        <v>436</v>
      </c>
      <c r="D168" s="137" t="s">
        <v>430</v>
      </c>
    </row>
    <row r="171" spans="1:10" ht="21" x14ac:dyDescent="0.35">
      <c r="A171" s="246" t="s">
        <v>437</v>
      </c>
      <c r="B171" s="247"/>
      <c r="C171" s="247"/>
      <c r="D171" s="248"/>
    </row>
    <row r="173" spans="1:10" ht="18.5" x14ac:dyDescent="0.35">
      <c r="A173" s="127" t="s">
        <v>408</v>
      </c>
      <c r="B173" s="128"/>
      <c r="C173" s="128"/>
      <c r="D173" s="128"/>
    </row>
    <row r="174" spans="1:10" ht="31" x14ac:dyDescent="0.35">
      <c r="A174" s="92" t="s">
        <v>366</v>
      </c>
      <c r="B174" s="92" t="s">
        <v>11</v>
      </c>
      <c r="C174" s="92" t="s">
        <v>362</v>
      </c>
      <c r="D174" s="92" t="s">
        <v>167</v>
      </c>
      <c r="E174" s="138" t="s">
        <v>438</v>
      </c>
      <c r="F174" s="138" t="s">
        <v>439</v>
      </c>
      <c r="G174" s="138" t="s">
        <v>440</v>
      </c>
      <c r="H174" s="138" t="s">
        <v>441</v>
      </c>
      <c r="I174" s="138" t="s">
        <v>442</v>
      </c>
      <c r="J174" s="138" t="s">
        <v>443</v>
      </c>
    </row>
    <row r="175" spans="1:10" s="141" customFormat="1" ht="87" x14ac:dyDescent="0.35">
      <c r="A175" s="139" t="s">
        <v>509</v>
      </c>
      <c r="B175" s="139" t="s">
        <v>512</v>
      </c>
      <c r="C175" s="140" t="s">
        <v>513</v>
      </c>
      <c r="D175" s="140" t="s">
        <v>444</v>
      </c>
      <c r="E175" s="139" t="s">
        <v>445</v>
      </c>
      <c r="F175" s="139" t="s">
        <v>446</v>
      </c>
      <c r="G175" s="139"/>
      <c r="H175" s="139"/>
      <c r="I175" s="139">
        <v>3000</v>
      </c>
      <c r="J175" s="139">
        <v>28</v>
      </c>
    </row>
    <row r="178" spans="1:4" s="134" customFormat="1" ht="31" x14ac:dyDescent="0.35">
      <c r="A178" s="92" t="s">
        <v>395</v>
      </c>
      <c r="B178" s="92" t="s">
        <v>447</v>
      </c>
      <c r="C178" s="92" t="s">
        <v>34</v>
      </c>
    </row>
    <row r="179" spans="1:4" s="141" customFormat="1" x14ac:dyDescent="0.35">
      <c r="A179" s="139" t="s">
        <v>448</v>
      </c>
      <c r="B179" s="142">
        <v>1</v>
      </c>
      <c r="C179" s="139" t="s">
        <v>449</v>
      </c>
    </row>
    <row r="181" spans="1:4" ht="18.5" x14ac:dyDescent="0.35">
      <c r="A181" s="127" t="s">
        <v>450</v>
      </c>
      <c r="B181" s="128"/>
      <c r="C181" s="128"/>
      <c r="D181" s="128"/>
    </row>
    <row r="182" spans="1:4" s="134" customFormat="1" ht="15.5" x14ac:dyDescent="0.35">
      <c r="A182" s="92" t="s">
        <v>451</v>
      </c>
    </row>
    <row r="183" spans="1:4" s="141" customFormat="1" x14ac:dyDescent="0.35">
      <c r="A183" s="139" t="s">
        <v>509</v>
      </c>
    </row>
    <row r="185" spans="1:4" s="134" customFormat="1" ht="15.5" x14ac:dyDescent="0.35">
      <c r="A185" s="92" t="s">
        <v>452</v>
      </c>
      <c r="B185" s="92" t="s">
        <v>453</v>
      </c>
    </row>
    <row r="186" spans="1:4" s="141" customFormat="1" x14ac:dyDescent="0.35">
      <c r="A186" s="139" t="s">
        <v>374</v>
      </c>
      <c r="B186" s="139" t="s">
        <v>454</v>
      </c>
    </row>
    <row r="187" spans="1:4" s="141" customFormat="1" x14ac:dyDescent="0.35">
      <c r="A187" s="124" t="s">
        <v>375</v>
      </c>
      <c r="B187" s="139"/>
    </row>
    <row r="188" spans="1:4" s="141" customFormat="1" x14ac:dyDescent="0.35">
      <c r="A188" s="124" t="s">
        <v>376</v>
      </c>
      <c r="B188" s="139"/>
    </row>
    <row r="189" spans="1:4" s="141" customFormat="1" x14ac:dyDescent="0.35">
      <c r="A189" s="124" t="s">
        <v>292</v>
      </c>
      <c r="B189" s="139"/>
    </row>
    <row r="191" spans="1:4" ht="18" customHeight="1" x14ac:dyDescent="0.35">
      <c r="A191" s="127" t="s">
        <v>455</v>
      </c>
      <c r="B191" s="128"/>
      <c r="C191" s="128"/>
      <c r="D191" s="128"/>
    </row>
    <row r="192" spans="1:4" s="134" customFormat="1" ht="15.5" x14ac:dyDescent="0.35">
      <c r="A192" s="143" t="s">
        <v>451</v>
      </c>
      <c r="B192" s="144"/>
      <c r="C192" s="144"/>
    </row>
    <row r="193" spans="1:5" s="141" customFormat="1" x14ac:dyDescent="0.35">
      <c r="A193" s="145" t="s">
        <v>509</v>
      </c>
      <c r="B193" s="146"/>
      <c r="C193" s="146"/>
    </row>
    <row r="195" spans="1:5" s="147" customFormat="1" ht="15.5" x14ac:dyDescent="0.35">
      <c r="A195" s="92" t="s">
        <v>447</v>
      </c>
      <c r="B195" s="92" t="s">
        <v>11</v>
      </c>
      <c r="C195" s="92" t="s">
        <v>456</v>
      </c>
      <c r="D195" s="92" t="s">
        <v>457</v>
      </c>
      <c r="E195"/>
    </row>
    <row r="196" spans="1:5" x14ac:dyDescent="0.35">
      <c r="A196" s="148">
        <v>1</v>
      </c>
      <c r="B196" s="132" t="s">
        <v>458</v>
      </c>
      <c r="C196" s="132" t="s">
        <v>454</v>
      </c>
      <c r="D196" s="132" t="s">
        <v>459</v>
      </c>
    </row>
    <row r="198" spans="1:5" ht="20.149999999999999" customHeight="1" x14ac:dyDescent="0.35">
      <c r="A198" s="127" t="s">
        <v>460</v>
      </c>
      <c r="B198" s="128"/>
      <c r="C198" s="128"/>
      <c r="D198" s="128"/>
    </row>
    <row r="199" spans="1:5" ht="15.5" x14ac:dyDescent="0.35">
      <c r="A199" s="143" t="s">
        <v>366</v>
      </c>
    </row>
    <row r="200" spans="1:5" x14ac:dyDescent="0.35">
      <c r="A200" s="132" t="s">
        <v>509</v>
      </c>
    </row>
    <row r="202" spans="1:5" ht="15.5" x14ac:dyDescent="0.35">
      <c r="A202" s="143" t="s">
        <v>439</v>
      </c>
    </row>
    <row r="203" spans="1:5" x14ac:dyDescent="0.35">
      <c r="A203" s="132" t="s">
        <v>461</v>
      </c>
    </row>
    <row r="205" spans="1:5" ht="21.65" customHeight="1" x14ac:dyDescent="0.35">
      <c r="A205" s="143" t="s">
        <v>232</v>
      </c>
      <c r="B205" s="143" t="s">
        <v>462</v>
      </c>
      <c r="C205" s="143" t="s">
        <v>463</v>
      </c>
    </row>
    <row r="206" spans="1:5" s="141" customFormat="1" x14ac:dyDescent="0.35">
      <c r="A206" s="142">
        <v>1</v>
      </c>
      <c r="B206" s="139" t="s">
        <v>464</v>
      </c>
      <c r="C206" s="139" t="s">
        <v>465</v>
      </c>
    </row>
    <row r="207" spans="1:5" s="141" customFormat="1" x14ac:dyDescent="0.35">
      <c r="A207" s="142">
        <v>2</v>
      </c>
      <c r="B207" s="139" t="s">
        <v>466</v>
      </c>
      <c r="C207" s="139" t="s">
        <v>467</v>
      </c>
    </row>
  </sheetData>
  <mergeCells count="15">
    <mergeCell ref="A64:D64"/>
    <mergeCell ref="A68:D68"/>
    <mergeCell ref="A77:D77"/>
    <mergeCell ref="A81:D81"/>
    <mergeCell ref="A102:D102"/>
    <mergeCell ref="A105:D105"/>
    <mergeCell ref="A114:D114"/>
    <mergeCell ref="A123:D123"/>
    <mergeCell ref="A132:D132"/>
    <mergeCell ref="A141:D141"/>
    <mergeCell ref="A145:D145"/>
    <mergeCell ref="A171:D171"/>
    <mergeCell ref="A152:D152"/>
    <mergeCell ref="A159:D159"/>
    <mergeCell ref="A166:D166"/>
  </mergeCells>
  <hyperlinks>
    <hyperlink ref="H107" r:id="rId1"/>
    <hyperlink ref="H116" r:id="rId2"/>
    <hyperlink ref="H125" r:id="rId3"/>
    <hyperlink ref="H134"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569"/>
  <sheetViews>
    <sheetView tabSelected="1" topLeftCell="A477" zoomScale="53" zoomScaleNormal="53" workbookViewId="0">
      <pane xSplit="1" topLeftCell="B1" activePane="topRight" state="frozen"/>
      <selection activeCell="A114" sqref="A114"/>
      <selection pane="topRight" activeCell="C523" sqref="C523"/>
    </sheetView>
  </sheetViews>
  <sheetFormatPr defaultRowHeight="14.5" x14ac:dyDescent="0.35"/>
  <cols>
    <col min="1" max="1" width="28.81640625" bestFit="1" customWidth="1"/>
    <col min="2" max="2" width="20" customWidth="1"/>
    <col min="3" max="3" width="22.81640625" bestFit="1" customWidth="1"/>
    <col min="4" max="4" width="20.81640625" customWidth="1"/>
    <col min="5" max="5" width="18.453125" customWidth="1"/>
    <col min="6" max="6" width="18.1796875" customWidth="1"/>
    <col min="7" max="7" width="17.81640625" customWidth="1"/>
    <col min="8" max="8" width="26" bestFit="1" customWidth="1"/>
    <col min="9" max="9" width="47.6328125" bestFit="1" customWidth="1"/>
    <col min="10" max="10" width="14.81640625" customWidth="1"/>
    <col min="11" max="11" width="19.81640625" customWidth="1"/>
    <col min="12" max="12" width="27.453125" bestFit="1" customWidth="1"/>
    <col min="13" max="13" width="25.7265625" bestFit="1" customWidth="1"/>
    <col min="14" max="14" width="18.1796875" bestFit="1" customWidth="1"/>
    <col min="15" max="15" width="25.1796875" customWidth="1"/>
    <col min="16" max="16" width="34.1796875" customWidth="1"/>
    <col min="17" max="17" width="39.453125" bestFit="1" customWidth="1"/>
    <col min="18" max="18" width="36.453125" customWidth="1"/>
    <col min="19" max="19" width="11.54296875" bestFit="1" customWidth="1"/>
    <col min="20" max="20" width="13.81640625" bestFit="1" customWidth="1"/>
  </cols>
  <sheetData>
    <row r="1" spans="1:118" s="81" customFormat="1" ht="23.5" x14ac:dyDescent="0.35">
      <c r="A1" s="273" t="s">
        <v>247</v>
      </c>
      <c r="B1" s="273"/>
      <c r="C1" s="273"/>
      <c r="D1" s="273"/>
      <c r="E1" s="273"/>
      <c r="F1" s="273"/>
      <c r="G1" s="273"/>
      <c r="H1" s="273"/>
      <c r="I1" s="273"/>
      <c r="J1" s="273"/>
      <c r="L1" s="82"/>
      <c r="N1" s="82"/>
      <c r="O1" s="82"/>
      <c r="P1" s="82"/>
      <c r="Q1" s="82"/>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row>
    <row r="2" spans="1:118" s="85" customFormat="1" ht="18.5" x14ac:dyDescent="0.35">
      <c r="A2" s="84" t="s">
        <v>248</v>
      </c>
      <c r="B2" s="274" t="s">
        <v>249</v>
      </c>
      <c r="C2" s="275"/>
      <c r="D2" s="275"/>
      <c r="E2" s="276"/>
      <c r="F2" s="81"/>
      <c r="G2" s="82"/>
      <c r="H2" s="81"/>
      <c r="I2" s="81"/>
      <c r="L2" s="86"/>
      <c r="V2" s="81"/>
      <c r="AB2" s="81"/>
      <c r="AJ2" s="81"/>
      <c r="BA2" s="81"/>
      <c r="BJ2" s="81"/>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row>
    <row r="3" spans="1:118" ht="15.5" x14ac:dyDescent="0.35">
      <c r="A3" s="88" t="s">
        <v>250</v>
      </c>
      <c r="B3" s="88" t="s">
        <v>0</v>
      </c>
      <c r="C3" s="88" t="s">
        <v>1</v>
      </c>
      <c r="D3" s="5" t="s">
        <v>251</v>
      </c>
      <c r="E3" s="5" t="s">
        <v>252</v>
      </c>
      <c r="F3" s="88" t="s">
        <v>253</v>
      </c>
      <c r="G3" s="88" t="s">
        <v>254</v>
      </c>
    </row>
    <row r="4" spans="1:118" x14ac:dyDescent="0.35">
      <c r="A4" s="89" t="s">
        <v>533</v>
      </c>
      <c r="B4" s="2" t="s">
        <v>13</v>
      </c>
      <c r="C4" s="4" t="s">
        <v>87</v>
      </c>
      <c r="D4" s="4" t="s">
        <v>255</v>
      </c>
      <c r="E4" s="4"/>
      <c r="F4" s="3"/>
      <c r="G4" s="90"/>
    </row>
    <row r="6" spans="1:118" s="81" customFormat="1" ht="18.5" x14ac:dyDescent="0.35">
      <c r="A6" s="277" t="s">
        <v>256</v>
      </c>
      <c r="B6" s="277"/>
      <c r="C6" s="277"/>
      <c r="D6" s="277"/>
      <c r="E6" s="277"/>
      <c r="F6" s="277"/>
      <c r="G6" s="277"/>
      <c r="H6" s="277"/>
      <c r="I6" s="277"/>
      <c r="J6" s="277"/>
      <c r="L6" s="82"/>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row>
    <row r="7" spans="1:118" s="81" customFormat="1" ht="31" x14ac:dyDescent="0.35">
      <c r="A7" s="91" t="s">
        <v>250</v>
      </c>
      <c r="B7" s="91" t="s">
        <v>1</v>
      </c>
      <c r="C7" s="91" t="s">
        <v>2</v>
      </c>
      <c r="D7" s="91" t="s">
        <v>3</v>
      </c>
      <c r="E7" s="91" t="s">
        <v>257</v>
      </c>
      <c r="F7" s="91" t="s">
        <v>258</v>
      </c>
      <c r="G7" s="92" t="s">
        <v>259</v>
      </c>
      <c r="H7" s="91" t="s">
        <v>260</v>
      </c>
      <c r="I7" s="92" t="s">
        <v>261</v>
      </c>
      <c r="J7" s="92" t="s">
        <v>262</v>
      </c>
      <c r="L7" s="82"/>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c r="BR7" s="85"/>
      <c r="BS7" s="85"/>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row>
    <row r="8" spans="1:118" ht="33.65" customHeight="1" x14ac:dyDescent="0.35">
      <c r="A8" s="2" t="s">
        <v>533</v>
      </c>
      <c r="B8" s="2" t="str">
        <f>C4</f>
        <v>ABC_Cust1Auto,IND</v>
      </c>
      <c r="C8" s="2" t="s">
        <v>534</v>
      </c>
      <c r="D8" s="2" t="s">
        <v>5</v>
      </c>
      <c r="E8" s="2" t="s">
        <v>6</v>
      </c>
      <c r="F8" s="2" t="s">
        <v>263</v>
      </c>
      <c r="G8" s="2" t="s">
        <v>4</v>
      </c>
      <c r="H8" s="2" t="s">
        <v>264</v>
      </c>
      <c r="I8" s="2" t="s">
        <v>88</v>
      </c>
      <c r="J8" s="93" t="s">
        <v>265</v>
      </c>
    </row>
    <row r="9" spans="1:118" ht="33.65" customHeight="1" x14ac:dyDescent="0.35">
      <c r="A9" s="2" t="str">
        <f>A4</f>
        <v>3077354705</v>
      </c>
      <c r="B9" s="2" t="str">
        <f>C4</f>
        <v>ABC_Cust1Auto,IND</v>
      </c>
      <c r="C9" s="2" t="s">
        <v>535</v>
      </c>
      <c r="D9" s="2" t="s">
        <v>5</v>
      </c>
      <c r="E9" s="2" t="s">
        <v>6</v>
      </c>
      <c r="F9" s="2" t="s">
        <v>263</v>
      </c>
      <c r="G9" s="2" t="s">
        <v>4</v>
      </c>
      <c r="H9" s="2" t="s">
        <v>264</v>
      </c>
      <c r="I9" s="2" t="s">
        <v>89</v>
      </c>
      <c r="J9" s="93" t="s">
        <v>265</v>
      </c>
    </row>
    <row r="11" spans="1:118" s="81" customFormat="1" ht="18" customHeight="1" x14ac:dyDescent="0.35">
      <c r="A11" s="277" t="s">
        <v>266</v>
      </c>
      <c r="B11" s="277"/>
      <c r="C11" s="277"/>
      <c r="D11" s="277"/>
      <c r="E11" s="277"/>
      <c r="F11" s="277"/>
      <c r="G11" s="277"/>
      <c r="H11" s="277"/>
      <c r="L11" s="82"/>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row>
    <row r="12" spans="1:118" s="81" customFormat="1" ht="18" customHeight="1" x14ac:dyDescent="0.35">
      <c r="A12" s="91" t="s">
        <v>1</v>
      </c>
      <c r="B12" s="92" t="s">
        <v>2</v>
      </c>
      <c r="C12" s="92" t="s">
        <v>267</v>
      </c>
      <c r="D12" s="92" t="s">
        <v>0</v>
      </c>
      <c r="E12" s="91" t="s">
        <v>7</v>
      </c>
      <c r="F12" s="91" t="s">
        <v>268</v>
      </c>
      <c r="G12" s="92" t="s">
        <v>269</v>
      </c>
      <c r="H12" s="91" t="s">
        <v>270</v>
      </c>
      <c r="L12" s="82"/>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c r="DI12" s="83"/>
      <c r="DJ12" s="83"/>
      <c r="DK12" s="83"/>
      <c r="DL12" s="83"/>
      <c r="DM12" s="83"/>
      <c r="DN12" s="83"/>
    </row>
    <row r="13" spans="1:118" x14ac:dyDescent="0.35">
      <c r="A13" s="2" t="str">
        <f>C4</f>
        <v>ABC_Cust1Auto,IND</v>
      </c>
      <c r="B13" s="6" t="str">
        <f>C8</f>
        <v>7757771227</v>
      </c>
      <c r="C13" s="7">
        <v>7757771999</v>
      </c>
      <c r="D13" s="2" t="s">
        <v>6</v>
      </c>
      <c r="E13" s="3" t="s">
        <v>8</v>
      </c>
      <c r="F13" s="2" t="s">
        <v>263</v>
      </c>
      <c r="G13" s="3"/>
      <c r="H13" s="2" t="s">
        <v>271</v>
      </c>
      <c r="I13" s="81"/>
    </row>
    <row r="14" spans="1:118" x14ac:dyDescent="0.35">
      <c r="A14" s="94" t="str">
        <f>C4</f>
        <v>ABC_Cust1Auto,IND</v>
      </c>
      <c r="B14" s="6" t="str">
        <f>C9</f>
        <v>7598168216</v>
      </c>
      <c r="C14" s="7">
        <v>7598168119</v>
      </c>
      <c r="D14" s="2" t="s">
        <v>6</v>
      </c>
      <c r="E14" s="3" t="s">
        <v>8</v>
      </c>
      <c r="F14" s="2" t="s">
        <v>263</v>
      </c>
      <c r="G14" s="3"/>
      <c r="H14" s="2" t="s">
        <v>271</v>
      </c>
      <c r="I14" s="81"/>
    </row>
    <row r="16" spans="1:118" ht="18.5" x14ac:dyDescent="0.35">
      <c r="A16" s="278" t="s">
        <v>272</v>
      </c>
      <c r="B16" s="279"/>
      <c r="C16" s="279"/>
      <c r="D16" s="279"/>
      <c r="E16" s="279"/>
      <c r="F16" s="279"/>
      <c r="G16" s="279"/>
    </row>
    <row r="17" spans="1:19" ht="15.5" x14ac:dyDescent="0.35">
      <c r="A17" s="95" t="s">
        <v>273</v>
      </c>
      <c r="B17" s="95" t="s">
        <v>274</v>
      </c>
      <c r="C17" s="88" t="s">
        <v>9</v>
      </c>
      <c r="D17" s="88" t="s">
        <v>275</v>
      </c>
      <c r="E17" s="88" t="s">
        <v>7</v>
      </c>
      <c r="F17" s="88" t="s">
        <v>0</v>
      </c>
      <c r="G17" s="88" t="s">
        <v>276</v>
      </c>
      <c r="H17" s="88" t="s">
        <v>277</v>
      </c>
      <c r="I17" s="88" t="s">
        <v>278</v>
      </c>
      <c r="J17" s="88" t="s">
        <v>279</v>
      </c>
      <c r="K17" s="88" t="s">
        <v>271</v>
      </c>
      <c r="L17" s="88" t="s">
        <v>280</v>
      </c>
      <c r="M17" s="88" t="s">
        <v>281</v>
      </c>
      <c r="N17" s="88" t="s">
        <v>282</v>
      </c>
      <c r="O17" s="88" t="s">
        <v>283</v>
      </c>
      <c r="P17" s="88" t="s">
        <v>284</v>
      </c>
      <c r="Q17" s="88" t="s">
        <v>285</v>
      </c>
      <c r="R17" s="88" t="s">
        <v>18</v>
      </c>
      <c r="S17" s="88" t="s">
        <v>286</v>
      </c>
    </row>
    <row r="18" spans="1:19" x14ac:dyDescent="0.35">
      <c r="A18" s="2" t="s">
        <v>287</v>
      </c>
      <c r="B18" s="2" t="s">
        <v>288</v>
      </c>
      <c r="C18" s="2" t="s">
        <v>100</v>
      </c>
      <c r="D18" s="2" t="s">
        <v>289</v>
      </c>
      <c r="E18" s="2" t="s">
        <v>8</v>
      </c>
      <c r="F18" s="2" t="s">
        <v>6</v>
      </c>
      <c r="G18" s="2" t="s">
        <v>290</v>
      </c>
      <c r="H18" s="2">
        <v>10</v>
      </c>
      <c r="I18" s="2" t="s">
        <v>291</v>
      </c>
      <c r="J18" s="2">
        <v>3</v>
      </c>
      <c r="K18" s="2" t="s">
        <v>90</v>
      </c>
      <c r="L18" s="2" t="s">
        <v>374</v>
      </c>
      <c r="M18" s="2" t="s">
        <v>491</v>
      </c>
      <c r="N18" s="2" t="s">
        <v>518</v>
      </c>
      <c r="O18" s="2" t="s">
        <v>292</v>
      </c>
      <c r="P18" s="2" t="s">
        <v>292</v>
      </c>
      <c r="Q18" s="2" t="s">
        <v>293</v>
      </c>
      <c r="R18" s="2" t="s">
        <v>22</v>
      </c>
      <c r="S18" s="2" t="s">
        <v>4</v>
      </c>
    </row>
    <row r="19" spans="1:19" x14ac:dyDescent="0.35">
      <c r="A19" s="2"/>
      <c r="B19" s="2"/>
      <c r="C19" s="2" t="s">
        <v>101</v>
      </c>
      <c r="D19" s="2" t="s">
        <v>294</v>
      </c>
      <c r="E19" s="2" t="s">
        <v>8</v>
      </c>
      <c r="F19" s="2" t="s">
        <v>6</v>
      </c>
      <c r="G19" s="2" t="s">
        <v>290</v>
      </c>
      <c r="H19" s="2">
        <v>10</v>
      </c>
      <c r="I19" s="2" t="s">
        <v>291</v>
      </c>
      <c r="J19" s="2">
        <v>3</v>
      </c>
      <c r="K19" s="2" t="s">
        <v>90</v>
      </c>
      <c r="L19" s="2" t="s">
        <v>374</v>
      </c>
      <c r="M19" s="2" t="s">
        <v>568</v>
      </c>
      <c r="N19" s="2" t="s">
        <v>523</v>
      </c>
      <c r="O19" s="2" t="s">
        <v>292</v>
      </c>
      <c r="P19" s="2" t="s">
        <v>292</v>
      </c>
      <c r="Q19" s="2" t="s">
        <v>293</v>
      </c>
      <c r="R19" s="2" t="s">
        <v>22</v>
      </c>
      <c r="S19" s="2" t="s">
        <v>4</v>
      </c>
    </row>
    <row r="20" spans="1:19" x14ac:dyDescent="0.35">
      <c r="A20" s="2"/>
      <c r="B20" s="2"/>
      <c r="C20" s="2" t="s">
        <v>102</v>
      </c>
      <c r="D20" s="2" t="s">
        <v>295</v>
      </c>
      <c r="E20" s="2" t="s">
        <v>8</v>
      </c>
      <c r="F20" s="2" t="s">
        <v>6</v>
      </c>
      <c r="G20" s="2" t="s">
        <v>290</v>
      </c>
      <c r="H20" s="2">
        <v>10</v>
      </c>
      <c r="I20" s="2" t="s">
        <v>291</v>
      </c>
      <c r="J20" s="2">
        <v>3</v>
      </c>
      <c r="K20" s="2" t="s">
        <v>90</v>
      </c>
      <c r="L20" s="2" t="s">
        <v>374</v>
      </c>
      <c r="M20" s="2" t="s">
        <v>521</v>
      </c>
      <c r="N20" s="2" t="s">
        <v>522</v>
      </c>
      <c r="O20" s="2" t="s">
        <v>292</v>
      </c>
      <c r="P20" s="2" t="s">
        <v>292</v>
      </c>
      <c r="Q20" s="2" t="s">
        <v>293</v>
      </c>
      <c r="R20" s="2" t="s">
        <v>22</v>
      </c>
      <c r="S20" s="2" t="s">
        <v>4</v>
      </c>
    </row>
    <row r="21" spans="1:19" x14ac:dyDescent="0.35">
      <c r="A21" s="2"/>
      <c r="B21" s="2"/>
      <c r="C21" s="2" t="s">
        <v>207</v>
      </c>
      <c r="D21" s="2" t="s">
        <v>339</v>
      </c>
      <c r="E21" s="2" t="s">
        <v>8</v>
      </c>
      <c r="F21" s="2" t="s">
        <v>6</v>
      </c>
      <c r="G21" s="2" t="s">
        <v>290</v>
      </c>
      <c r="H21" s="2">
        <v>10</v>
      </c>
      <c r="I21" s="2" t="s">
        <v>291</v>
      </c>
      <c r="J21" s="2">
        <v>3</v>
      </c>
      <c r="K21" s="2" t="s">
        <v>90</v>
      </c>
      <c r="L21" s="2" t="s">
        <v>374</v>
      </c>
      <c r="M21" s="2" t="s">
        <v>519</v>
      </c>
      <c r="N21" s="2" t="s">
        <v>520</v>
      </c>
      <c r="O21" s="2" t="s">
        <v>292</v>
      </c>
      <c r="P21" s="2" t="s">
        <v>292</v>
      </c>
      <c r="Q21" s="2" t="s">
        <v>293</v>
      </c>
      <c r="R21" s="2" t="s">
        <v>22</v>
      </c>
      <c r="S21" s="2" t="s">
        <v>4</v>
      </c>
    </row>
    <row r="22" spans="1:19" x14ac:dyDescent="0.35">
      <c r="A22" s="2"/>
      <c r="B22" s="2" t="s">
        <v>296</v>
      </c>
      <c r="C22" s="2" t="s">
        <v>103</v>
      </c>
      <c r="D22" s="2" t="s">
        <v>297</v>
      </c>
      <c r="E22" s="2" t="s">
        <v>8</v>
      </c>
      <c r="F22" s="2" t="s">
        <v>6</v>
      </c>
      <c r="G22" s="2" t="s">
        <v>290</v>
      </c>
      <c r="H22" s="2">
        <v>10</v>
      </c>
      <c r="I22" s="2" t="s">
        <v>291</v>
      </c>
      <c r="J22" s="2">
        <v>3</v>
      </c>
      <c r="K22" s="2" t="s">
        <v>90</v>
      </c>
      <c r="L22" s="2" t="s">
        <v>118</v>
      </c>
      <c r="M22" s="2" t="s">
        <v>491</v>
      </c>
      <c r="N22" s="2" t="s">
        <v>518</v>
      </c>
      <c r="O22" s="2" t="s">
        <v>292</v>
      </c>
      <c r="P22" s="2" t="s">
        <v>292</v>
      </c>
      <c r="Q22" s="2" t="s">
        <v>293</v>
      </c>
      <c r="R22" s="2" t="s">
        <v>22</v>
      </c>
      <c r="S22" s="2" t="s">
        <v>4</v>
      </c>
    </row>
    <row r="23" spans="1:19" x14ac:dyDescent="0.35">
      <c r="A23" s="2"/>
      <c r="B23" s="2"/>
      <c r="C23" s="2" t="s">
        <v>104</v>
      </c>
      <c r="D23" s="2" t="s">
        <v>299</v>
      </c>
      <c r="E23" s="2" t="s">
        <v>8</v>
      </c>
      <c r="F23" s="2" t="s">
        <v>6</v>
      </c>
      <c r="G23" s="2" t="s">
        <v>290</v>
      </c>
      <c r="H23" s="2">
        <v>10</v>
      </c>
      <c r="I23" s="2" t="s">
        <v>291</v>
      </c>
      <c r="J23" s="2">
        <v>3</v>
      </c>
      <c r="K23" s="2" t="s">
        <v>90</v>
      </c>
      <c r="L23" s="2" t="s">
        <v>118</v>
      </c>
      <c r="M23" s="2" t="s">
        <v>491</v>
      </c>
      <c r="N23" s="2" t="s">
        <v>524</v>
      </c>
      <c r="O23" s="2" t="s">
        <v>292</v>
      </c>
      <c r="P23" s="2" t="s">
        <v>292</v>
      </c>
      <c r="Q23" s="2" t="s">
        <v>293</v>
      </c>
      <c r="R23" s="2" t="s">
        <v>22</v>
      </c>
      <c r="S23" s="2" t="s">
        <v>4</v>
      </c>
    </row>
    <row r="24" spans="1:19" x14ac:dyDescent="0.35">
      <c r="A24" s="2"/>
      <c r="B24" s="2"/>
      <c r="C24" s="2" t="s">
        <v>105</v>
      </c>
      <c r="D24" s="2" t="s">
        <v>300</v>
      </c>
      <c r="E24" s="2" t="s">
        <v>8</v>
      </c>
      <c r="F24" s="2" t="s">
        <v>6</v>
      </c>
      <c r="G24" s="2" t="s">
        <v>290</v>
      </c>
      <c r="H24" s="2">
        <v>10</v>
      </c>
      <c r="I24" s="2" t="s">
        <v>291</v>
      </c>
      <c r="J24" s="2">
        <v>3</v>
      </c>
      <c r="K24" s="2" t="s">
        <v>90</v>
      </c>
      <c r="L24" s="2" t="s">
        <v>118</v>
      </c>
      <c r="M24" s="2" t="s">
        <v>525</v>
      </c>
      <c r="N24" s="2" t="s">
        <v>526</v>
      </c>
      <c r="O24" s="2" t="s">
        <v>292</v>
      </c>
      <c r="P24" s="2" t="s">
        <v>292</v>
      </c>
      <c r="Q24" s="2" t="s">
        <v>293</v>
      </c>
      <c r="R24" s="2" t="s">
        <v>22</v>
      </c>
      <c r="S24" s="2" t="s">
        <v>4</v>
      </c>
    </row>
    <row r="25" spans="1:19" x14ac:dyDescent="0.35">
      <c r="A25" s="2"/>
      <c r="B25" s="2" t="s">
        <v>298</v>
      </c>
      <c r="C25" s="2" t="s">
        <v>106</v>
      </c>
      <c r="D25" s="2" t="s">
        <v>301</v>
      </c>
      <c r="E25" s="2" t="s">
        <v>8</v>
      </c>
      <c r="F25" s="2" t="s">
        <v>6</v>
      </c>
      <c r="G25" s="2" t="s">
        <v>290</v>
      </c>
      <c r="H25" s="2">
        <v>10</v>
      </c>
      <c r="I25" s="2" t="s">
        <v>291</v>
      </c>
      <c r="J25" s="2">
        <v>3</v>
      </c>
      <c r="K25" s="2" t="s">
        <v>90</v>
      </c>
      <c r="L25" s="2" t="s">
        <v>119</v>
      </c>
      <c r="M25" s="2" t="s">
        <v>569</v>
      </c>
      <c r="N25" s="2" t="s">
        <v>527</v>
      </c>
      <c r="O25" s="2" t="s">
        <v>292</v>
      </c>
      <c r="P25" s="2" t="s">
        <v>292</v>
      </c>
      <c r="Q25" s="2" t="s">
        <v>293</v>
      </c>
      <c r="R25" s="2" t="s">
        <v>22</v>
      </c>
      <c r="S25" s="2" t="s">
        <v>4</v>
      </c>
    </row>
    <row r="26" spans="1:19" x14ac:dyDescent="0.35">
      <c r="A26" s="2"/>
      <c r="B26" s="2"/>
      <c r="C26" s="2" t="s">
        <v>107</v>
      </c>
      <c r="D26" s="2" t="s">
        <v>302</v>
      </c>
      <c r="E26" s="2" t="s">
        <v>8</v>
      </c>
      <c r="F26" s="2" t="s">
        <v>6</v>
      </c>
      <c r="G26" s="2" t="s">
        <v>290</v>
      </c>
      <c r="H26" s="2">
        <v>10</v>
      </c>
      <c r="I26" s="2" t="s">
        <v>291</v>
      </c>
      <c r="J26" s="2">
        <v>3</v>
      </c>
      <c r="K26" s="2" t="s">
        <v>90</v>
      </c>
      <c r="L26" s="2" t="s">
        <v>119</v>
      </c>
      <c r="M26" s="2" t="s">
        <v>528</v>
      </c>
      <c r="N26" s="2" t="s">
        <v>491</v>
      </c>
      <c r="O26" s="2" t="s">
        <v>292</v>
      </c>
      <c r="P26" s="2" t="s">
        <v>292</v>
      </c>
      <c r="Q26" s="2" t="s">
        <v>293</v>
      </c>
      <c r="R26" s="2" t="s">
        <v>22</v>
      </c>
      <c r="S26" s="2" t="s">
        <v>4</v>
      </c>
    </row>
    <row r="27" spans="1:19" x14ac:dyDescent="0.35">
      <c r="A27" s="2"/>
      <c r="B27" s="2"/>
      <c r="C27" s="2" t="s">
        <v>108</v>
      </c>
      <c r="D27" s="2" t="s">
        <v>303</v>
      </c>
      <c r="E27" s="2" t="s">
        <v>8</v>
      </c>
      <c r="F27" s="2" t="s">
        <v>6</v>
      </c>
      <c r="G27" s="2" t="s">
        <v>290</v>
      </c>
      <c r="H27" s="2">
        <v>10</v>
      </c>
      <c r="I27" s="2" t="s">
        <v>291</v>
      </c>
      <c r="J27" s="2">
        <v>3</v>
      </c>
      <c r="K27" s="2" t="s">
        <v>90</v>
      </c>
      <c r="L27" s="2" t="s">
        <v>119</v>
      </c>
      <c r="M27" s="2" t="s">
        <v>528</v>
      </c>
      <c r="N27" s="2" t="s">
        <v>529</v>
      </c>
      <c r="O27" s="2" t="s">
        <v>292</v>
      </c>
      <c r="P27" s="2" t="s">
        <v>292</v>
      </c>
      <c r="Q27" s="2" t="s">
        <v>293</v>
      </c>
      <c r="R27" s="2" t="s">
        <v>22</v>
      </c>
      <c r="S27" s="2" t="s">
        <v>4</v>
      </c>
    </row>
    <row r="28" spans="1:19" x14ac:dyDescent="0.35">
      <c r="A28" s="2"/>
      <c r="B28" s="2"/>
      <c r="C28" s="2" t="s">
        <v>109</v>
      </c>
      <c r="D28" s="2" t="s">
        <v>304</v>
      </c>
      <c r="E28" s="2" t="s">
        <v>8</v>
      </c>
      <c r="F28" s="2" t="s">
        <v>6</v>
      </c>
      <c r="G28" s="2" t="s">
        <v>290</v>
      </c>
      <c r="H28" s="2">
        <v>10</v>
      </c>
      <c r="I28" s="2" t="s">
        <v>291</v>
      </c>
      <c r="J28" s="2">
        <v>3</v>
      </c>
      <c r="K28" s="2" t="s">
        <v>90</v>
      </c>
      <c r="L28" s="2" t="s">
        <v>94</v>
      </c>
      <c r="M28" s="2" t="s">
        <v>528</v>
      </c>
      <c r="N28" s="2" t="s">
        <v>530</v>
      </c>
      <c r="O28" s="2" t="s">
        <v>292</v>
      </c>
      <c r="P28" s="2" t="s">
        <v>292</v>
      </c>
      <c r="Q28" s="2" t="s">
        <v>293</v>
      </c>
      <c r="R28" s="2" t="s">
        <v>22</v>
      </c>
      <c r="S28" s="2" t="s">
        <v>4</v>
      </c>
    </row>
    <row r="29" spans="1:19" x14ac:dyDescent="0.35">
      <c r="A29" s="2"/>
      <c r="B29" s="2"/>
      <c r="C29" s="2" t="s">
        <v>110</v>
      </c>
      <c r="D29" s="2" t="s">
        <v>305</v>
      </c>
      <c r="E29" s="2" t="s">
        <v>8</v>
      </c>
      <c r="F29" s="2" t="s">
        <v>6</v>
      </c>
      <c r="G29" s="2" t="s">
        <v>290</v>
      </c>
      <c r="H29" s="2">
        <v>10</v>
      </c>
      <c r="I29" s="2" t="s">
        <v>291</v>
      </c>
      <c r="J29" s="2">
        <v>3</v>
      </c>
      <c r="K29" s="2" t="s">
        <v>90</v>
      </c>
      <c r="L29" s="2" t="s">
        <v>93</v>
      </c>
      <c r="M29" s="2" t="s">
        <v>491</v>
      </c>
      <c r="N29" s="2" t="s">
        <v>518</v>
      </c>
      <c r="O29" s="2" t="s">
        <v>292</v>
      </c>
      <c r="P29" s="2" t="s">
        <v>292</v>
      </c>
      <c r="Q29" s="2" t="s">
        <v>293</v>
      </c>
      <c r="R29" s="2" t="s">
        <v>22</v>
      </c>
      <c r="S29" s="2" t="s">
        <v>4</v>
      </c>
    </row>
    <row r="30" spans="1:19" x14ac:dyDescent="0.35">
      <c r="A30" s="164" t="s">
        <v>306</v>
      </c>
      <c r="B30" s="164" t="s">
        <v>306</v>
      </c>
      <c r="C30" s="164" t="s">
        <v>111</v>
      </c>
      <c r="D30" s="164" t="s">
        <v>307</v>
      </c>
      <c r="E30" s="164" t="s">
        <v>8</v>
      </c>
      <c r="F30" s="164" t="s">
        <v>6</v>
      </c>
      <c r="G30" s="164" t="s">
        <v>290</v>
      </c>
      <c r="H30" s="164">
        <v>10</v>
      </c>
      <c r="I30" s="164" t="s">
        <v>291</v>
      </c>
      <c r="J30" s="164">
        <v>3</v>
      </c>
      <c r="K30" s="164" t="s">
        <v>308</v>
      </c>
      <c r="L30" s="164" t="s">
        <v>91</v>
      </c>
      <c r="M30" s="164">
        <v>20</v>
      </c>
      <c r="N30" s="164">
        <v>30</v>
      </c>
      <c r="O30" s="164" t="s">
        <v>292</v>
      </c>
      <c r="P30" s="164" t="s">
        <v>292</v>
      </c>
      <c r="Q30" s="164" t="s">
        <v>293</v>
      </c>
      <c r="R30" s="164" t="s">
        <v>22</v>
      </c>
      <c r="S30" s="164" t="s">
        <v>4</v>
      </c>
    </row>
    <row r="31" spans="1:19" ht="18.5" x14ac:dyDescent="0.35">
      <c r="A31" s="282" t="s">
        <v>309</v>
      </c>
      <c r="B31" s="282"/>
      <c r="C31" s="282"/>
    </row>
    <row r="32" spans="1:19" ht="15.5" x14ac:dyDescent="0.35">
      <c r="A32" s="91" t="s">
        <v>310</v>
      </c>
      <c r="B32" s="91" t="s">
        <v>311</v>
      </c>
      <c r="C32" s="92" t="s">
        <v>312</v>
      </c>
      <c r="D32" s="88" t="s">
        <v>0</v>
      </c>
    </row>
    <row r="33" spans="1:117" x14ac:dyDescent="0.35">
      <c r="A33" s="96" t="s">
        <v>536</v>
      </c>
      <c r="B33" s="2" t="s">
        <v>54</v>
      </c>
      <c r="C33" s="2" t="s">
        <v>315</v>
      </c>
      <c r="D33" s="2" t="s">
        <v>6</v>
      </c>
    </row>
    <row r="35" spans="1:117" s="81" customFormat="1" ht="18" customHeight="1" x14ac:dyDescent="0.35">
      <c r="A35" s="277" t="s">
        <v>317</v>
      </c>
      <c r="B35" s="277"/>
      <c r="C35" s="277"/>
      <c r="D35" s="277"/>
      <c r="E35" s="277"/>
      <c r="F35" s="277"/>
      <c r="G35" s="277"/>
      <c r="H35" s="277"/>
      <c r="I35" s="277"/>
      <c r="J35" s="277"/>
      <c r="O35" s="82"/>
      <c r="P35" s="82"/>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row>
    <row r="36" spans="1:117" s="81" customFormat="1" ht="21" x14ac:dyDescent="0.35">
      <c r="A36" s="91" t="s">
        <v>310</v>
      </c>
      <c r="B36" s="91" t="s">
        <v>311</v>
      </c>
      <c r="C36" s="91" t="s">
        <v>318</v>
      </c>
      <c r="D36" s="97" t="s">
        <v>17</v>
      </c>
      <c r="E36" s="97" t="s">
        <v>55</v>
      </c>
      <c r="F36" s="97" t="s">
        <v>56</v>
      </c>
      <c r="G36" s="97" t="s">
        <v>319</v>
      </c>
      <c r="H36" s="97" t="s">
        <v>320</v>
      </c>
      <c r="I36" s="98" t="s">
        <v>57</v>
      </c>
      <c r="J36" s="99" t="s">
        <v>321</v>
      </c>
      <c r="K36" s="100" t="s">
        <v>322</v>
      </c>
      <c r="L36" s="104" t="s">
        <v>323</v>
      </c>
      <c r="M36" s="105" t="s">
        <v>18</v>
      </c>
      <c r="N36" s="105" t="s">
        <v>324</v>
      </c>
      <c r="O36" s="106" t="s">
        <v>353</v>
      </c>
      <c r="P36" s="106" t="s">
        <v>354</v>
      </c>
      <c r="Q36" s="82"/>
      <c r="R36" s="82"/>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row>
    <row r="37" spans="1:117" s="81" customFormat="1" x14ac:dyDescent="0.35">
      <c r="A37" s="96" t="s">
        <v>536</v>
      </c>
      <c r="B37" s="2" t="s">
        <v>54</v>
      </c>
      <c r="C37" s="2" t="s">
        <v>110</v>
      </c>
      <c r="D37" s="2" t="s">
        <v>21</v>
      </c>
      <c r="E37" s="2" t="s">
        <v>315</v>
      </c>
      <c r="F37" s="2"/>
      <c r="G37" s="2" t="s">
        <v>4</v>
      </c>
      <c r="H37" s="2" t="s">
        <v>325</v>
      </c>
      <c r="I37" s="2" t="s">
        <v>340</v>
      </c>
      <c r="J37" s="2"/>
      <c r="K37" s="2"/>
      <c r="L37" s="101"/>
      <c r="M37" s="2"/>
      <c r="N37" s="105" t="s">
        <v>326</v>
      </c>
      <c r="O37" s="106"/>
      <c r="P37" s="106"/>
      <c r="Q37" s="82"/>
      <c r="R37" s="82"/>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row>
    <row r="38" spans="1:117" s="81" customFormat="1" x14ac:dyDescent="0.35">
      <c r="A38" s="96"/>
      <c r="B38" s="2"/>
      <c r="C38" s="2" t="s">
        <v>100</v>
      </c>
      <c r="D38" s="2" t="s">
        <v>21</v>
      </c>
      <c r="E38" s="2" t="s">
        <v>315</v>
      </c>
      <c r="F38" s="2"/>
      <c r="G38" s="2" t="s">
        <v>4</v>
      </c>
      <c r="H38" s="2" t="s">
        <v>325</v>
      </c>
      <c r="I38" s="96" t="s">
        <v>342</v>
      </c>
      <c r="J38" s="2"/>
      <c r="K38" s="2"/>
      <c r="L38" s="101"/>
      <c r="M38" s="2"/>
      <c r="N38" s="105" t="s">
        <v>326</v>
      </c>
      <c r="O38" s="106"/>
      <c r="P38" s="106"/>
      <c r="Q38" s="82"/>
      <c r="R38" s="82"/>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row>
    <row r="39" spans="1:117" s="81" customFormat="1" x14ac:dyDescent="0.35">
      <c r="A39" s="2"/>
      <c r="B39" s="2"/>
      <c r="C39" s="2" t="s">
        <v>101</v>
      </c>
      <c r="D39" s="2" t="s">
        <v>21</v>
      </c>
      <c r="E39" s="2" t="s">
        <v>315</v>
      </c>
      <c r="F39" s="2"/>
      <c r="G39" s="2" t="s">
        <v>4</v>
      </c>
      <c r="H39" s="2" t="s">
        <v>325</v>
      </c>
      <c r="I39" s="96" t="s">
        <v>343</v>
      </c>
      <c r="J39" s="2"/>
      <c r="K39" s="2"/>
      <c r="L39" s="101"/>
      <c r="M39" s="2"/>
      <c r="N39" s="105" t="s">
        <v>328</v>
      </c>
      <c r="O39" s="106"/>
      <c r="P39" s="106"/>
      <c r="Q39" s="82"/>
      <c r="R39" s="82"/>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row>
    <row r="40" spans="1:117" s="81" customFormat="1" x14ac:dyDescent="0.35">
      <c r="A40" s="2"/>
      <c r="B40" s="2"/>
      <c r="C40" s="2" t="s">
        <v>102</v>
      </c>
      <c r="D40" s="2" t="s">
        <v>537</v>
      </c>
      <c r="E40" s="2" t="s">
        <v>315</v>
      </c>
      <c r="F40" s="2"/>
      <c r="G40" s="2" t="s">
        <v>4</v>
      </c>
      <c r="H40" s="2" t="s">
        <v>325</v>
      </c>
      <c r="I40" s="2" t="s">
        <v>344</v>
      </c>
      <c r="J40" s="2"/>
      <c r="K40" s="2"/>
      <c r="L40" s="101"/>
      <c r="M40" s="2"/>
      <c r="N40" s="105" t="s">
        <v>328</v>
      </c>
      <c r="O40" s="106"/>
      <c r="P40" s="106"/>
      <c r="Q40" s="82"/>
      <c r="R40" s="82"/>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row>
    <row r="41" spans="1:117" s="81" customFormat="1" x14ac:dyDescent="0.35">
      <c r="A41" s="2"/>
      <c r="B41" s="2"/>
      <c r="C41" s="2" t="s">
        <v>207</v>
      </c>
      <c r="D41" s="2" t="s">
        <v>537</v>
      </c>
      <c r="E41" s="2" t="s">
        <v>315</v>
      </c>
      <c r="F41" s="2"/>
      <c r="G41" s="2" t="s">
        <v>4</v>
      </c>
      <c r="H41" s="2" t="s">
        <v>325</v>
      </c>
      <c r="I41" s="96" t="s">
        <v>343</v>
      </c>
      <c r="J41" s="2"/>
      <c r="K41" s="2"/>
      <c r="L41" s="101"/>
      <c r="M41" s="2"/>
      <c r="N41" s="105" t="s">
        <v>328</v>
      </c>
      <c r="O41" s="106"/>
      <c r="P41" s="106"/>
      <c r="Q41" s="82"/>
      <c r="R41" s="82"/>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row>
    <row r="42" spans="1:117" s="81" customFormat="1" x14ac:dyDescent="0.35">
      <c r="A42" s="2"/>
      <c r="B42" s="2"/>
      <c r="C42" s="2" t="s">
        <v>103</v>
      </c>
      <c r="D42" s="2" t="s">
        <v>329</v>
      </c>
      <c r="E42" s="2" t="s">
        <v>315</v>
      </c>
      <c r="F42" s="2"/>
      <c r="G42" s="2" t="s">
        <v>4</v>
      </c>
      <c r="H42" s="2" t="s">
        <v>330</v>
      </c>
      <c r="I42" s="2" t="s">
        <v>345</v>
      </c>
      <c r="J42" s="2" t="s">
        <v>331</v>
      </c>
      <c r="K42" s="2">
        <v>0</v>
      </c>
      <c r="L42" s="101">
        <v>1000</v>
      </c>
      <c r="M42" s="2"/>
      <c r="N42" s="105" t="s">
        <v>326</v>
      </c>
      <c r="O42" s="106"/>
      <c r="P42" s="106"/>
      <c r="Q42" s="82"/>
      <c r="R42" s="82"/>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row>
    <row r="43" spans="1:117" s="81" customFormat="1" x14ac:dyDescent="0.35">
      <c r="A43" s="2"/>
      <c r="B43" s="2"/>
      <c r="C43" s="2"/>
      <c r="D43" s="2"/>
      <c r="E43" s="2"/>
      <c r="F43" s="2"/>
      <c r="G43" s="2"/>
      <c r="H43" s="2" t="s">
        <v>330</v>
      </c>
      <c r="I43" s="2" t="s">
        <v>346</v>
      </c>
      <c r="J43" s="2" t="s">
        <v>331</v>
      </c>
      <c r="K43" s="2">
        <v>1000</v>
      </c>
      <c r="L43" s="101">
        <v>5000</v>
      </c>
      <c r="M43" s="2"/>
      <c r="N43" s="105" t="s">
        <v>326</v>
      </c>
      <c r="O43" s="106"/>
      <c r="P43" s="106"/>
      <c r="Q43" s="82"/>
      <c r="R43" s="82"/>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row>
    <row r="44" spans="1:117" s="81" customFormat="1" x14ac:dyDescent="0.35">
      <c r="A44" s="2"/>
      <c r="B44" s="2"/>
      <c r="C44" s="2"/>
      <c r="D44" s="2"/>
      <c r="E44" s="2"/>
      <c r="F44" s="2"/>
      <c r="G44" s="2"/>
      <c r="H44" s="2" t="s">
        <v>330</v>
      </c>
      <c r="I44" s="2" t="s">
        <v>347</v>
      </c>
      <c r="J44" s="2" t="s">
        <v>331</v>
      </c>
      <c r="K44" s="2">
        <v>5000</v>
      </c>
      <c r="L44" s="101"/>
      <c r="M44" s="2"/>
      <c r="N44" s="105" t="s">
        <v>326</v>
      </c>
      <c r="O44" s="106"/>
      <c r="P44" s="106"/>
      <c r="Q44" s="82"/>
      <c r="R44" s="82"/>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row>
    <row r="45" spans="1:117" s="81" customFormat="1" x14ac:dyDescent="0.35">
      <c r="A45" s="2"/>
      <c r="B45" s="2"/>
      <c r="C45" s="2" t="s">
        <v>104</v>
      </c>
      <c r="D45" s="2" t="s">
        <v>332</v>
      </c>
      <c r="E45" s="2" t="s">
        <v>315</v>
      </c>
      <c r="F45" s="2"/>
      <c r="G45" s="2" t="s">
        <v>4</v>
      </c>
      <c r="H45" s="2" t="s">
        <v>330</v>
      </c>
      <c r="I45" s="2" t="s">
        <v>345</v>
      </c>
      <c r="J45" s="2" t="s">
        <v>331</v>
      </c>
      <c r="K45" s="2">
        <v>0</v>
      </c>
      <c r="L45" s="101">
        <v>1000</v>
      </c>
      <c r="M45" s="2"/>
      <c r="N45" s="105" t="s">
        <v>326</v>
      </c>
      <c r="O45" s="106"/>
      <c r="P45" s="106"/>
      <c r="Q45" s="82"/>
      <c r="R45" s="82"/>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row>
    <row r="46" spans="1:117" s="81" customFormat="1" x14ac:dyDescent="0.35">
      <c r="A46" s="2"/>
      <c r="B46" s="2"/>
      <c r="C46" s="2"/>
      <c r="D46" s="2"/>
      <c r="E46" s="2"/>
      <c r="F46" s="2"/>
      <c r="G46" s="2"/>
      <c r="H46" s="2" t="s">
        <v>330</v>
      </c>
      <c r="I46" s="2" t="s">
        <v>346</v>
      </c>
      <c r="J46" s="2" t="s">
        <v>331</v>
      </c>
      <c r="K46" s="2">
        <v>1000</v>
      </c>
      <c r="L46" s="101">
        <v>5000</v>
      </c>
      <c r="M46" s="2"/>
      <c r="N46" s="105" t="s">
        <v>326</v>
      </c>
      <c r="O46" s="106"/>
      <c r="P46" s="106"/>
      <c r="Q46" s="82"/>
      <c r="R46" s="82"/>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row>
    <row r="47" spans="1:117" s="81" customFormat="1" x14ac:dyDescent="0.35">
      <c r="A47" s="2"/>
      <c r="B47" s="2"/>
      <c r="C47" s="2"/>
      <c r="D47" s="2"/>
      <c r="E47" s="2"/>
      <c r="F47" s="2"/>
      <c r="G47" s="2"/>
      <c r="H47" s="2" t="s">
        <v>330</v>
      </c>
      <c r="I47" s="2" t="s">
        <v>347</v>
      </c>
      <c r="J47" s="2" t="s">
        <v>331</v>
      </c>
      <c r="K47" s="2">
        <v>5000</v>
      </c>
      <c r="L47" s="101"/>
      <c r="M47" s="2"/>
      <c r="N47" s="105" t="s">
        <v>326</v>
      </c>
      <c r="O47" s="106"/>
      <c r="P47" s="106"/>
      <c r="Q47" s="82"/>
      <c r="R47" s="82"/>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row>
    <row r="48" spans="1:117" s="81" customFormat="1" x14ac:dyDescent="0.35">
      <c r="A48" s="2"/>
      <c r="B48" s="2"/>
      <c r="C48" s="2" t="s">
        <v>105</v>
      </c>
      <c r="D48" s="2" t="s">
        <v>31</v>
      </c>
      <c r="E48" s="2"/>
      <c r="F48" s="2"/>
      <c r="G48" s="2"/>
      <c r="H48" s="2" t="s">
        <v>325</v>
      </c>
      <c r="I48" s="2" t="s">
        <v>518</v>
      </c>
      <c r="J48" s="2"/>
      <c r="K48" s="2"/>
      <c r="L48" s="101"/>
      <c r="M48" s="2"/>
      <c r="N48" s="105" t="s">
        <v>326</v>
      </c>
      <c r="O48" s="106"/>
      <c r="P48" s="106"/>
      <c r="Q48" s="82"/>
      <c r="R48" s="82"/>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row>
    <row r="49" spans="1:117" s="81" customFormat="1" x14ac:dyDescent="0.35">
      <c r="A49" s="2"/>
      <c r="B49" s="2"/>
      <c r="C49" s="2"/>
      <c r="D49" s="2"/>
      <c r="E49" s="2"/>
      <c r="F49" s="2"/>
      <c r="G49" s="2"/>
      <c r="H49" s="2" t="s">
        <v>333</v>
      </c>
      <c r="I49" s="2" t="s">
        <v>491</v>
      </c>
      <c r="J49" s="2" t="s">
        <v>331</v>
      </c>
      <c r="K49" s="2">
        <v>0</v>
      </c>
      <c r="L49" s="101">
        <v>1000</v>
      </c>
      <c r="M49" s="2"/>
      <c r="N49" s="105" t="s">
        <v>326</v>
      </c>
      <c r="O49" s="106"/>
      <c r="P49" s="106"/>
      <c r="Q49" s="82"/>
      <c r="R49" s="82"/>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row>
    <row r="50" spans="1:117" s="81" customFormat="1" x14ac:dyDescent="0.35">
      <c r="A50" s="2"/>
      <c r="B50" s="2"/>
      <c r="C50" s="2"/>
      <c r="D50" s="2"/>
      <c r="E50" s="2"/>
      <c r="F50" s="2"/>
      <c r="G50" s="2"/>
      <c r="H50" s="2" t="s">
        <v>333</v>
      </c>
      <c r="I50" s="2">
        <v>8</v>
      </c>
      <c r="J50" s="2" t="s">
        <v>331</v>
      </c>
      <c r="K50" s="2">
        <v>1000</v>
      </c>
      <c r="L50" s="101">
        <v>5000</v>
      </c>
      <c r="M50" s="2"/>
      <c r="N50" s="105" t="s">
        <v>326</v>
      </c>
      <c r="O50" s="106"/>
      <c r="P50" s="106"/>
      <c r="Q50" s="82"/>
      <c r="R50" s="82"/>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row>
    <row r="51" spans="1:117" s="81" customFormat="1" x14ac:dyDescent="0.35">
      <c r="A51" s="2"/>
      <c r="B51" s="2"/>
      <c r="C51" s="2"/>
      <c r="D51" s="2"/>
      <c r="E51" s="2"/>
      <c r="F51" s="2"/>
      <c r="G51" s="2"/>
      <c r="H51" s="2" t="s">
        <v>333</v>
      </c>
      <c r="I51" s="2" t="s">
        <v>538</v>
      </c>
      <c r="J51" s="2" t="s">
        <v>331</v>
      </c>
      <c r="K51" s="2">
        <v>5000</v>
      </c>
      <c r="L51" s="101"/>
      <c r="M51" s="2"/>
      <c r="N51" s="105" t="s">
        <v>326</v>
      </c>
      <c r="O51" s="106"/>
      <c r="P51" s="106"/>
      <c r="Q51" s="82"/>
      <c r="R51" s="82"/>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row>
    <row r="52" spans="1:117" s="81" customFormat="1" x14ac:dyDescent="0.35">
      <c r="A52" s="2"/>
      <c r="B52" s="2"/>
      <c r="C52" s="2"/>
      <c r="D52" s="2"/>
      <c r="E52" s="2"/>
      <c r="F52" s="2"/>
      <c r="G52" s="2"/>
      <c r="H52" s="2" t="s">
        <v>330</v>
      </c>
      <c r="I52" s="2">
        <v>5</v>
      </c>
      <c r="J52" s="2" t="s">
        <v>331</v>
      </c>
      <c r="K52" s="2">
        <v>0</v>
      </c>
      <c r="L52" s="101">
        <v>1000</v>
      </c>
      <c r="M52" s="2"/>
      <c r="N52" s="105" t="s">
        <v>326</v>
      </c>
      <c r="O52" s="106"/>
      <c r="P52" s="106"/>
      <c r="Q52" s="82"/>
      <c r="R52" s="82"/>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row>
    <row r="53" spans="1:117" s="81" customFormat="1" x14ac:dyDescent="0.35">
      <c r="A53" s="2"/>
      <c r="B53" s="2"/>
      <c r="C53" s="2"/>
      <c r="D53" s="2"/>
      <c r="E53" s="2"/>
      <c r="F53" s="2"/>
      <c r="G53" s="2"/>
      <c r="H53" s="2" t="s">
        <v>330</v>
      </c>
      <c r="I53" s="2">
        <v>4</v>
      </c>
      <c r="J53" s="2" t="s">
        <v>331</v>
      </c>
      <c r="K53" s="2">
        <v>1000</v>
      </c>
      <c r="L53" s="101">
        <v>5000</v>
      </c>
      <c r="M53" s="2"/>
      <c r="N53" s="105" t="s">
        <v>326</v>
      </c>
      <c r="O53" s="106"/>
      <c r="P53" s="106"/>
      <c r="Q53" s="82"/>
      <c r="R53" s="82"/>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row>
    <row r="54" spans="1:117" s="81" customFormat="1" x14ac:dyDescent="0.35">
      <c r="A54" s="2"/>
      <c r="B54" s="2"/>
      <c r="C54" s="2" t="s">
        <v>106</v>
      </c>
      <c r="D54" s="2" t="s">
        <v>25</v>
      </c>
      <c r="E54" s="2" t="s">
        <v>315</v>
      </c>
      <c r="F54" s="2"/>
      <c r="G54" s="2" t="s">
        <v>4</v>
      </c>
      <c r="H54" s="2" t="s">
        <v>325</v>
      </c>
      <c r="I54" s="96" t="s">
        <v>348</v>
      </c>
      <c r="J54" s="2"/>
      <c r="K54" s="2"/>
      <c r="L54" s="101"/>
      <c r="M54" s="2"/>
      <c r="N54" s="105" t="s">
        <v>326</v>
      </c>
      <c r="O54" s="106"/>
      <c r="P54" s="106"/>
      <c r="Q54" s="82"/>
      <c r="R54" s="82"/>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row>
    <row r="55" spans="1:117" s="81" customFormat="1" x14ac:dyDescent="0.35">
      <c r="A55" s="2"/>
      <c r="B55" s="2"/>
      <c r="C55" s="2" t="s">
        <v>107</v>
      </c>
      <c r="D55" s="2" t="s">
        <v>21</v>
      </c>
      <c r="E55" s="2" t="s">
        <v>315</v>
      </c>
      <c r="F55" s="2"/>
      <c r="G55" s="2" t="s">
        <v>4</v>
      </c>
      <c r="H55" s="2" t="s">
        <v>325</v>
      </c>
      <c r="I55" s="96" t="s">
        <v>349</v>
      </c>
      <c r="J55" s="2"/>
      <c r="K55" s="2"/>
      <c r="L55" s="101"/>
      <c r="M55" s="2"/>
      <c r="N55" s="105" t="s">
        <v>326</v>
      </c>
      <c r="O55" s="106" t="s">
        <v>51</v>
      </c>
      <c r="P55" s="106"/>
      <c r="Q55" s="82"/>
      <c r="R55" s="82"/>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row>
    <row r="56" spans="1:117" s="81" customFormat="1" x14ac:dyDescent="0.35">
      <c r="A56" s="2"/>
      <c r="B56" s="2"/>
      <c r="C56" s="2" t="s">
        <v>107</v>
      </c>
      <c r="D56" s="2" t="s">
        <v>21</v>
      </c>
      <c r="E56" s="2" t="s">
        <v>315</v>
      </c>
      <c r="F56" s="2"/>
      <c r="G56" s="2" t="s">
        <v>4</v>
      </c>
      <c r="H56" s="2" t="s">
        <v>325</v>
      </c>
      <c r="I56" s="2" t="s">
        <v>350</v>
      </c>
      <c r="J56" s="2"/>
      <c r="K56" s="2"/>
      <c r="L56" s="101"/>
      <c r="M56" s="2"/>
      <c r="N56" s="105" t="s">
        <v>326</v>
      </c>
      <c r="O56" s="106" t="s">
        <v>4</v>
      </c>
      <c r="P56" s="106"/>
      <c r="Q56" s="82"/>
      <c r="R56" s="82"/>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row>
    <row r="57" spans="1:117" s="81" customFormat="1" x14ac:dyDescent="0.35">
      <c r="A57" s="2"/>
      <c r="B57" s="2"/>
      <c r="C57" s="2" t="s">
        <v>107</v>
      </c>
      <c r="D57" s="2" t="s">
        <v>21</v>
      </c>
      <c r="E57" s="2" t="s">
        <v>315</v>
      </c>
      <c r="F57" s="2"/>
      <c r="G57" s="2" t="s">
        <v>4</v>
      </c>
      <c r="H57" s="2" t="s">
        <v>325</v>
      </c>
      <c r="I57" s="96" t="s">
        <v>351</v>
      </c>
      <c r="J57" s="2"/>
      <c r="K57" s="2"/>
      <c r="L57" s="101"/>
      <c r="M57" s="2"/>
      <c r="N57" s="105" t="s">
        <v>326</v>
      </c>
      <c r="O57" s="106" t="s">
        <v>51</v>
      </c>
      <c r="P57" s="106" t="s">
        <v>53</v>
      </c>
      <c r="Q57" s="82"/>
      <c r="R57" s="82"/>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row>
    <row r="58" spans="1:117" s="81" customFormat="1" x14ac:dyDescent="0.35">
      <c r="A58" s="2"/>
      <c r="B58" s="2"/>
      <c r="C58" s="2" t="s">
        <v>107</v>
      </c>
      <c r="D58" s="2" t="s">
        <v>21</v>
      </c>
      <c r="E58" s="2" t="s">
        <v>315</v>
      </c>
      <c r="F58" s="2"/>
      <c r="G58" s="2" t="s">
        <v>4</v>
      </c>
      <c r="H58" s="2" t="s">
        <v>325</v>
      </c>
      <c r="I58" s="96" t="s">
        <v>352</v>
      </c>
      <c r="J58" s="2"/>
      <c r="K58" s="2"/>
      <c r="L58" s="101"/>
      <c r="M58" s="2"/>
      <c r="N58" s="105" t="s">
        <v>326</v>
      </c>
      <c r="O58" s="106"/>
      <c r="P58" s="106"/>
      <c r="Q58" s="82"/>
      <c r="R58" s="82"/>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row>
    <row r="59" spans="1:117" s="81" customFormat="1" x14ac:dyDescent="0.35">
      <c r="A59" s="2"/>
      <c r="B59" s="2"/>
      <c r="C59" s="2" t="s">
        <v>108</v>
      </c>
      <c r="D59" s="2" t="s">
        <v>21</v>
      </c>
      <c r="E59" s="2" t="s">
        <v>315</v>
      </c>
      <c r="F59" s="2"/>
      <c r="G59" s="2" t="s">
        <v>4</v>
      </c>
      <c r="H59" s="2" t="s">
        <v>325</v>
      </c>
      <c r="I59" s="96" t="s">
        <v>355</v>
      </c>
      <c r="J59" s="2"/>
      <c r="K59" s="2"/>
      <c r="L59" s="101"/>
      <c r="M59" s="2"/>
      <c r="N59" s="105" t="s">
        <v>326</v>
      </c>
      <c r="O59" s="106"/>
      <c r="P59" s="106"/>
      <c r="Q59" s="82"/>
      <c r="R59" s="82"/>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row>
    <row r="60" spans="1:117" s="81" customFormat="1" x14ac:dyDescent="0.35">
      <c r="A60" s="2"/>
      <c r="B60" s="2"/>
      <c r="C60" s="2" t="s">
        <v>109</v>
      </c>
      <c r="D60" s="2" t="s">
        <v>21</v>
      </c>
      <c r="E60" s="2" t="s">
        <v>315</v>
      </c>
      <c r="F60" s="2"/>
      <c r="G60" s="2" t="s">
        <v>4</v>
      </c>
      <c r="H60" s="2" t="s">
        <v>325</v>
      </c>
      <c r="I60" s="2" t="s">
        <v>356</v>
      </c>
      <c r="J60" s="2"/>
      <c r="K60" s="2"/>
      <c r="L60" s="101"/>
      <c r="M60" s="2"/>
      <c r="N60" s="105" t="s">
        <v>326</v>
      </c>
      <c r="O60" s="106"/>
      <c r="P60" s="106"/>
      <c r="Q60" s="82"/>
      <c r="R60" s="82"/>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row>
    <row r="61" spans="1:117" s="81" customFormat="1" x14ac:dyDescent="0.35">
      <c r="A61" s="2"/>
      <c r="B61" s="2"/>
      <c r="C61" s="2" t="s">
        <v>111</v>
      </c>
      <c r="D61" s="2" t="s">
        <v>21</v>
      </c>
      <c r="E61" s="2" t="s">
        <v>315</v>
      </c>
      <c r="F61" s="2"/>
      <c r="G61" s="2" t="s">
        <v>4</v>
      </c>
      <c r="H61" s="2" t="s">
        <v>325</v>
      </c>
      <c r="I61" s="2">
        <v>15</v>
      </c>
      <c r="J61" s="2"/>
      <c r="K61" s="2"/>
      <c r="L61" s="101"/>
      <c r="M61" s="2"/>
      <c r="N61" s="105" t="s">
        <v>326</v>
      </c>
      <c r="O61" s="106"/>
      <c r="P61" s="106"/>
      <c r="Q61" s="82"/>
      <c r="R61" s="82"/>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row>
    <row r="62" spans="1:117" ht="18.5" x14ac:dyDescent="0.35">
      <c r="A62" s="274" t="s">
        <v>334</v>
      </c>
      <c r="B62" s="275"/>
      <c r="C62" s="275"/>
      <c r="D62" s="276"/>
    </row>
    <row r="63" spans="1:117" ht="15.5" x14ac:dyDescent="0.35">
      <c r="A63" s="91" t="s">
        <v>310</v>
      </c>
      <c r="B63" s="91" t="s">
        <v>311</v>
      </c>
      <c r="C63" s="92" t="s">
        <v>335</v>
      </c>
      <c r="D63" s="91" t="s">
        <v>336</v>
      </c>
      <c r="E63" s="88" t="s">
        <v>55</v>
      </c>
    </row>
    <row r="64" spans="1:117" x14ac:dyDescent="0.35">
      <c r="A64" s="2"/>
      <c r="B64" s="2" t="s">
        <v>314</v>
      </c>
      <c r="C64" s="4"/>
      <c r="D64" s="2"/>
      <c r="E64" s="2" t="s">
        <v>315</v>
      </c>
    </row>
    <row r="65" spans="1:11" x14ac:dyDescent="0.35">
      <c r="A65" s="96"/>
      <c r="B65" s="2" t="s">
        <v>54</v>
      </c>
      <c r="C65" s="4" t="s">
        <v>87</v>
      </c>
      <c r="D65" s="2" t="s">
        <v>58</v>
      </c>
      <c r="E65" s="2" t="s">
        <v>315</v>
      </c>
    </row>
    <row r="67" spans="1:11" ht="18.5" x14ac:dyDescent="0.35">
      <c r="A67" s="274" t="s">
        <v>337</v>
      </c>
      <c r="B67" s="275"/>
      <c r="C67" s="275"/>
      <c r="D67" s="276"/>
    </row>
    <row r="68" spans="1:11" ht="15.5" x14ac:dyDescent="0.35">
      <c r="A68" s="91" t="s">
        <v>336</v>
      </c>
      <c r="B68" s="92" t="s">
        <v>335</v>
      </c>
      <c r="C68" s="92" t="s">
        <v>59</v>
      </c>
      <c r="D68" s="91" t="s">
        <v>338</v>
      </c>
      <c r="E68" s="91" t="s">
        <v>57</v>
      </c>
      <c r="F68" s="5" t="s">
        <v>18</v>
      </c>
      <c r="G68" s="5"/>
    </row>
    <row r="69" spans="1:11" x14ac:dyDescent="0.35">
      <c r="A69" s="2" t="s">
        <v>58</v>
      </c>
      <c r="B69" s="4" t="s">
        <v>87</v>
      </c>
      <c r="C69" s="2" t="s">
        <v>100</v>
      </c>
      <c r="D69" s="2" t="s">
        <v>21</v>
      </c>
      <c r="E69" s="2" t="s">
        <v>357</v>
      </c>
      <c r="F69" s="2" t="s">
        <v>22</v>
      </c>
      <c r="G69" s="2"/>
    </row>
    <row r="70" spans="1:11" x14ac:dyDescent="0.35">
      <c r="A70" s="2" t="s">
        <v>58</v>
      </c>
      <c r="B70" s="4" t="s">
        <v>87</v>
      </c>
      <c r="C70" s="2" t="s">
        <v>101</v>
      </c>
      <c r="D70" s="2" t="s">
        <v>21</v>
      </c>
      <c r="E70" s="2" t="s">
        <v>121</v>
      </c>
      <c r="F70" s="2" t="s">
        <v>22</v>
      </c>
      <c r="G70" s="2"/>
    </row>
    <row r="71" spans="1:11" x14ac:dyDescent="0.35">
      <c r="A71" s="101"/>
      <c r="B71" s="102"/>
      <c r="C71" s="103"/>
      <c r="D71" s="103"/>
      <c r="E71" s="103"/>
      <c r="F71" s="103"/>
      <c r="G71" s="103"/>
    </row>
    <row r="72" spans="1:11" ht="18.5" x14ac:dyDescent="0.35">
      <c r="A72" s="274" t="s">
        <v>76</v>
      </c>
      <c r="B72" s="275"/>
      <c r="C72" s="275"/>
      <c r="D72" s="275"/>
      <c r="E72" s="275"/>
      <c r="F72" s="275"/>
      <c r="G72" s="275"/>
      <c r="H72" s="275"/>
      <c r="I72" s="276"/>
    </row>
    <row r="73" spans="1:11" ht="15.5" x14ac:dyDescent="0.35">
      <c r="A73" s="5" t="s">
        <v>1</v>
      </c>
      <c r="B73" s="5" t="s">
        <v>2</v>
      </c>
      <c r="C73" s="5" t="s">
        <v>113</v>
      </c>
      <c r="D73" s="5" t="s">
        <v>60</v>
      </c>
      <c r="E73" s="5" t="s">
        <v>59</v>
      </c>
      <c r="F73" s="5" t="s">
        <v>61</v>
      </c>
      <c r="G73" s="5" t="s">
        <v>62</v>
      </c>
      <c r="H73" s="10" t="s">
        <v>11</v>
      </c>
      <c r="I73" s="5" t="s">
        <v>63</v>
      </c>
      <c r="J73" s="5" t="s">
        <v>64</v>
      </c>
      <c r="K73" s="5" t="s">
        <v>65</v>
      </c>
    </row>
    <row r="74" spans="1:11" x14ac:dyDescent="0.35">
      <c r="A74" s="4" t="str">
        <f>C4</f>
        <v>ABC_Cust1Auto,IND</v>
      </c>
      <c r="B74" s="8" t="s">
        <v>534</v>
      </c>
      <c r="C74" s="3" t="s">
        <v>88</v>
      </c>
      <c r="D74" s="7">
        <v>7757771999</v>
      </c>
      <c r="E74" s="2" t="s">
        <v>100</v>
      </c>
      <c r="F74" s="11">
        <v>44317</v>
      </c>
      <c r="G74" s="11">
        <v>44347</v>
      </c>
      <c r="H74" s="3" t="s">
        <v>112</v>
      </c>
      <c r="I74" s="3" t="s">
        <v>22</v>
      </c>
      <c r="J74" s="3">
        <v>2000</v>
      </c>
      <c r="K74" s="12">
        <v>775874635994</v>
      </c>
    </row>
    <row r="75" spans="1:11" x14ac:dyDescent="0.35">
      <c r="A75" s="4" t="str">
        <f>C4</f>
        <v>ABC_Cust1Auto,IND</v>
      </c>
      <c r="B75" s="8" t="s">
        <v>534</v>
      </c>
      <c r="C75" s="3" t="s">
        <v>88</v>
      </c>
      <c r="D75" s="7">
        <v>7757771999</v>
      </c>
      <c r="E75" s="2" t="s">
        <v>103</v>
      </c>
      <c r="F75" s="11">
        <v>44317</v>
      </c>
      <c r="G75" s="11">
        <v>44347</v>
      </c>
      <c r="H75" s="3" t="s">
        <v>114</v>
      </c>
      <c r="I75" s="3" t="s">
        <v>22</v>
      </c>
      <c r="J75" s="3">
        <v>3000</v>
      </c>
      <c r="K75" s="12">
        <v>775823037697</v>
      </c>
    </row>
    <row r="76" spans="1:11" x14ac:dyDescent="0.35">
      <c r="A76" s="4" t="str">
        <f>C4</f>
        <v>ABC_Cust1Auto,IND</v>
      </c>
      <c r="B76" s="8" t="s">
        <v>534</v>
      </c>
      <c r="C76" s="3" t="s">
        <v>88</v>
      </c>
      <c r="D76" s="7">
        <v>7757771999</v>
      </c>
      <c r="E76" s="2" t="s">
        <v>104</v>
      </c>
      <c r="F76" s="11">
        <v>44317</v>
      </c>
      <c r="G76" s="11">
        <v>44347</v>
      </c>
      <c r="H76" s="3" t="s">
        <v>115</v>
      </c>
      <c r="I76" s="3" t="s">
        <v>22</v>
      </c>
      <c r="J76" s="3">
        <v>4000</v>
      </c>
      <c r="K76" s="12">
        <v>775600634914</v>
      </c>
    </row>
    <row r="77" spans="1:11" x14ac:dyDescent="0.35">
      <c r="A77" s="4" t="str">
        <f>C4</f>
        <v>ABC_Cust1Auto,IND</v>
      </c>
      <c r="B77" s="8" t="s">
        <v>534</v>
      </c>
      <c r="C77" s="3" t="s">
        <v>88</v>
      </c>
      <c r="D77" s="7">
        <v>7757771999</v>
      </c>
      <c r="E77" s="2" t="s">
        <v>105</v>
      </c>
      <c r="F77" s="11">
        <v>44317</v>
      </c>
      <c r="G77" s="11">
        <v>44347</v>
      </c>
      <c r="H77" s="3" t="s">
        <v>116</v>
      </c>
      <c r="I77" s="3" t="s">
        <v>22</v>
      </c>
      <c r="J77" s="3">
        <v>5000</v>
      </c>
      <c r="K77" s="12">
        <v>775237970349</v>
      </c>
    </row>
    <row r="78" spans="1:11" x14ac:dyDescent="0.35">
      <c r="A78" s="4" t="str">
        <f>C4</f>
        <v>ABC_Cust1Auto,IND</v>
      </c>
      <c r="B78" s="8" t="s">
        <v>535</v>
      </c>
      <c r="C78" s="3" t="s">
        <v>89</v>
      </c>
      <c r="D78" s="7">
        <v>7598168119</v>
      </c>
      <c r="E78" s="2" t="s">
        <v>100</v>
      </c>
      <c r="F78" s="11">
        <v>44317</v>
      </c>
      <c r="G78" s="11">
        <v>44347</v>
      </c>
      <c r="H78" s="3" t="s">
        <v>112</v>
      </c>
      <c r="I78" s="3" t="s">
        <v>22</v>
      </c>
      <c r="J78" s="3">
        <v>2000</v>
      </c>
      <c r="K78" s="12">
        <v>759369453783</v>
      </c>
    </row>
    <row r="79" spans="1:11" x14ac:dyDescent="0.35">
      <c r="A79" s="4" t="str">
        <f>C4</f>
        <v>ABC_Cust1Auto,IND</v>
      </c>
      <c r="B79" s="8" t="s">
        <v>535</v>
      </c>
      <c r="C79" s="3" t="s">
        <v>89</v>
      </c>
      <c r="D79" s="7">
        <v>7598168119</v>
      </c>
      <c r="E79" s="2" t="s">
        <v>103</v>
      </c>
      <c r="F79" s="11">
        <v>44317</v>
      </c>
      <c r="G79" s="11">
        <v>44347</v>
      </c>
      <c r="H79" s="3" t="s">
        <v>114</v>
      </c>
      <c r="I79" s="3" t="s">
        <v>22</v>
      </c>
      <c r="J79" s="3">
        <v>3000</v>
      </c>
      <c r="K79" s="12">
        <v>759821894240</v>
      </c>
    </row>
    <row r="80" spans="1:11" x14ac:dyDescent="0.35">
      <c r="A80" s="4" t="str">
        <f>C4</f>
        <v>ABC_Cust1Auto,IND</v>
      </c>
      <c r="B80" s="8" t="s">
        <v>535</v>
      </c>
      <c r="C80" s="3" t="s">
        <v>89</v>
      </c>
      <c r="D80" s="7">
        <v>7598168119</v>
      </c>
      <c r="E80" s="2" t="s">
        <v>104</v>
      </c>
      <c r="F80" s="11">
        <v>44317</v>
      </c>
      <c r="G80" s="11">
        <v>44347</v>
      </c>
      <c r="H80" s="3" t="s">
        <v>115</v>
      </c>
      <c r="I80" s="3" t="s">
        <v>22</v>
      </c>
      <c r="J80" s="3">
        <v>4000</v>
      </c>
      <c r="K80" s="12">
        <v>759157724729</v>
      </c>
    </row>
    <row r="81" spans="1:11" x14ac:dyDescent="0.35">
      <c r="A81" s="4" t="str">
        <f>C4</f>
        <v>ABC_Cust1Auto,IND</v>
      </c>
      <c r="B81" s="8" t="s">
        <v>535</v>
      </c>
      <c r="C81" s="3" t="s">
        <v>89</v>
      </c>
      <c r="D81" s="7">
        <v>7598168119</v>
      </c>
      <c r="E81" s="2" t="s">
        <v>105</v>
      </c>
      <c r="F81" s="11">
        <v>44317</v>
      </c>
      <c r="G81" s="11">
        <v>44347</v>
      </c>
      <c r="H81" s="3" t="s">
        <v>116</v>
      </c>
      <c r="I81" s="3" t="s">
        <v>22</v>
      </c>
      <c r="J81" s="3">
        <v>5000</v>
      </c>
      <c r="K81" s="12">
        <v>759824396469</v>
      </c>
    </row>
    <row r="82" spans="1:11" ht="18.5" x14ac:dyDescent="0.35">
      <c r="A82" s="274" t="s">
        <v>126</v>
      </c>
      <c r="B82" s="275"/>
      <c r="C82" s="275"/>
      <c r="D82" s="275"/>
      <c r="E82" s="275"/>
      <c r="F82" s="275"/>
      <c r="G82" s="275"/>
      <c r="H82" s="275"/>
      <c r="I82" s="276"/>
    </row>
    <row r="83" spans="1:11" x14ac:dyDescent="0.35">
      <c r="A83" s="4" t="str">
        <f>C4</f>
        <v>ABC_Cust1Auto,IND</v>
      </c>
      <c r="B83" s="8" t="s">
        <v>534</v>
      </c>
      <c r="C83" s="3" t="s">
        <v>88</v>
      </c>
      <c r="D83" s="7">
        <v>7757771999</v>
      </c>
      <c r="E83" s="2" t="s">
        <v>100</v>
      </c>
      <c r="F83" s="11">
        <v>44287</v>
      </c>
      <c r="G83" s="11">
        <v>44316</v>
      </c>
      <c r="H83" s="3" t="s">
        <v>112</v>
      </c>
      <c r="I83" s="3" t="s">
        <v>22</v>
      </c>
      <c r="J83" s="3">
        <v>2000</v>
      </c>
      <c r="K83" s="12">
        <v>775862628252</v>
      </c>
    </row>
    <row r="84" spans="1:11" x14ac:dyDescent="0.35">
      <c r="A84" s="4" t="str">
        <f>C4</f>
        <v>ABC_Cust1Auto,IND</v>
      </c>
      <c r="B84" s="8" t="s">
        <v>534</v>
      </c>
      <c r="C84" s="3" t="s">
        <v>88</v>
      </c>
      <c r="D84" s="7">
        <v>7757771999</v>
      </c>
      <c r="E84" s="2" t="s">
        <v>103</v>
      </c>
      <c r="F84" s="11">
        <v>44287</v>
      </c>
      <c r="G84" s="11">
        <v>44316</v>
      </c>
      <c r="H84" s="3" t="s">
        <v>114</v>
      </c>
      <c r="I84" s="3" t="s">
        <v>22</v>
      </c>
      <c r="J84" s="3">
        <v>3000</v>
      </c>
      <c r="K84" s="12">
        <v>775486816106</v>
      </c>
    </row>
    <row r="85" spans="1:11" x14ac:dyDescent="0.35">
      <c r="A85" s="4" t="str">
        <f>C4</f>
        <v>ABC_Cust1Auto,IND</v>
      </c>
      <c r="B85" s="8" t="s">
        <v>534</v>
      </c>
      <c r="C85" s="3" t="s">
        <v>88</v>
      </c>
      <c r="D85" s="7">
        <v>7757771999</v>
      </c>
      <c r="E85" s="2" t="s">
        <v>104</v>
      </c>
      <c r="F85" s="11">
        <v>44287</v>
      </c>
      <c r="G85" s="11">
        <v>44316</v>
      </c>
      <c r="H85" s="3" t="s">
        <v>115</v>
      </c>
      <c r="I85" s="3" t="s">
        <v>22</v>
      </c>
      <c r="J85" s="3">
        <v>4000</v>
      </c>
      <c r="K85" s="12">
        <v>775964171074</v>
      </c>
    </row>
    <row r="86" spans="1:11" x14ac:dyDescent="0.35">
      <c r="A86" s="4" t="str">
        <f>C4</f>
        <v>ABC_Cust1Auto,IND</v>
      </c>
      <c r="B86" s="8" t="s">
        <v>534</v>
      </c>
      <c r="C86" s="3" t="s">
        <v>88</v>
      </c>
      <c r="D86" s="7">
        <v>7757771999</v>
      </c>
      <c r="E86" s="2" t="s">
        <v>105</v>
      </c>
      <c r="F86" s="11">
        <v>44287</v>
      </c>
      <c r="G86" s="11">
        <v>44316</v>
      </c>
      <c r="H86" s="3" t="s">
        <v>116</v>
      </c>
      <c r="I86" s="3" t="s">
        <v>22</v>
      </c>
      <c r="J86" s="3">
        <v>5000</v>
      </c>
      <c r="K86" s="12">
        <v>775095050266</v>
      </c>
    </row>
    <row r="87" spans="1:11" x14ac:dyDescent="0.35">
      <c r="A87" s="4" t="str">
        <f>C4</f>
        <v>ABC_Cust1Auto,IND</v>
      </c>
      <c r="B87" s="8" t="s">
        <v>535</v>
      </c>
      <c r="C87" s="3" t="s">
        <v>89</v>
      </c>
      <c r="D87" s="7">
        <v>7598168119</v>
      </c>
      <c r="E87" s="2" t="s">
        <v>100</v>
      </c>
      <c r="F87" s="11">
        <v>44287</v>
      </c>
      <c r="G87" s="11">
        <v>44316</v>
      </c>
      <c r="H87" s="3" t="s">
        <v>112</v>
      </c>
      <c r="I87" s="3" t="s">
        <v>22</v>
      </c>
      <c r="J87" s="3">
        <v>2000</v>
      </c>
      <c r="K87" s="12">
        <v>759465750343</v>
      </c>
    </row>
    <row r="88" spans="1:11" x14ac:dyDescent="0.35">
      <c r="A88" s="4" t="str">
        <f>C4</f>
        <v>ABC_Cust1Auto,IND</v>
      </c>
      <c r="B88" s="8" t="s">
        <v>535</v>
      </c>
      <c r="C88" s="3" t="s">
        <v>89</v>
      </c>
      <c r="D88" s="7">
        <v>7598168119</v>
      </c>
      <c r="E88" s="2" t="s">
        <v>103</v>
      </c>
      <c r="F88" s="11">
        <v>44287</v>
      </c>
      <c r="G88" s="11">
        <v>44316</v>
      </c>
      <c r="H88" s="3" t="s">
        <v>114</v>
      </c>
      <c r="I88" s="3" t="s">
        <v>22</v>
      </c>
      <c r="J88" s="3">
        <v>3000</v>
      </c>
      <c r="K88" s="12">
        <v>759013247640</v>
      </c>
    </row>
    <row r="89" spans="1:11" x14ac:dyDescent="0.35">
      <c r="A89" s="4" t="str">
        <f>C4</f>
        <v>ABC_Cust1Auto,IND</v>
      </c>
      <c r="B89" s="8" t="s">
        <v>535</v>
      </c>
      <c r="C89" s="3" t="s">
        <v>89</v>
      </c>
      <c r="D89" s="7">
        <v>7598168119</v>
      </c>
      <c r="E89" s="2" t="s">
        <v>104</v>
      </c>
      <c r="F89" s="11">
        <v>44287</v>
      </c>
      <c r="G89" s="11">
        <v>44316</v>
      </c>
      <c r="H89" s="3" t="s">
        <v>115</v>
      </c>
      <c r="I89" s="3" t="s">
        <v>22</v>
      </c>
      <c r="J89" s="3">
        <v>4000</v>
      </c>
      <c r="K89" s="12">
        <v>759406984659</v>
      </c>
    </row>
    <row r="90" spans="1:11" x14ac:dyDescent="0.35">
      <c r="A90" s="4" t="str">
        <f>C4</f>
        <v>ABC_Cust1Auto,IND</v>
      </c>
      <c r="B90" s="8" t="s">
        <v>535</v>
      </c>
      <c r="C90" s="3" t="s">
        <v>89</v>
      </c>
      <c r="D90" s="7">
        <v>7598168119</v>
      </c>
      <c r="E90" s="2" t="s">
        <v>105</v>
      </c>
      <c r="F90" s="11">
        <v>44287</v>
      </c>
      <c r="G90" s="11">
        <v>44316</v>
      </c>
      <c r="H90" s="3" t="s">
        <v>116</v>
      </c>
      <c r="I90" s="3" t="s">
        <v>22</v>
      </c>
      <c r="J90" s="3">
        <v>5000</v>
      </c>
      <c r="K90" s="12">
        <v>759927948460</v>
      </c>
    </row>
    <row r="94" spans="1:11" ht="50.5" customHeight="1" x14ac:dyDescent="0.35">
      <c r="A94" s="280" t="s">
        <v>127</v>
      </c>
      <c r="B94" s="280"/>
      <c r="C94" s="280"/>
      <c r="D94" s="280"/>
      <c r="E94" s="280"/>
      <c r="F94" s="280"/>
      <c r="G94" s="280"/>
      <c r="H94" s="280"/>
      <c r="I94" s="280"/>
      <c r="J94" s="280"/>
      <c r="K94" s="280"/>
    </row>
    <row r="96" spans="1:11" ht="16.75" customHeight="1" x14ac:dyDescent="0.35">
      <c r="A96" s="281" t="s">
        <v>122</v>
      </c>
      <c r="B96" s="281"/>
      <c r="C96" s="281"/>
      <c r="D96" s="281"/>
    </row>
    <row r="97" spans="1:18" x14ac:dyDescent="0.35">
      <c r="A97" s="24" t="s">
        <v>123</v>
      </c>
      <c r="B97" s="24" t="s">
        <v>124</v>
      </c>
      <c r="C97" s="24" t="s">
        <v>0</v>
      </c>
      <c r="D97" s="24" t="s">
        <v>125</v>
      </c>
    </row>
    <row r="98" spans="1:18" x14ac:dyDescent="0.35">
      <c r="A98" s="3" t="s">
        <v>128</v>
      </c>
      <c r="B98" s="20" t="str">
        <f>A4</f>
        <v>3077354705</v>
      </c>
      <c r="C98" s="216" t="str">
        <f>B4</f>
        <v>INDIA DIVISION</v>
      </c>
      <c r="D98" s="3" t="str">
        <f>C4</f>
        <v>ABC_Cust1Auto,IND</v>
      </c>
    </row>
    <row r="100" spans="1:18" x14ac:dyDescent="0.35">
      <c r="A100" s="249" t="s">
        <v>129</v>
      </c>
      <c r="B100" s="250"/>
      <c r="C100" s="250"/>
      <c r="D100" s="250"/>
      <c r="E100" s="250"/>
      <c r="F100" s="250"/>
      <c r="G100" s="250"/>
      <c r="H100" s="250"/>
      <c r="I100" s="250"/>
      <c r="J100" s="250"/>
      <c r="K100" s="250"/>
      <c r="L100" s="250"/>
      <c r="M100" s="250"/>
      <c r="N100" s="250"/>
      <c r="O100" s="250"/>
      <c r="P100" s="250"/>
      <c r="Q100" s="250"/>
      <c r="R100" s="250"/>
    </row>
    <row r="101" spans="1:18" x14ac:dyDescent="0.35">
      <c r="A101" s="24" t="s">
        <v>130</v>
      </c>
      <c r="B101" s="24" t="s">
        <v>131</v>
      </c>
      <c r="C101" s="24" t="s">
        <v>132</v>
      </c>
      <c r="D101" s="24" t="s">
        <v>133</v>
      </c>
      <c r="E101" s="24" t="s">
        <v>134</v>
      </c>
      <c r="F101" s="24" t="s">
        <v>135</v>
      </c>
      <c r="G101" s="24" t="s">
        <v>136</v>
      </c>
      <c r="H101" s="24" t="s">
        <v>137</v>
      </c>
      <c r="I101" s="24" t="s">
        <v>138</v>
      </c>
      <c r="J101" s="24" t="s">
        <v>139</v>
      </c>
      <c r="K101" s="24" t="s">
        <v>140</v>
      </c>
      <c r="L101" s="24" t="s">
        <v>141</v>
      </c>
      <c r="M101" s="24" t="s">
        <v>142</v>
      </c>
      <c r="N101" s="24" t="s">
        <v>143</v>
      </c>
      <c r="O101" s="24" t="s">
        <v>144</v>
      </c>
      <c r="P101" s="217" t="s">
        <v>145</v>
      </c>
      <c r="Q101" s="24" t="s">
        <v>145</v>
      </c>
      <c r="R101" s="24" t="s">
        <v>152</v>
      </c>
    </row>
    <row r="102" spans="1:18" x14ac:dyDescent="0.35">
      <c r="A102" s="21" t="s">
        <v>146</v>
      </c>
      <c r="B102" s="22" t="s">
        <v>385</v>
      </c>
      <c r="C102" s="23" t="s">
        <v>155</v>
      </c>
      <c r="D102" s="21" t="s">
        <v>157</v>
      </c>
      <c r="E102" s="218" t="str">
        <f ca="1">TEXT(TODAY(),"MM-DD-YYYY")</f>
        <v>04-25-2022</v>
      </c>
      <c r="F102" s="20" t="s">
        <v>656</v>
      </c>
      <c r="G102" s="21" t="s">
        <v>148</v>
      </c>
      <c r="H102" s="21" t="s">
        <v>148</v>
      </c>
      <c r="I102" s="21" t="s">
        <v>148</v>
      </c>
      <c r="J102" s="21" t="s">
        <v>146</v>
      </c>
      <c r="K102" s="21" t="s">
        <v>146</v>
      </c>
      <c r="L102" s="21" t="s">
        <v>90</v>
      </c>
      <c r="M102" s="21" t="s">
        <v>90</v>
      </c>
      <c r="N102" s="21" t="s">
        <v>90</v>
      </c>
      <c r="O102" s="21" t="s">
        <v>638</v>
      </c>
      <c r="P102" s="21" t="s">
        <v>639</v>
      </c>
      <c r="Q102" s="21" t="s">
        <v>640</v>
      </c>
      <c r="R102" s="21"/>
    </row>
    <row r="104" spans="1:18" x14ac:dyDescent="0.35">
      <c r="A104" s="249" t="s">
        <v>153</v>
      </c>
      <c r="B104" s="250"/>
      <c r="C104" s="250"/>
      <c r="D104" s="250"/>
      <c r="E104" s="250"/>
      <c r="F104" s="250"/>
      <c r="G104" s="250"/>
      <c r="H104" s="250"/>
      <c r="I104" s="250"/>
      <c r="J104" s="250"/>
      <c r="K104" s="250"/>
      <c r="L104" s="250"/>
      <c r="M104" s="250"/>
      <c r="N104" s="250"/>
      <c r="O104" s="250"/>
      <c r="P104" s="250"/>
      <c r="Q104" s="250"/>
      <c r="R104" s="250"/>
    </row>
    <row r="105" spans="1:18" x14ac:dyDescent="0.35">
      <c r="A105" s="24" t="s">
        <v>153</v>
      </c>
      <c r="B105" s="24" t="s">
        <v>162</v>
      </c>
      <c r="C105" s="24" t="s">
        <v>163</v>
      </c>
      <c r="D105" s="24" t="s">
        <v>131</v>
      </c>
      <c r="E105" s="24" t="s">
        <v>132</v>
      </c>
      <c r="F105" s="24" t="s">
        <v>133</v>
      </c>
      <c r="G105" s="24" t="s">
        <v>134</v>
      </c>
      <c r="H105" s="24" t="s">
        <v>158</v>
      </c>
      <c r="I105" s="24" t="s">
        <v>398</v>
      </c>
      <c r="J105" s="24" t="s">
        <v>251</v>
      </c>
      <c r="K105" s="24" t="s">
        <v>159</v>
      </c>
      <c r="L105" s="24" t="s">
        <v>55</v>
      </c>
      <c r="M105" s="24" t="s">
        <v>56</v>
      </c>
      <c r="N105" s="24" t="s">
        <v>160</v>
      </c>
      <c r="O105" s="24" t="s">
        <v>544</v>
      </c>
      <c r="P105" s="24"/>
      <c r="Q105" s="24"/>
      <c r="R105" s="24"/>
    </row>
    <row r="106" spans="1:18" ht="58" x14ac:dyDescent="0.35">
      <c r="A106" s="26" t="s">
        <v>657</v>
      </c>
      <c r="B106" s="27" t="s">
        <v>164</v>
      </c>
      <c r="C106" s="27" t="s">
        <v>164</v>
      </c>
      <c r="D106" s="27" t="s">
        <v>658</v>
      </c>
      <c r="E106" s="23" t="s">
        <v>155</v>
      </c>
      <c r="F106" s="21" t="s">
        <v>157</v>
      </c>
      <c r="G106" s="11" t="str">
        <f ca="1">E102</f>
        <v>04-25-2022</v>
      </c>
      <c r="H106" s="218" t="str">
        <f ca="1">TEXT(TODAY(),"MM-DD-YYYY")</f>
        <v>04-25-2022</v>
      </c>
      <c r="I106" s="27" t="s">
        <v>401</v>
      </c>
      <c r="J106" s="27" t="s">
        <v>642</v>
      </c>
      <c r="K106" s="21"/>
      <c r="L106" s="21"/>
      <c r="M106" s="21"/>
      <c r="N106" s="21"/>
      <c r="O106" s="21"/>
      <c r="P106" s="21"/>
      <c r="Q106" s="21"/>
      <c r="R106" s="21"/>
    </row>
    <row r="108" spans="1:18" x14ac:dyDescent="0.35">
      <c r="A108" s="249" t="s">
        <v>165</v>
      </c>
      <c r="B108" s="250"/>
      <c r="C108" s="250"/>
      <c r="D108" s="250"/>
      <c r="E108" s="250"/>
    </row>
    <row r="109" spans="1:18" x14ac:dyDescent="0.35">
      <c r="A109" s="28" t="s">
        <v>166</v>
      </c>
      <c r="B109" s="28" t="s">
        <v>167</v>
      </c>
      <c r="C109" s="28" t="s">
        <v>55</v>
      </c>
      <c r="D109" s="28" t="s">
        <v>56</v>
      </c>
      <c r="E109" s="25" t="s">
        <v>168</v>
      </c>
    </row>
    <row r="110" spans="1:18" x14ac:dyDescent="0.35">
      <c r="A110" s="96" t="s">
        <v>536</v>
      </c>
      <c r="B110" s="3">
        <v>1</v>
      </c>
      <c r="C110" s="11" t="str">
        <f ca="1">E102</f>
        <v>04-25-2022</v>
      </c>
      <c r="D110" s="3"/>
      <c r="E110" s="3"/>
    </row>
    <row r="112" spans="1:18" x14ac:dyDescent="0.35">
      <c r="A112" s="249" t="s">
        <v>170</v>
      </c>
      <c r="B112" s="250"/>
      <c r="C112" s="250"/>
      <c r="D112" s="250"/>
      <c r="E112" s="250"/>
    </row>
    <row r="113" spans="1:20" x14ac:dyDescent="0.35">
      <c r="A113" s="28" t="s">
        <v>169</v>
      </c>
      <c r="B113" s="28" t="s">
        <v>172</v>
      </c>
      <c r="C113" s="28" t="s">
        <v>175</v>
      </c>
      <c r="D113" s="28" t="s">
        <v>177</v>
      </c>
      <c r="E113" s="25"/>
      <c r="K113" s="48"/>
    </row>
    <row r="114" spans="1:20" x14ac:dyDescent="0.35">
      <c r="A114" s="47" t="s">
        <v>111</v>
      </c>
      <c r="B114" s="8"/>
      <c r="C114" s="204"/>
      <c r="D114" s="47" t="s">
        <v>178</v>
      </c>
      <c r="E114" s="47"/>
    </row>
    <row r="115" spans="1:20" x14ac:dyDescent="0.35">
      <c r="A115" s="8"/>
      <c r="B115" s="47" t="s">
        <v>171</v>
      </c>
      <c r="C115" s="204" t="s">
        <v>176</v>
      </c>
      <c r="D115" s="47" t="s">
        <v>540</v>
      </c>
      <c r="E115" s="47"/>
    </row>
    <row r="116" spans="1:20" ht="159.5" x14ac:dyDescent="0.35">
      <c r="A116" s="8"/>
      <c r="B116" s="47" t="s">
        <v>213</v>
      </c>
      <c r="C116" s="204" t="s">
        <v>176</v>
      </c>
      <c r="D116" s="205" t="s">
        <v>641</v>
      </c>
      <c r="E116" s="47"/>
    </row>
    <row r="118" spans="1:20" x14ac:dyDescent="0.35">
      <c r="A118" s="258" t="s">
        <v>241</v>
      </c>
      <c r="B118" s="258"/>
      <c r="C118" s="258"/>
      <c r="D118" s="258"/>
      <c r="E118" s="258"/>
    </row>
    <row r="119" spans="1:20" x14ac:dyDescent="0.35">
      <c r="A119" s="249" t="s">
        <v>182</v>
      </c>
      <c r="B119" s="250"/>
      <c r="C119" s="250"/>
      <c r="D119" s="250"/>
      <c r="E119" s="250"/>
    </row>
    <row r="120" spans="1:20" x14ac:dyDescent="0.35">
      <c r="A120" s="41" t="s">
        <v>183</v>
      </c>
      <c r="B120" s="41" t="s">
        <v>44</v>
      </c>
      <c r="C120" s="41" t="s">
        <v>191</v>
      </c>
      <c r="D120" s="42" t="s">
        <v>199</v>
      </c>
      <c r="E120" s="42" t="s">
        <v>200</v>
      </c>
      <c r="F120" s="42" t="s">
        <v>57</v>
      </c>
      <c r="G120" s="41" t="s">
        <v>184</v>
      </c>
      <c r="H120" s="41" t="s">
        <v>185</v>
      </c>
      <c r="I120" s="42" t="s">
        <v>18</v>
      </c>
      <c r="J120" s="42" t="s">
        <v>186</v>
      </c>
      <c r="K120" s="42" t="s">
        <v>187</v>
      </c>
      <c r="L120" s="42" t="s">
        <v>188</v>
      </c>
      <c r="M120" s="42" t="s">
        <v>189</v>
      </c>
      <c r="N120" s="42" t="s">
        <v>206</v>
      </c>
      <c r="O120" s="42" t="s">
        <v>203</v>
      </c>
      <c r="P120" s="42" t="s">
        <v>204</v>
      </c>
      <c r="Q120" s="42" t="s">
        <v>205</v>
      </c>
      <c r="R120" s="42" t="s">
        <v>190</v>
      </c>
    </row>
    <row r="121" spans="1:20" x14ac:dyDescent="0.35">
      <c r="A121" s="49" t="s">
        <v>192</v>
      </c>
      <c r="B121" s="49"/>
      <c r="C121" s="49" t="s">
        <v>201</v>
      </c>
      <c r="D121" s="49"/>
      <c r="E121" s="49"/>
      <c r="F121" s="49"/>
      <c r="G121" s="49"/>
      <c r="H121" s="49"/>
      <c r="I121" s="49"/>
      <c r="J121" s="237">
        <f>J123+J141+J155</f>
        <v>336009</v>
      </c>
      <c r="K121" s="51" t="str">
        <f>S121</f>
        <v>$6753624.78</v>
      </c>
      <c r="L121" s="49"/>
      <c r="M121" s="51" t="str">
        <f>T121</f>
        <v>$1008157.00</v>
      </c>
      <c r="N121" s="49"/>
      <c r="O121" s="49"/>
      <c r="P121" s="49"/>
      <c r="Q121" s="49"/>
      <c r="R121" s="49" t="s">
        <v>552</v>
      </c>
      <c r="S121" t="str">
        <f>"$"&amp;SUMIFS(K123:K188,C123:C188,C121,A123:A188,"*"&amp;"DE_"&amp;"*")</f>
        <v>$6753624.78</v>
      </c>
      <c r="T121" t="str">
        <f>"$"&amp;SUMIFS(M123:M188,C123:C188,C121,A123:A188,"*"&amp;"DE_"&amp;"*")&amp;".00"</f>
        <v>$1008157.00</v>
      </c>
    </row>
    <row r="122" spans="1:20" x14ac:dyDescent="0.35">
      <c r="A122" s="49" t="s">
        <v>192</v>
      </c>
      <c r="B122" s="49"/>
      <c r="C122" s="49" t="s">
        <v>196</v>
      </c>
      <c r="D122" s="49"/>
      <c r="E122" s="49"/>
      <c r="F122" s="49"/>
      <c r="G122" s="49"/>
      <c r="H122" s="49"/>
      <c r="I122" s="49"/>
      <c r="J122" s="237">
        <f>(J124+J142+J156)</f>
        <v>336000</v>
      </c>
      <c r="K122" s="220" t="str">
        <f>S122</f>
        <v>$648000.00</v>
      </c>
      <c r="L122" s="49"/>
      <c r="M122" s="51" t="str">
        <f>T122</f>
        <v>$144010.00</v>
      </c>
      <c r="N122" s="49"/>
      <c r="O122" s="49"/>
      <c r="P122" s="49"/>
      <c r="Q122" s="49"/>
      <c r="R122" s="49"/>
      <c r="S122" t="str">
        <f>"$"&amp;SUMIFS(K123:K188,C123:C188,C122,A123:A188,"*"&amp;"DE_"&amp;"*")&amp;".00"</f>
        <v>$648000.00</v>
      </c>
      <c r="T122" t="str">
        <f>"$"&amp;SUMIFS(M123:M188,C123:C188,C122,A123:A188,"*"&amp;"DE_"&amp;"*")&amp;".00"</f>
        <v>$144010.00</v>
      </c>
    </row>
    <row r="123" spans="1:20" x14ac:dyDescent="0.35">
      <c r="A123" s="52" t="s">
        <v>193</v>
      </c>
      <c r="B123" s="52"/>
      <c r="C123" s="52" t="s">
        <v>201</v>
      </c>
      <c r="D123" s="52"/>
      <c r="E123" s="52"/>
      <c r="F123" s="52"/>
      <c r="G123" s="52"/>
      <c r="H123" s="52"/>
      <c r="I123" s="52"/>
      <c r="J123" s="53">
        <f>SUMIFS(J125:J138,C125:C138,C123)</f>
        <v>48001</v>
      </c>
      <c r="K123" s="54">
        <f>SUMIFS(K125:K140,C125:C140,C123)</f>
        <v>657717.19999999995</v>
      </c>
      <c r="L123" s="52"/>
      <c r="M123" s="54">
        <f>SUMIFS(M125:M140,C125:C140,C123)</f>
        <v>144023</v>
      </c>
      <c r="N123" s="52"/>
      <c r="O123" s="52"/>
      <c r="P123" s="52"/>
      <c r="Q123" s="52"/>
      <c r="R123" s="52" t="s">
        <v>551</v>
      </c>
    </row>
    <row r="124" spans="1:20" x14ac:dyDescent="0.35">
      <c r="A124" s="52" t="s">
        <v>193</v>
      </c>
      <c r="B124" s="52"/>
      <c r="C124" s="52" t="s">
        <v>196</v>
      </c>
      <c r="D124" s="52"/>
      <c r="E124" s="52"/>
      <c r="F124" s="52"/>
      <c r="G124" s="52"/>
      <c r="H124" s="52"/>
      <c r="I124" s="52"/>
      <c r="J124" s="53">
        <f>SUMIFS(J125:J138,C125:C138,C124)</f>
        <v>48000</v>
      </c>
      <c r="K124" s="54">
        <f>SUMIFS(K125:K140,C125:C140,C124)</f>
        <v>648000</v>
      </c>
      <c r="L124" s="52"/>
      <c r="M124" s="54">
        <f>SUMIFS(M125:M140,C125:C140,C124)</f>
        <v>144010</v>
      </c>
      <c r="N124" s="52"/>
      <c r="O124" s="52"/>
      <c r="P124" s="52"/>
      <c r="Q124" s="52"/>
      <c r="R124" s="52"/>
    </row>
    <row r="125" spans="1:20" x14ac:dyDescent="0.35">
      <c r="A125" s="59" t="s">
        <v>100</v>
      </c>
      <c r="B125" s="8"/>
      <c r="C125" s="30" t="s">
        <v>201</v>
      </c>
      <c r="D125" s="30"/>
      <c r="E125" s="30"/>
      <c r="F125" s="30">
        <v>13.5</v>
      </c>
      <c r="G125" s="30" t="str">
        <f>CONCATENATE("USD,FLAT ",TEXT(F125,"0.00"))</f>
        <v>USD,FLAT 13.50</v>
      </c>
      <c r="H125" s="36">
        <f>K125/J125</f>
        <v>13.5</v>
      </c>
      <c r="I125" s="30" t="s">
        <v>22</v>
      </c>
      <c r="J125" s="32">
        <v>48000</v>
      </c>
      <c r="K125" s="36">
        <f>J125*F125</f>
        <v>648000</v>
      </c>
      <c r="L125" s="30" t="str">
        <f>TEXT(IFERROR(((K125-K126)/K126*100),"0.00"),"0.00")</f>
        <v>0.00</v>
      </c>
      <c r="M125" s="36">
        <f>(10+J125*3)</f>
        <v>144010</v>
      </c>
      <c r="N125" s="30"/>
      <c r="O125" s="30" t="s">
        <v>171</v>
      </c>
      <c r="P125" s="30" t="s">
        <v>546</v>
      </c>
      <c r="Q125" s="30" t="s">
        <v>547</v>
      </c>
      <c r="R125" s="30" t="s">
        <v>550</v>
      </c>
    </row>
    <row r="126" spans="1:20" x14ac:dyDescent="0.35">
      <c r="A126" s="8"/>
      <c r="B126" s="8"/>
      <c r="C126" s="33" t="s">
        <v>196</v>
      </c>
      <c r="D126" s="33"/>
      <c r="E126" s="33"/>
      <c r="F126" s="33">
        <v>13.5</v>
      </c>
      <c r="G126" s="33" t="str">
        <f>CONCATENATE("USD,FLAT ",TEXT(F126,"0.00"))</f>
        <v>USD,FLAT 13.50</v>
      </c>
      <c r="H126" s="38">
        <f>IFERROR(K126/J126,"0")</f>
        <v>13.5</v>
      </c>
      <c r="I126" s="33" t="s">
        <v>22</v>
      </c>
      <c r="J126" s="34">
        <v>48000</v>
      </c>
      <c r="K126" s="38">
        <f>J126*F126</f>
        <v>648000</v>
      </c>
      <c r="L126" s="33"/>
      <c r="M126" s="38">
        <f>(10+J126*3)</f>
        <v>144010</v>
      </c>
      <c r="N126" s="33"/>
      <c r="O126" s="33"/>
      <c r="P126" s="33"/>
      <c r="Q126" s="33"/>
      <c r="R126" s="33"/>
    </row>
    <row r="127" spans="1:20" hidden="1" x14ac:dyDescent="0.35">
      <c r="A127" s="8"/>
      <c r="B127" s="8"/>
      <c r="C127" s="43" t="s">
        <v>197</v>
      </c>
      <c r="D127" s="43"/>
      <c r="E127" s="43"/>
      <c r="F127" s="43"/>
      <c r="G127" s="43"/>
      <c r="H127" s="43"/>
      <c r="I127" s="43"/>
      <c r="J127" s="43"/>
      <c r="K127" s="43"/>
      <c r="L127" s="43"/>
      <c r="M127" s="43"/>
      <c r="N127" s="43"/>
      <c r="O127" s="43"/>
      <c r="P127" s="43"/>
      <c r="Q127" s="43"/>
      <c r="R127" s="43"/>
    </row>
    <row r="128" spans="1:20" hidden="1" x14ac:dyDescent="0.35">
      <c r="A128" s="8"/>
      <c r="B128" s="8"/>
      <c r="C128" s="44" t="s">
        <v>198</v>
      </c>
      <c r="D128" s="44"/>
      <c r="E128" s="44"/>
      <c r="F128" s="44"/>
      <c r="G128" s="44"/>
      <c r="H128" s="44"/>
      <c r="I128" s="44"/>
      <c r="J128" s="44"/>
      <c r="K128" s="44"/>
      <c r="L128" s="44"/>
      <c r="M128" s="44"/>
      <c r="N128" s="44"/>
      <c r="O128" s="44"/>
      <c r="P128" s="44"/>
      <c r="Q128" s="44"/>
      <c r="R128" s="44"/>
    </row>
    <row r="129" spans="1:18" x14ac:dyDescent="0.35">
      <c r="A129" s="59" t="s">
        <v>101</v>
      </c>
      <c r="B129" s="8"/>
      <c r="C129" s="30" t="s">
        <v>201</v>
      </c>
      <c r="D129" s="30"/>
      <c r="E129" s="30"/>
      <c r="F129" s="30">
        <v>9.9499999999999993</v>
      </c>
      <c r="G129" s="30" t="str">
        <f>CONCATENATE("USD,FLAT ",TEXT(F129,"0.00"))</f>
        <v>USD,FLAT 9.95</v>
      </c>
      <c r="H129" s="36">
        <f>K129/J129</f>
        <v>9.9499999999999993</v>
      </c>
      <c r="I129" s="30" t="s">
        <v>22</v>
      </c>
      <c r="J129" s="32">
        <v>1</v>
      </c>
      <c r="K129" s="36">
        <f>J129*F129</f>
        <v>9.9499999999999993</v>
      </c>
      <c r="L129" s="30" t="str">
        <f>TEXT(IFERROR(((K129-K130)/K130*100),"0.00"),"0.00")</f>
        <v>0.00</v>
      </c>
      <c r="M129" s="36">
        <f>(10+J129*3)</f>
        <v>13</v>
      </c>
      <c r="N129" s="30"/>
      <c r="O129" s="30" t="s">
        <v>171</v>
      </c>
      <c r="P129" s="30" t="s">
        <v>546</v>
      </c>
      <c r="Q129" s="30" t="s">
        <v>547</v>
      </c>
      <c r="R129" s="30"/>
    </row>
    <row r="130" spans="1:18" x14ac:dyDescent="0.35">
      <c r="A130" s="8"/>
      <c r="B130" s="8"/>
      <c r="C130" s="33" t="s">
        <v>196</v>
      </c>
      <c r="D130" s="33"/>
      <c r="E130" s="33"/>
      <c r="F130" s="33">
        <v>9.9499999999999993</v>
      </c>
      <c r="G130" s="33" t="str">
        <f>CONCATENATE("USD,FLAT ",TEXT(F130,"0.00"))</f>
        <v>USD,FLAT 9.95</v>
      </c>
      <c r="H130" s="38" t="str">
        <f>IFERROR(K130/J130,"0")</f>
        <v>0</v>
      </c>
      <c r="I130" s="33"/>
      <c r="J130" s="34"/>
      <c r="K130" s="38">
        <f>J130*F130</f>
        <v>0</v>
      </c>
      <c r="L130" s="33"/>
      <c r="M130" s="38"/>
      <c r="N130" s="33"/>
      <c r="O130" s="33"/>
      <c r="P130" s="33"/>
      <c r="Q130" s="33"/>
      <c r="R130" s="33"/>
    </row>
    <row r="131" spans="1:18" hidden="1" x14ac:dyDescent="0.35">
      <c r="A131" s="8"/>
      <c r="B131" s="8"/>
      <c r="C131" s="43" t="s">
        <v>197</v>
      </c>
      <c r="D131" s="43"/>
      <c r="E131" s="43"/>
      <c r="F131" s="43"/>
      <c r="G131" s="43"/>
      <c r="H131" s="43"/>
      <c r="I131" s="43"/>
      <c r="J131" s="43"/>
      <c r="K131" s="43"/>
      <c r="L131" s="43"/>
      <c r="M131" s="43"/>
      <c r="N131" s="43"/>
      <c r="O131" s="43"/>
      <c r="P131" s="43"/>
      <c r="Q131" s="43"/>
      <c r="R131" s="43"/>
    </row>
    <row r="132" spans="1:18" hidden="1" x14ac:dyDescent="0.35">
      <c r="A132" s="8"/>
      <c r="B132" s="8"/>
      <c r="C132" s="44" t="s">
        <v>198</v>
      </c>
      <c r="D132" s="44"/>
      <c r="E132" s="44"/>
      <c r="F132" s="44"/>
      <c r="G132" s="44"/>
      <c r="H132" s="44"/>
      <c r="I132" s="44"/>
      <c r="J132" s="44"/>
      <c r="K132" s="44"/>
      <c r="L132" s="44"/>
      <c r="M132" s="44"/>
      <c r="N132" s="44"/>
      <c r="O132" s="44"/>
      <c r="P132" s="44"/>
      <c r="Q132" s="44"/>
      <c r="R132" s="44"/>
    </row>
    <row r="133" spans="1:18" x14ac:dyDescent="0.35">
      <c r="A133" s="59" t="s">
        <v>207</v>
      </c>
      <c r="B133" s="8"/>
      <c r="C133" s="30" t="s">
        <v>201</v>
      </c>
      <c r="D133" s="30"/>
      <c r="E133" s="30"/>
      <c r="F133" s="30">
        <v>112.04</v>
      </c>
      <c r="G133" s="30" t="str">
        <f>CONCATENATE("USD,FLAT ",TEXT(F133,"0.00"))</f>
        <v>USD,FLAT 112.04</v>
      </c>
      <c r="H133" s="36">
        <f>F133</f>
        <v>112.04</v>
      </c>
      <c r="I133" s="30"/>
      <c r="J133" s="32"/>
      <c r="K133" s="36">
        <f>(F133*5*5)</f>
        <v>2801</v>
      </c>
      <c r="L133" s="30" t="str">
        <f>TEXT(IFERROR(((K133-K134)/K134*100),"0.00"),"0.00")</f>
        <v>0.00</v>
      </c>
      <c r="M133" s="36">
        <v>0</v>
      </c>
      <c r="N133" s="35" t="s">
        <v>54</v>
      </c>
      <c r="O133" s="30" t="s">
        <v>213</v>
      </c>
      <c r="P133" s="30" t="s">
        <v>548</v>
      </c>
      <c r="Q133" s="30"/>
      <c r="R133" s="30"/>
    </row>
    <row r="134" spans="1:18" x14ac:dyDescent="0.35">
      <c r="A134" s="8"/>
      <c r="B134" s="8"/>
      <c r="C134" s="33" t="s">
        <v>196</v>
      </c>
      <c r="D134" s="33"/>
      <c r="E134" s="33"/>
      <c r="F134" s="33"/>
      <c r="G134" s="33"/>
      <c r="H134" s="38"/>
      <c r="I134" s="33"/>
      <c r="J134" s="34"/>
      <c r="K134" s="38"/>
      <c r="L134" s="33"/>
      <c r="M134" s="38"/>
      <c r="N134" s="33"/>
      <c r="O134" s="33"/>
      <c r="P134" s="33"/>
      <c r="Q134" s="33"/>
      <c r="R134" s="33"/>
    </row>
    <row r="135" spans="1:18" hidden="1" x14ac:dyDescent="0.35">
      <c r="A135" s="8"/>
      <c r="B135" s="8"/>
      <c r="C135" s="43" t="s">
        <v>197</v>
      </c>
      <c r="D135" s="43"/>
      <c r="E135" s="43"/>
      <c r="F135" s="43"/>
      <c r="G135" s="43"/>
      <c r="H135" s="43"/>
      <c r="I135" s="43"/>
      <c r="J135" s="43"/>
      <c r="K135" s="43"/>
      <c r="L135" s="43"/>
      <c r="M135" s="43"/>
      <c r="N135" s="43"/>
      <c r="O135" s="43"/>
      <c r="P135" s="43"/>
      <c r="Q135" s="43"/>
      <c r="R135" s="43"/>
    </row>
    <row r="136" spans="1:18" hidden="1" x14ac:dyDescent="0.35">
      <c r="A136" s="8"/>
      <c r="B136" s="8"/>
      <c r="C136" s="44" t="s">
        <v>198</v>
      </c>
      <c r="D136" s="44"/>
      <c r="E136" s="44"/>
      <c r="F136" s="44"/>
      <c r="G136" s="44"/>
      <c r="H136" s="44"/>
      <c r="I136" s="44"/>
      <c r="J136" s="44"/>
      <c r="K136" s="44"/>
      <c r="L136" s="44"/>
      <c r="M136" s="44"/>
      <c r="N136" s="44"/>
      <c r="O136" s="44"/>
      <c r="P136" s="44"/>
      <c r="Q136" s="44"/>
      <c r="R136" s="44"/>
    </row>
    <row r="137" spans="1:18" x14ac:dyDescent="0.35">
      <c r="A137" s="59" t="s">
        <v>102</v>
      </c>
      <c r="B137" s="8"/>
      <c r="C137" s="30" t="s">
        <v>201</v>
      </c>
      <c r="D137" s="30"/>
      <c r="E137" s="30"/>
      <c r="F137" s="30">
        <v>276.25</v>
      </c>
      <c r="G137" s="30" t="str">
        <f>CONCATENATE("USD,FLAT ",TEXT(F137,"0.00"))</f>
        <v>USD,FLAT 276.25</v>
      </c>
      <c r="H137" s="36">
        <f>F137</f>
        <v>276.25</v>
      </c>
      <c r="I137" s="30"/>
      <c r="J137" s="32"/>
      <c r="K137" s="36">
        <f>(F137*5*5)</f>
        <v>6906.25</v>
      </c>
      <c r="L137" s="30" t="str">
        <f>TEXT(IFERROR(((K137-K138)/K138*100),"0.00"),"0.00")</f>
        <v>0.00</v>
      </c>
      <c r="M137" s="36">
        <v>0</v>
      </c>
      <c r="N137" s="35" t="s">
        <v>54</v>
      </c>
      <c r="O137" s="30" t="s">
        <v>213</v>
      </c>
      <c r="P137" s="30" t="s">
        <v>548</v>
      </c>
      <c r="Q137" s="30"/>
      <c r="R137" s="30"/>
    </row>
    <row r="138" spans="1:18" x14ac:dyDescent="0.35">
      <c r="A138" s="8"/>
      <c r="B138" s="8"/>
      <c r="C138" s="33" t="s">
        <v>196</v>
      </c>
      <c r="D138" s="33"/>
      <c r="E138" s="33"/>
      <c r="F138" s="33"/>
      <c r="G138" s="33"/>
      <c r="H138" s="38"/>
      <c r="I138" s="33"/>
      <c r="J138" s="34"/>
      <c r="K138" s="38"/>
      <c r="L138" s="33"/>
      <c r="M138" s="38"/>
      <c r="N138" s="33"/>
      <c r="O138" s="33"/>
      <c r="P138" s="33"/>
      <c r="Q138" s="33"/>
      <c r="R138" s="33"/>
    </row>
    <row r="139" spans="1:18" hidden="1" x14ac:dyDescent="0.35">
      <c r="A139" s="8"/>
      <c r="B139" s="8"/>
      <c r="C139" s="43" t="s">
        <v>197</v>
      </c>
      <c r="D139" s="43"/>
      <c r="E139" s="43"/>
      <c r="F139" s="43"/>
      <c r="G139" s="43"/>
      <c r="H139" s="43"/>
      <c r="I139" s="43"/>
      <c r="J139" s="43"/>
      <c r="K139" s="43"/>
      <c r="L139" s="43"/>
      <c r="M139" s="43"/>
      <c r="N139" s="43"/>
      <c r="O139" s="43"/>
      <c r="P139" s="43"/>
      <c r="Q139" s="43"/>
      <c r="R139" s="43"/>
    </row>
    <row r="140" spans="1:18" hidden="1" x14ac:dyDescent="0.35">
      <c r="A140" s="8"/>
      <c r="B140" s="8"/>
      <c r="C140" s="44" t="s">
        <v>198</v>
      </c>
      <c r="D140" s="44"/>
      <c r="E140" s="44"/>
      <c r="F140" s="44"/>
      <c r="G140" s="44"/>
      <c r="H140" s="44"/>
      <c r="I140" s="44"/>
      <c r="J140" s="44"/>
      <c r="K140" s="44"/>
      <c r="L140" s="44"/>
      <c r="M140" s="44"/>
      <c r="N140" s="44"/>
      <c r="O140" s="44"/>
      <c r="P140" s="44"/>
      <c r="Q140" s="44"/>
      <c r="R140" s="44"/>
    </row>
    <row r="141" spans="1:18" x14ac:dyDescent="0.35">
      <c r="A141" s="52" t="s">
        <v>194</v>
      </c>
      <c r="B141" s="52"/>
      <c r="C141" s="52" t="s">
        <v>201</v>
      </c>
      <c r="D141" s="52"/>
      <c r="E141" s="52"/>
      <c r="F141" s="52"/>
      <c r="G141" s="52"/>
      <c r="H141" s="52"/>
      <c r="I141" s="52"/>
      <c r="J141" s="53">
        <f>SUMIFS(J143:J152,C143:C152,C141)</f>
        <v>288000</v>
      </c>
      <c r="K141" s="54">
        <f>SUMIFS(K143:K154,C143:C154,C141)</f>
        <v>6092880</v>
      </c>
      <c r="L141" s="52"/>
      <c r="M141" s="54">
        <f>SUMIFS(M143:M154,C143:C154,C141)</f>
        <v>864030</v>
      </c>
      <c r="N141" s="52"/>
      <c r="O141" s="52"/>
      <c r="P141" s="52"/>
      <c r="Q141" s="52"/>
      <c r="R141" s="52"/>
    </row>
    <row r="142" spans="1:18" x14ac:dyDescent="0.35">
      <c r="A142" s="52" t="s">
        <v>194</v>
      </c>
      <c r="B142" s="52"/>
      <c r="C142" s="52" t="s">
        <v>196</v>
      </c>
      <c r="D142" s="52"/>
      <c r="E142" s="52"/>
      <c r="F142" s="52"/>
      <c r="G142" s="52"/>
      <c r="H142" s="52"/>
      <c r="I142" s="52"/>
      <c r="J142" s="53">
        <f>SUMIFS(J143:J152,C143:C152,C142)</f>
        <v>288000</v>
      </c>
      <c r="K142" s="54">
        <f>SUMIFS(K143:K152,C143:C152,C142)</f>
        <v>0</v>
      </c>
      <c r="L142" s="52"/>
      <c r="M142" s="54">
        <f>SUMIFS(M143:M152,C143:C152,C142)</f>
        <v>0</v>
      </c>
      <c r="N142" s="52"/>
      <c r="O142" s="52"/>
      <c r="P142" s="52"/>
      <c r="Q142" s="52"/>
      <c r="R142" s="52"/>
    </row>
    <row r="143" spans="1:18" x14ac:dyDescent="0.35">
      <c r="A143" s="59" t="s">
        <v>103</v>
      </c>
      <c r="B143" s="8"/>
      <c r="C143" s="30" t="s">
        <v>201</v>
      </c>
      <c r="D143" s="30"/>
      <c r="E143" s="30"/>
      <c r="F143" s="31" t="s">
        <v>211</v>
      </c>
      <c r="G143" s="30" t="s">
        <v>208</v>
      </c>
      <c r="H143" s="36">
        <f>K143/J143</f>
        <v>12.25</v>
      </c>
      <c r="I143" s="30" t="s">
        <v>22</v>
      </c>
      <c r="J143" s="32">
        <v>72000</v>
      </c>
      <c r="K143" s="36">
        <f>(1000*12.95+4000*12.15+1000*11.95)*12</f>
        <v>882000</v>
      </c>
      <c r="L143" s="30" t="str">
        <f>TEXT(IFERROR(((K143-K144)/K144*100),"0.00"),"0.00")</f>
        <v>0.00</v>
      </c>
      <c r="M143" s="36">
        <f>(10+J143*3)</f>
        <v>216010</v>
      </c>
      <c r="N143" s="35" t="s">
        <v>54</v>
      </c>
      <c r="O143" s="30" t="s">
        <v>213</v>
      </c>
      <c r="P143" s="30" t="s">
        <v>549</v>
      </c>
      <c r="Q143" s="30"/>
      <c r="R143" s="30"/>
    </row>
    <row r="144" spans="1:18" x14ac:dyDescent="0.35">
      <c r="A144" s="8"/>
      <c r="B144" s="8"/>
      <c r="C144" s="33" t="s">
        <v>196</v>
      </c>
      <c r="D144" s="33"/>
      <c r="E144" s="33"/>
      <c r="F144" s="33"/>
      <c r="G144" s="33"/>
      <c r="H144" s="38">
        <f>IFERROR(K144/J144,"0")</f>
        <v>0</v>
      </c>
      <c r="I144" s="33" t="s">
        <v>22</v>
      </c>
      <c r="J144" s="34">
        <v>72000</v>
      </c>
      <c r="K144" s="40">
        <v>0</v>
      </c>
      <c r="L144" s="33"/>
      <c r="M144" s="38"/>
      <c r="N144" s="33"/>
      <c r="O144" s="33"/>
      <c r="P144" s="33"/>
      <c r="Q144" s="33"/>
      <c r="R144" s="33"/>
    </row>
    <row r="145" spans="1:18" hidden="1" x14ac:dyDescent="0.35">
      <c r="A145" s="8"/>
      <c r="B145" s="8"/>
      <c r="C145" s="43" t="s">
        <v>197</v>
      </c>
      <c r="D145" s="43"/>
      <c r="E145" s="43"/>
      <c r="F145" s="43"/>
      <c r="G145" s="43"/>
      <c r="H145" s="43"/>
      <c r="I145" s="43"/>
      <c r="J145" s="43"/>
      <c r="K145" s="45"/>
      <c r="L145" s="43"/>
      <c r="M145" s="43"/>
      <c r="N145" s="43"/>
      <c r="O145" s="43"/>
      <c r="P145" s="43"/>
      <c r="Q145" s="43"/>
      <c r="R145" s="43"/>
    </row>
    <row r="146" spans="1:18" hidden="1" x14ac:dyDescent="0.35">
      <c r="A146" s="8"/>
      <c r="B146" s="8"/>
      <c r="C146" s="44" t="s">
        <v>198</v>
      </c>
      <c r="D146" s="44"/>
      <c r="E146" s="44"/>
      <c r="F146" s="44"/>
      <c r="G146" s="44"/>
      <c r="H146" s="44"/>
      <c r="I146" s="44"/>
      <c r="J146" s="44"/>
      <c r="K146" s="46"/>
      <c r="L146" s="44"/>
      <c r="M146" s="44"/>
      <c r="N146" s="44"/>
      <c r="O146" s="44"/>
      <c r="P146" s="44"/>
      <c r="Q146" s="44"/>
      <c r="R146" s="44"/>
    </row>
    <row r="147" spans="1:18" x14ac:dyDescent="0.35">
      <c r="A147" s="59" t="s">
        <v>104</v>
      </c>
      <c r="B147" s="8"/>
      <c r="C147" s="30" t="s">
        <v>201</v>
      </c>
      <c r="D147" s="30"/>
      <c r="E147" s="30"/>
      <c r="F147" s="31" t="s">
        <v>211</v>
      </c>
      <c r="G147" s="30" t="s">
        <v>209</v>
      </c>
      <c r="H147" s="36">
        <f>K147/J147</f>
        <v>11.95</v>
      </c>
      <c r="I147" s="30" t="s">
        <v>22</v>
      </c>
      <c r="J147" s="32">
        <v>96000</v>
      </c>
      <c r="K147" s="36">
        <f>J147*11.95</f>
        <v>1147200</v>
      </c>
      <c r="L147" s="30" t="str">
        <f>TEXT(IFERROR(((K147-K148)/K148*100),"0.00"),"0.00")</f>
        <v>0.00</v>
      </c>
      <c r="M147" s="36">
        <f>(10+J147*3)</f>
        <v>288010</v>
      </c>
      <c r="N147" s="35" t="s">
        <v>54</v>
      </c>
      <c r="O147" s="30" t="s">
        <v>213</v>
      </c>
      <c r="P147" s="30" t="s">
        <v>549</v>
      </c>
      <c r="Q147" s="30"/>
      <c r="R147" s="30"/>
    </row>
    <row r="148" spans="1:18" x14ac:dyDescent="0.35">
      <c r="A148" s="8"/>
      <c r="B148" s="8"/>
      <c r="C148" s="33" t="s">
        <v>196</v>
      </c>
      <c r="D148" s="33"/>
      <c r="E148" s="33"/>
      <c r="F148" s="33"/>
      <c r="G148" s="33"/>
      <c r="H148" s="38">
        <f>IFERROR(K148/J148,"0")</f>
        <v>0</v>
      </c>
      <c r="I148" s="33" t="s">
        <v>22</v>
      </c>
      <c r="J148" s="34">
        <v>96000</v>
      </c>
      <c r="K148" s="40">
        <v>0</v>
      </c>
      <c r="L148" s="33"/>
      <c r="M148" s="33"/>
      <c r="N148" s="33"/>
      <c r="O148" s="33"/>
      <c r="P148" s="33"/>
      <c r="Q148" s="33"/>
      <c r="R148" s="33"/>
    </row>
    <row r="149" spans="1:18" hidden="1" x14ac:dyDescent="0.35">
      <c r="A149" s="8"/>
      <c r="B149" s="8"/>
      <c r="C149" s="43" t="s">
        <v>197</v>
      </c>
      <c r="D149" s="43"/>
      <c r="E149" s="43"/>
      <c r="F149" s="43"/>
      <c r="G149" s="43"/>
      <c r="H149" s="43"/>
      <c r="I149" s="43"/>
      <c r="J149" s="43"/>
      <c r="K149" s="45"/>
      <c r="L149" s="43"/>
      <c r="M149" s="43"/>
      <c r="N149" s="43"/>
      <c r="O149" s="43"/>
      <c r="P149" s="43"/>
      <c r="Q149" s="43"/>
      <c r="R149" s="43"/>
    </row>
    <row r="150" spans="1:18" hidden="1" x14ac:dyDescent="0.35">
      <c r="A150" s="8"/>
      <c r="B150" s="8"/>
      <c r="C150" s="44" t="s">
        <v>198</v>
      </c>
      <c r="D150" s="44"/>
      <c r="E150" s="44"/>
      <c r="F150" s="44"/>
      <c r="G150" s="44"/>
      <c r="H150" s="44"/>
      <c r="I150" s="44"/>
      <c r="J150" s="44"/>
      <c r="K150" s="46"/>
      <c r="L150" s="44"/>
      <c r="M150" s="44"/>
      <c r="N150" s="44"/>
      <c r="O150" s="44"/>
      <c r="P150" s="44"/>
      <c r="Q150" s="44"/>
      <c r="R150" s="44"/>
    </row>
    <row r="151" spans="1:18" ht="29" x14ac:dyDescent="0.35">
      <c r="A151" s="59" t="s">
        <v>105</v>
      </c>
      <c r="B151" s="8"/>
      <c r="C151" s="30" t="s">
        <v>201</v>
      </c>
      <c r="D151" s="30"/>
      <c r="E151" s="30"/>
      <c r="F151" s="31" t="s">
        <v>212</v>
      </c>
      <c r="G151" s="30" t="s">
        <v>210</v>
      </c>
      <c r="H151" s="36">
        <f>K151/J151</f>
        <v>33.863999999999997</v>
      </c>
      <c r="I151" s="30" t="s">
        <v>22</v>
      </c>
      <c r="J151" s="32">
        <v>120000</v>
      </c>
      <c r="K151" s="36">
        <f>'UC01 - CALCULATOIN'!C13</f>
        <v>4063680</v>
      </c>
      <c r="L151" s="30" t="str">
        <f>TEXT(IFERROR(((K151-K152)/K152*100),"0.00"),"0.00")</f>
        <v>0.00</v>
      </c>
      <c r="M151" s="36">
        <f>(10+J151*3)</f>
        <v>360010</v>
      </c>
      <c r="N151" s="35" t="s">
        <v>54</v>
      </c>
      <c r="O151" s="30" t="s">
        <v>213</v>
      </c>
      <c r="P151" s="30" t="s">
        <v>549</v>
      </c>
      <c r="Q151" s="30"/>
      <c r="R151" s="30"/>
    </row>
    <row r="152" spans="1:18" x14ac:dyDescent="0.35">
      <c r="A152" s="8"/>
      <c r="B152" s="8"/>
      <c r="C152" s="33" t="s">
        <v>196</v>
      </c>
      <c r="D152" s="33"/>
      <c r="E152" s="33"/>
      <c r="F152" s="33"/>
      <c r="G152" s="33"/>
      <c r="H152" s="38">
        <f>IFERROR(K152/J152,"0")</f>
        <v>0</v>
      </c>
      <c r="I152" s="33" t="s">
        <v>22</v>
      </c>
      <c r="J152" s="34">
        <v>120000</v>
      </c>
      <c r="K152" s="40">
        <v>0</v>
      </c>
      <c r="L152" s="33"/>
      <c r="M152" s="33"/>
      <c r="N152" s="33"/>
      <c r="O152" s="33"/>
      <c r="P152" s="33"/>
      <c r="Q152" s="33"/>
      <c r="R152" s="33"/>
    </row>
    <row r="153" spans="1:18" hidden="1" x14ac:dyDescent="0.35">
      <c r="A153" s="8"/>
      <c r="B153" s="8"/>
      <c r="C153" s="43" t="s">
        <v>197</v>
      </c>
      <c r="D153" s="43"/>
      <c r="E153" s="43"/>
      <c r="F153" s="43"/>
      <c r="G153" s="43"/>
      <c r="H153" s="43"/>
      <c r="I153" s="43"/>
      <c r="J153" s="43"/>
      <c r="K153" s="45"/>
      <c r="L153" s="43"/>
      <c r="M153" s="43"/>
      <c r="N153" s="43"/>
      <c r="O153" s="43"/>
      <c r="P153" s="43"/>
      <c r="Q153" s="43"/>
      <c r="R153" s="43"/>
    </row>
    <row r="154" spans="1:18" hidden="1" x14ac:dyDescent="0.35">
      <c r="A154" s="8"/>
      <c r="B154" s="8"/>
      <c r="C154" s="44" t="s">
        <v>198</v>
      </c>
      <c r="D154" s="44"/>
      <c r="E154" s="44"/>
      <c r="F154" s="44"/>
      <c r="G154" s="44"/>
      <c r="H154" s="44"/>
      <c r="I154" s="44"/>
      <c r="J154" s="44"/>
      <c r="K154" s="46"/>
      <c r="L154" s="44"/>
      <c r="M154" s="44"/>
      <c r="N154" s="44"/>
      <c r="O154" s="44"/>
      <c r="P154" s="44"/>
      <c r="Q154" s="44"/>
      <c r="R154" s="44"/>
    </row>
    <row r="155" spans="1:18" x14ac:dyDescent="0.35">
      <c r="A155" s="52" t="s">
        <v>195</v>
      </c>
      <c r="B155" s="52"/>
      <c r="C155" s="52" t="s">
        <v>201</v>
      </c>
      <c r="D155" s="52"/>
      <c r="E155" s="52"/>
      <c r="F155" s="52"/>
      <c r="G155" s="52"/>
      <c r="H155" s="52"/>
      <c r="I155" s="52"/>
      <c r="J155" s="53">
        <f>SUMIFS(J157:J186,C157:C186,C155)</f>
        <v>8</v>
      </c>
      <c r="K155" s="54">
        <f>SUMIFS(K157:K188,C157:C188,C155)</f>
        <v>3027.5800000000004</v>
      </c>
      <c r="L155" s="52"/>
      <c r="M155" s="54">
        <f>SUMIFS(M157:M188,C157:C188,C155)</f>
        <v>104</v>
      </c>
      <c r="N155" s="52"/>
      <c r="O155" s="52"/>
      <c r="P155" s="52"/>
      <c r="Q155" s="52"/>
      <c r="R155" s="52"/>
    </row>
    <row r="156" spans="1:18" x14ac:dyDescent="0.35">
      <c r="A156" s="52" t="s">
        <v>195</v>
      </c>
      <c r="B156" s="52"/>
      <c r="C156" s="52" t="s">
        <v>196</v>
      </c>
      <c r="D156" s="52"/>
      <c r="E156" s="52"/>
      <c r="F156" s="52"/>
      <c r="G156" s="52"/>
      <c r="H156" s="52"/>
      <c r="I156" s="52"/>
      <c r="J156" s="53">
        <f>SUMIFS(J157:J186,C157:C186,C156)</f>
        <v>0</v>
      </c>
      <c r="K156" s="54">
        <f>SUMIFS(K157:K188,C157:C188,C156)</f>
        <v>0</v>
      </c>
      <c r="L156" s="52"/>
      <c r="M156" s="54">
        <f>SUMIFS(M157:M188,C157:C188,C156)</f>
        <v>0</v>
      </c>
      <c r="N156" s="52"/>
      <c r="O156" s="52"/>
      <c r="P156" s="52"/>
      <c r="Q156" s="52"/>
      <c r="R156" s="52"/>
    </row>
    <row r="157" spans="1:18" x14ac:dyDescent="0.35">
      <c r="A157" s="59" t="s">
        <v>106</v>
      </c>
      <c r="B157" s="8"/>
      <c r="C157" s="30" t="s">
        <v>201</v>
      </c>
      <c r="D157" s="30"/>
      <c r="E157" s="30"/>
      <c r="F157" s="39">
        <v>0.15</v>
      </c>
      <c r="G157" s="30" t="str">
        <f>CONCATENATE("USD,FLAT ",TEXT(F157,"0.00"))</f>
        <v>USD,FLAT 0.15</v>
      </c>
      <c r="H157" s="36">
        <f>(K157/J157)</f>
        <v>3000.15</v>
      </c>
      <c r="I157" s="30" t="s">
        <v>22</v>
      </c>
      <c r="J157" s="32">
        <v>1</v>
      </c>
      <c r="K157" s="39">
        <f>J157*F157+3000</f>
        <v>3000.15</v>
      </c>
      <c r="L157" s="30" t="str">
        <f>TEXT(IFERROR(((K157-K158)/K158*100),"0.00"),"0.00")</f>
        <v>0.00</v>
      </c>
      <c r="M157" s="36">
        <f>(10+J157*3)</f>
        <v>13</v>
      </c>
      <c r="N157" s="35" t="s">
        <v>54</v>
      </c>
      <c r="O157" s="30" t="s">
        <v>213</v>
      </c>
      <c r="P157" s="30" t="s">
        <v>549</v>
      </c>
      <c r="Q157" s="30"/>
      <c r="R157" s="30"/>
    </row>
    <row r="158" spans="1:18" x14ac:dyDescent="0.35">
      <c r="A158" s="8"/>
      <c r="B158" s="8"/>
      <c r="C158" s="33" t="s">
        <v>196</v>
      </c>
      <c r="D158" s="33"/>
      <c r="E158" s="33"/>
      <c r="F158" s="33"/>
      <c r="G158" s="33"/>
      <c r="H158" s="38" t="str">
        <f>IFERROR(K158/J158,"0")</f>
        <v>0</v>
      </c>
      <c r="I158" s="33"/>
      <c r="J158" s="34"/>
      <c r="K158" s="40"/>
      <c r="L158" s="33"/>
      <c r="M158" s="33"/>
      <c r="N158" s="33"/>
      <c r="O158" s="33"/>
      <c r="P158" s="33"/>
      <c r="Q158" s="33"/>
      <c r="R158" s="33"/>
    </row>
    <row r="159" spans="1:18" hidden="1" x14ac:dyDescent="0.35">
      <c r="A159" s="8"/>
      <c r="B159" s="8"/>
      <c r="C159" s="43" t="s">
        <v>197</v>
      </c>
      <c r="D159" s="43"/>
      <c r="E159" s="43"/>
      <c r="F159" s="43"/>
      <c r="G159" s="43"/>
      <c r="H159" s="43"/>
      <c r="I159" s="43"/>
      <c r="J159" s="43"/>
      <c r="K159" s="45"/>
      <c r="L159" s="43"/>
      <c r="M159" s="43"/>
      <c r="N159" s="43"/>
      <c r="O159" s="43"/>
      <c r="P159" s="43"/>
      <c r="Q159" s="43"/>
      <c r="R159" s="43"/>
    </row>
    <row r="160" spans="1:18" hidden="1" x14ac:dyDescent="0.35">
      <c r="A160" s="8"/>
      <c r="B160" s="8"/>
      <c r="C160" s="44" t="s">
        <v>198</v>
      </c>
      <c r="D160" s="44"/>
      <c r="E160" s="44"/>
      <c r="F160" s="44"/>
      <c r="G160" s="44"/>
      <c r="H160" s="44"/>
      <c r="I160" s="44"/>
      <c r="J160" s="44"/>
      <c r="K160" s="46"/>
      <c r="L160" s="44"/>
      <c r="M160" s="44"/>
      <c r="N160" s="44"/>
      <c r="O160" s="44"/>
      <c r="P160" s="44"/>
      <c r="Q160" s="44"/>
      <c r="R160" s="44"/>
    </row>
    <row r="161" spans="1:18" x14ac:dyDescent="0.35">
      <c r="A161" s="59" t="s">
        <v>107</v>
      </c>
      <c r="B161" s="8"/>
      <c r="C161" s="30" t="s">
        <v>201</v>
      </c>
      <c r="D161" s="30"/>
      <c r="E161" s="30"/>
      <c r="F161" s="39">
        <v>2.0499999999999998</v>
      </c>
      <c r="G161" s="30" t="str">
        <f>CONCATENATE("USD,FLAT ",TEXT(F161,"0.00"))</f>
        <v>USD,FLAT 2.05</v>
      </c>
      <c r="H161" s="36">
        <f>K161/J161</f>
        <v>2.0499999999999998</v>
      </c>
      <c r="I161" s="30" t="s">
        <v>22</v>
      </c>
      <c r="J161" s="32">
        <v>1</v>
      </c>
      <c r="K161" s="39">
        <f>J161*F161</f>
        <v>2.0499999999999998</v>
      </c>
      <c r="L161" s="30" t="str">
        <f>TEXT(IFERROR(((K161-K162)/K162*100),"0.00"),"0.00")</f>
        <v>0.00</v>
      </c>
      <c r="M161" s="36">
        <f>(10+J161*3)</f>
        <v>13</v>
      </c>
      <c r="N161" s="35" t="s">
        <v>54</v>
      </c>
      <c r="O161" s="30" t="s">
        <v>213</v>
      </c>
      <c r="P161" s="30" t="s">
        <v>549</v>
      </c>
      <c r="Q161" s="30"/>
      <c r="R161" s="30"/>
    </row>
    <row r="162" spans="1:18" x14ac:dyDescent="0.35">
      <c r="A162" s="8"/>
      <c r="B162" s="8"/>
      <c r="C162" s="33" t="s">
        <v>196</v>
      </c>
      <c r="D162" s="33"/>
      <c r="E162" s="33"/>
      <c r="F162" s="33"/>
      <c r="G162" s="33"/>
      <c r="H162" s="38" t="str">
        <f>IFERROR(K162/J162,"0")</f>
        <v>0</v>
      </c>
      <c r="I162" s="33"/>
      <c r="J162" s="34"/>
      <c r="K162" s="40"/>
      <c r="L162" s="33"/>
      <c r="M162" s="33"/>
      <c r="N162" s="33"/>
      <c r="O162" s="33"/>
      <c r="P162" s="33"/>
      <c r="Q162" s="33"/>
      <c r="R162" s="33"/>
    </row>
    <row r="163" spans="1:18" hidden="1" x14ac:dyDescent="0.35">
      <c r="A163" s="8"/>
      <c r="B163" s="8"/>
      <c r="C163" s="43" t="s">
        <v>197</v>
      </c>
      <c r="D163" s="43"/>
      <c r="E163" s="43"/>
      <c r="F163" s="43"/>
      <c r="G163" s="43"/>
      <c r="H163" s="43"/>
      <c r="I163" s="43"/>
      <c r="J163" s="43"/>
      <c r="K163" s="45"/>
      <c r="L163" s="43"/>
      <c r="M163" s="43"/>
      <c r="N163" s="43"/>
      <c r="O163" s="43"/>
      <c r="P163" s="43"/>
      <c r="Q163" s="43"/>
      <c r="R163" s="43"/>
    </row>
    <row r="164" spans="1:18" hidden="1" x14ac:dyDescent="0.35">
      <c r="A164" s="8"/>
      <c r="B164" s="8"/>
      <c r="C164" s="44" t="s">
        <v>198</v>
      </c>
      <c r="D164" s="44"/>
      <c r="E164" s="44"/>
      <c r="F164" s="44"/>
      <c r="G164" s="44"/>
      <c r="H164" s="44"/>
      <c r="I164" s="44"/>
      <c r="J164" s="44"/>
      <c r="K164" s="46"/>
      <c r="L164" s="44"/>
      <c r="M164" s="44"/>
      <c r="N164" s="44"/>
      <c r="O164" s="44"/>
      <c r="P164" s="44"/>
      <c r="Q164" s="44"/>
      <c r="R164" s="44"/>
    </row>
    <row r="165" spans="1:18" x14ac:dyDescent="0.35">
      <c r="A165" s="59" t="s">
        <v>107</v>
      </c>
      <c r="B165" s="8" t="s">
        <v>51</v>
      </c>
      <c r="C165" s="30" t="s">
        <v>201</v>
      </c>
      <c r="D165" s="30"/>
      <c r="E165" s="30"/>
      <c r="F165" s="39">
        <v>0.75</v>
      </c>
      <c r="G165" s="30" t="str">
        <f>CONCATENATE("USD,FLAT ",TEXT(F165,"0.00"))</f>
        <v>USD,FLAT 0.75</v>
      </c>
      <c r="H165" s="36">
        <f>K165/J165</f>
        <v>0.75</v>
      </c>
      <c r="I165" s="30" t="s">
        <v>22</v>
      </c>
      <c r="J165" s="32">
        <v>1</v>
      </c>
      <c r="K165" s="39">
        <f>J165*F165</f>
        <v>0.75</v>
      </c>
      <c r="L165" s="30" t="str">
        <f>TEXT(IFERROR(((K165-K166)/K166*100),"0.00"),"0.00")</f>
        <v>0.00</v>
      </c>
      <c r="M165" s="36">
        <f>(10+J165*3)</f>
        <v>13</v>
      </c>
      <c r="N165" s="35" t="s">
        <v>54</v>
      </c>
      <c r="O165" s="30" t="s">
        <v>213</v>
      </c>
      <c r="P165" s="30" t="s">
        <v>549</v>
      </c>
      <c r="Q165" s="30"/>
      <c r="R165" s="30"/>
    </row>
    <row r="166" spans="1:18" x14ac:dyDescent="0.35">
      <c r="A166" s="8"/>
      <c r="B166" s="8"/>
      <c r="C166" s="33" t="s">
        <v>196</v>
      </c>
      <c r="D166" s="33"/>
      <c r="E166" s="33"/>
      <c r="F166" s="33"/>
      <c r="G166" s="33"/>
      <c r="H166" s="38" t="str">
        <f>IFERROR(K166/J166,"0")</f>
        <v>0</v>
      </c>
      <c r="I166" s="33"/>
      <c r="J166" s="34"/>
      <c r="K166" s="40"/>
      <c r="L166" s="33"/>
      <c r="M166" s="33"/>
      <c r="N166" s="33"/>
      <c r="O166" s="33"/>
      <c r="P166" s="33"/>
      <c r="Q166" s="33"/>
      <c r="R166" s="33"/>
    </row>
    <row r="167" spans="1:18" hidden="1" x14ac:dyDescent="0.35">
      <c r="A167" s="8"/>
      <c r="B167" s="8"/>
      <c r="C167" s="43" t="s">
        <v>197</v>
      </c>
      <c r="D167" s="43"/>
      <c r="E167" s="43"/>
      <c r="F167" s="43"/>
      <c r="G167" s="43"/>
      <c r="H167" s="43"/>
      <c r="I167" s="43"/>
      <c r="J167" s="43"/>
      <c r="K167" s="45"/>
      <c r="L167" s="43"/>
      <c r="M167" s="43"/>
      <c r="N167" s="43"/>
      <c r="O167" s="43"/>
      <c r="P167" s="43"/>
      <c r="Q167" s="43"/>
      <c r="R167" s="43"/>
    </row>
    <row r="168" spans="1:18" hidden="1" x14ac:dyDescent="0.35">
      <c r="A168" s="8"/>
      <c r="B168" s="8"/>
      <c r="C168" s="44" t="s">
        <v>198</v>
      </c>
      <c r="D168" s="44"/>
      <c r="E168" s="44"/>
      <c r="F168" s="44"/>
      <c r="G168" s="44"/>
      <c r="H168" s="44"/>
      <c r="I168" s="44"/>
      <c r="J168" s="44"/>
      <c r="K168" s="46"/>
      <c r="L168" s="44"/>
      <c r="M168" s="44"/>
      <c r="N168" s="44"/>
      <c r="O168" s="44"/>
      <c r="P168" s="44"/>
      <c r="Q168" s="44"/>
      <c r="R168" s="44"/>
    </row>
    <row r="169" spans="1:18" x14ac:dyDescent="0.35">
      <c r="A169" s="59" t="s">
        <v>107</v>
      </c>
      <c r="B169" s="8" t="s">
        <v>202</v>
      </c>
      <c r="C169" s="30" t="s">
        <v>201</v>
      </c>
      <c r="D169" s="30"/>
      <c r="E169" s="30"/>
      <c r="F169" s="39">
        <v>0.3</v>
      </c>
      <c r="G169" s="30" t="str">
        <f>CONCATENATE("USD,FLAT ",TEXT(F169,"0.00"))</f>
        <v>USD,FLAT 0.30</v>
      </c>
      <c r="H169" s="36">
        <f>K169/J169</f>
        <v>0.3</v>
      </c>
      <c r="I169" s="30" t="s">
        <v>22</v>
      </c>
      <c r="J169" s="32">
        <v>1</v>
      </c>
      <c r="K169" s="39">
        <f>J169*F169</f>
        <v>0.3</v>
      </c>
      <c r="L169" s="30" t="str">
        <f>TEXT(IFERROR(((K169-K170)/K170*100),"0.00"),"0.00")</f>
        <v>0.00</v>
      </c>
      <c r="M169" s="36">
        <f>(10+J169*3)</f>
        <v>13</v>
      </c>
      <c r="N169" s="35" t="s">
        <v>54</v>
      </c>
      <c r="O169" s="30" t="s">
        <v>213</v>
      </c>
      <c r="P169" s="30" t="s">
        <v>549</v>
      </c>
      <c r="Q169" s="30"/>
      <c r="R169" s="30"/>
    </row>
    <row r="170" spans="1:18" x14ac:dyDescent="0.35">
      <c r="A170" s="8"/>
      <c r="B170" s="8"/>
      <c r="C170" s="33" t="s">
        <v>196</v>
      </c>
      <c r="D170" s="33"/>
      <c r="E170" s="33"/>
      <c r="F170" s="33"/>
      <c r="G170" s="33"/>
      <c r="H170" s="38" t="str">
        <f>IFERROR(K170/J170,"0")</f>
        <v>0</v>
      </c>
      <c r="I170" s="33"/>
      <c r="J170" s="34"/>
      <c r="K170" s="40"/>
      <c r="L170" s="33"/>
      <c r="M170" s="33"/>
      <c r="N170" s="33"/>
      <c r="O170" s="33"/>
      <c r="P170" s="33"/>
      <c r="Q170" s="33"/>
      <c r="R170" s="33"/>
    </row>
    <row r="171" spans="1:18" hidden="1" x14ac:dyDescent="0.35">
      <c r="A171" s="8"/>
      <c r="B171" s="8"/>
      <c r="C171" s="43" t="s">
        <v>197</v>
      </c>
      <c r="D171" s="43"/>
      <c r="E171" s="43"/>
      <c r="F171" s="43"/>
      <c r="G171" s="43"/>
      <c r="H171" s="43"/>
      <c r="I171" s="43"/>
      <c r="J171" s="43"/>
      <c r="K171" s="45"/>
      <c r="L171" s="43"/>
      <c r="M171" s="43"/>
      <c r="N171" s="43"/>
      <c r="O171" s="43"/>
      <c r="P171" s="43"/>
      <c r="Q171" s="43"/>
      <c r="R171" s="43"/>
    </row>
    <row r="172" spans="1:18" hidden="1" x14ac:dyDescent="0.35">
      <c r="A172" s="8"/>
      <c r="B172" s="8"/>
      <c r="C172" s="44" t="s">
        <v>198</v>
      </c>
      <c r="D172" s="44"/>
      <c r="E172" s="44"/>
      <c r="F172" s="44"/>
      <c r="G172" s="44"/>
      <c r="H172" s="44"/>
      <c r="I172" s="44"/>
      <c r="J172" s="44"/>
      <c r="K172" s="46"/>
      <c r="L172" s="44"/>
      <c r="M172" s="44"/>
      <c r="N172" s="44"/>
      <c r="O172" s="44"/>
      <c r="P172" s="44"/>
      <c r="Q172" s="44"/>
      <c r="R172" s="44"/>
    </row>
    <row r="173" spans="1:18" x14ac:dyDescent="0.35">
      <c r="A173" s="59" t="s">
        <v>107</v>
      </c>
      <c r="B173" s="8" t="s">
        <v>4</v>
      </c>
      <c r="C173" s="30" t="s">
        <v>201</v>
      </c>
      <c r="D173" s="30"/>
      <c r="E173" s="30"/>
      <c r="F173" s="39">
        <v>6.67</v>
      </c>
      <c r="G173" s="30" t="str">
        <f>CONCATENATE("USD,FLAT ",TEXT(F173,"0.00"))</f>
        <v>USD,FLAT 6.67</v>
      </c>
      <c r="H173" s="36">
        <f>K173/J173</f>
        <v>6.67</v>
      </c>
      <c r="I173" s="30" t="s">
        <v>22</v>
      </c>
      <c r="J173" s="32">
        <v>1</v>
      </c>
      <c r="K173" s="39">
        <f>J173*F173</f>
        <v>6.67</v>
      </c>
      <c r="L173" s="39" t="str">
        <f>IFERROR(((K173-K174)/K174*100),"0.00")</f>
        <v>0.00</v>
      </c>
      <c r="M173" s="36">
        <f>(10+J173*3)</f>
        <v>13</v>
      </c>
      <c r="N173" s="35" t="s">
        <v>54</v>
      </c>
      <c r="O173" s="30" t="s">
        <v>213</v>
      </c>
      <c r="P173" s="30" t="s">
        <v>549</v>
      </c>
      <c r="Q173" s="30"/>
      <c r="R173" s="30"/>
    </row>
    <row r="174" spans="1:18" x14ac:dyDescent="0.35">
      <c r="A174" s="8"/>
      <c r="B174" s="8"/>
      <c r="C174" s="33" t="s">
        <v>196</v>
      </c>
      <c r="D174" s="33"/>
      <c r="E174" s="33"/>
      <c r="F174" s="33"/>
      <c r="G174" s="33"/>
      <c r="H174" s="38" t="str">
        <f>IFERROR(K174/J174,"0")</f>
        <v>0</v>
      </c>
      <c r="I174" s="33"/>
      <c r="J174" s="34"/>
      <c r="K174" s="40"/>
      <c r="L174" s="33"/>
      <c r="M174" s="33"/>
      <c r="N174" s="33"/>
      <c r="O174" s="33"/>
      <c r="P174" s="33"/>
      <c r="Q174" s="33"/>
      <c r="R174" s="33"/>
    </row>
    <row r="175" spans="1:18" hidden="1" x14ac:dyDescent="0.35">
      <c r="A175" s="8"/>
      <c r="B175" s="8"/>
      <c r="C175" s="43" t="s">
        <v>197</v>
      </c>
      <c r="D175" s="43"/>
      <c r="E175" s="43"/>
      <c r="F175" s="43"/>
      <c r="G175" s="43"/>
      <c r="H175" s="43"/>
      <c r="I175" s="43"/>
      <c r="J175" s="43"/>
      <c r="K175" s="45"/>
      <c r="L175" s="43"/>
      <c r="M175" s="43"/>
      <c r="N175" s="43"/>
      <c r="O175" s="43"/>
      <c r="P175" s="43"/>
      <c r="Q175" s="43"/>
      <c r="R175" s="43"/>
    </row>
    <row r="176" spans="1:18" hidden="1" x14ac:dyDescent="0.35">
      <c r="A176" s="8"/>
      <c r="B176" s="8"/>
      <c r="C176" s="44" t="s">
        <v>198</v>
      </c>
      <c r="D176" s="44"/>
      <c r="E176" s="44"/>
      <c r="F176" s="44"/>
      <c r="G176" s="44"/>
      <c r="H176" s="44"/>
      <c r="I176" s="44"/>
      <c r="J176" s="44"/>
      <c r="K176" s="46"/>
      <c r="L176" s="44"/>
      <c r="M176" s="44"/>
      <c r="N176" s="44"/>
      <c r="O176" s="44"/>
      <c r="P176" s="44"/>
      <c r="Q176" s="44"/>
      <c r="R176" s="44"/>
    </row>
    <row r="177" spans="1:18" x14ac:dyDescent="0.35">
      <c r="A177" s="59" t="s">
        <v>108</v>
      </c>
      <c r="B177" s="8"/>
      <c r="C177" s="30" t="s">
        <v>201</v>
      </c>
      <c r="D177" s="30"/>
      <c r="E177" s="30"/>
      <c r="F177" s="39">
        <v>0.4</v>
      </c>
      <c r="G177" s="30" t="str">
        <f>CONCATENATE("USD,FLAT ",TEXT(F177,"0.00"))</f>
        <v>USD,FLAT 0.40</v>
      </c>
      <c r="H177" s="36">
        <f>K177/J177</f>
        <v>0.4</v>
      </c>
      <c r="I177" s="30" t="s">
        <v>22</v>
      </c>
      <c r="J177" s="32">
        <v>1</v>
      </c>
      <c r="K177" s="39">
        <f>J177*F177</f>
        <v>0.4</v>
      </c>
      <c r="L177" s="30" t="str">
        <f>TEXT(IFERROR(((K177-K178)/K178*100),"0.00"),"0.00")</f>
        <v>0.00</v>
      </c>
      <c r="M177" s="36">
        <f>(10+J177*3)</f>
        <v>13</v>
      </c>
      <c r="N177" s="35" t="s">
        <v>54</v>
      </c>
      <c r="O177" s="30" t="s">
        <v>213</v>
      </c>
      <c r="P177" s="30" t="s">
        <v>549</v>
      </c>
      <c r="Q177" s="30"/>
      <c r="R177" s="30"/>
    </row>
    <row r="178" spans="1:18" x14ac:dyDescent="0.35">
      <c r="A178" s="8"/>
      <c r="B178" s="8"/>
      <c r="C178" s="33" t="s">
        <v>196</v>
      </c>
      <c r="D178" s="33"/>
      <c r="E178" s="33"/>
      <c r="F178" s="33"/>
      <c r="G178" s="33"/>
      <c r="H178" s="38" t="str">
        <f>IFERROR(K178/J178,"0")</f>
        <v>0</v>
      </c>
      <c r="I178" s="33"/>
      <c r="J178" s="34"/>
      <c r="K178" s="40"/>
      <c r="L178" s="33"/>
      <c r="M178" s="33"/>
      <c r="N178" s="33"/>
      <c r="O178" s="33"/>
      <c r="P178" s="33"/>
      <c r="Q178" s="33"/>
      <c r="R178" s="33"/>
    </row>
    <row r="179" spans="1:18" hidden="1" x14ac:dyDescent="0.35">
      <c r="A179" s="8"/>
      <c r="B179" s="8"/>
      <c r="C179" s="43" t="s">
        <v>197</v>
      </c>
      <c r="D179" s="43"/>
      <c r="E179" s="43"/>
      <c r="F179" s="43"/>
      <c r="G179" s="43"/>
      <c r="H179" s="43"/>
      <c r="I179" s="43"/>
      <c r="J179" s="43"/>
      <c r="K179" s="45"/>
      <c r="L179" s="43"/>
      <c r="M179" s="43"/>
      <c r="N179" s="43"/>
      <c r="O179" s="43"/>
      <c r="P179" s="43"/>
      <c r="Q179" s="43"/>
      <c r="R179" s="43"/>
    </row>
    <row r="180" spans="1:18" hidden="1" x14ac:dyDescent="0.35">
      <c r="A180" s="8"/>
      <c r="B180" s="8"/>
      <c r="C180" s="44" t="s">
        <v>198</v>
      </c>
      <c r="D180" s="44"/>
      <c r="E180" s="44"/>
      <c r="F180" s="44"/>
      <c r="G180" s="44"/>
      <c r="H180" s="44"/>
      <c r="I180" s="44"/>
      <c r="J180" s="44"/>
      <c r="K180" s="46"/>
      <c r="L180" s="44"/>
      <c r="M180" s="44"/>
      <c r="N180" s="44"/>
      <c r="O180" s="44"/>
      <c r="P180" s="44"/>
      <c r="Q180" s="44"/>
      <c r="R180" s="44"/>
    </row>
    <row r="181" spans="1:18" x14ac:dyDescent="0.35">
      <c r="A181" s="59" t="s">
        <v>109</v>
      </c>
      <c r="B181" s="8"/>
      <c r="C181" s="30" t="s">
        <v>201</v>
      </c>
      <c r="D181" s="30"/>
      <c r="E181" s="30"/>
      <c r="F181" s="39">
        <v>0.6</v>
      </c>
      <c r="G181" s="30" t="str">
        <f>CONCATENATE("USD,FLAT ",TEXT(F181,"0.00"))</f>
        <v>USD,FLAT 0.60</v>
      </c>
      <c r="H181" s="36">
        <f>K181/J181</f>
        <v>0.6</v>
      </c>
      <c r="I181" s="30" t="s">
        <v>22</v>
      </c>
      <c r="J181" s="32">
        <v>1</v>
      </c>
      <c r="K181" s="39">
        <f>J181*F181</f>
        <v>0.6</v>
      </c>
      <c r="L181" s="30" t="str">
        <f>TEXT(IFERROR(((K181-K182)/K182*100),"0.00"),"0.00")</f>
        <v>0.00</v>
      </c>
      <c r="M181" s="36">
        <f>(10+J181*3)</f>
        <v>13</v>
      </c>
      <c r="N181" s="35" t="s">
        <v>54</v>
      </c>
      <c r="O181" s="30" t="s">
        <v>213</v>
      </c>
      <c r="P181" s="30" t="s">
        <v>549</v>
      </c>
      <c r="Q181" s="30"/>
      <c r="R181" s="30"/>
    </row>
    <row r="182" spans="1:18" x14ac:dyDescent="0.35">
      <c r="A182" s="8"/>
      <c r="B182" s="8"/>
      <c r="C182" s="33" t="s">
        <v>196</v>
      </c>
      <c r="D182" s="33"/>
      <c r="E182" s="33"/>
      <c r="F182" s="33"/>
      <c r="G182" s="33"/>
      <c r="H182" s="38" t="str">
        <f>IFERROR(K182/J182,"0")</f>
        <v>0</v>
      </c>
      <c r="I182" s="33"/>
      <c r="J182" s="34"/>
      <c r="K182" s="40"/>
      <c r="L182" s="33"/>
      <c r="M182" s="33"/>
      <c r="N182" s="33"/>
      <c r="O182" s="33"/>
      <c r="P182" s="33"/>
      <c r="Q182" s="33"/>
      <c r="R182" s="33"/>
    </row>
    <row r="183" spans="1:18" hidden="1" x14ac:dyDescent="0.35">
      <c r="A183" s="8"/>
      <c r="B183" s="8"/>
      <c r="C183" s="43" t="s">
        <v>197</v>
      </c>
      <c r="D183" s="43"/>
      <c r="E183" s="43"/>
      <c r="F183" s="43"/>
      <c r="G183" s="43"/>
      <c r="H183" s="43"/>
      <c r="I183" s="43"/>
      <c r="J183" s="43"/>
      <c r="K183" s="45"/>
      <c r="L183" s="43"/>
      <c r="M183" s="43"/>
      <c r="N183" s="43"/>
      <c r="O183" s="43"/>
      <c r="P183" s="43"/>
      <c r="Q183" s="43"/>
      <c r="R183" s="43"/>
    </row>
    <row r="184" spans="1:18" hidden="1" x14ac:dyDescent="0.35">
      <c r="A184" s="8"/>
      <c r="B184" s="8"/>
      <c r="C184" s="44" t="s">
        <v>198</v>
      </c>
      <c r="D184" s="44"/>
      <c r="E184" s="44"/>
      <c r="F184" s="44"/>
      <c r="G184" s="44"/>
      <c r="H184" s="44"/>
      <c r="I184" s="44"/>
      <c r="J184" s="44"/>
      <c r="K184" s="46"/>
      <c r="L184" s="44"/>
      <c r="M184" s="44"/>
      <c r="N184" s="44"/>
      <c r="O184" s="44"/>
      <c r="P184" s="44"/>
      <c r="Q184" s="44"/>
      <c r="R184" s="44"/>
    </row>
    <row r="185" spans="1:18" x14ac:dyDescent="0.35">
      <c r="A185" s="59" t="s">
        <v>110</v>
      </c>
      <c r="B185" s="47"/>
      <c r="C185" s="30" t="s">
        <v>201</v>
      </c>
      <c r="D185" s="30"/>
      <c r="E185" s="30"/>
      <c r="F185" s="30">
        <v>16.66</v>
      </c>
      <c r="G185" s="30" t="str">
        <f>CONCATENATE("USD,FLAT ",TEXT(F185,"0.00"))</f>
        <v>USD,FLAT 16.66</v>
      </c>
      <c r="H185" s="36">
        <f>K185/J185</f>
        <v>16.66</v>
      </c>
      <c r="I185" s="30" t="s">
        <v>22</v>
      </c>
      <c r="J185" s="32">
        <v>1</v>
      </c>
      <c r="K185" s="39">
        <f>J185*F185</f>
        <v>16.66</v>
      </c>
      <c r="L185" s="30" t="str">
        <f>TEXT(IFERROR(((K185-K186)/K186*100),"0.00"),"0.00")</f>
        <v>0.00</v>
      </c>
      <c r="M185" s="36">
        <f>(10+J185*3)</f>
        <v>13</v>
      </c>
      <c r="N185" s="35" t="s">
        <v>54</v>
      </c>
      <c r="O185" s="30" t="s">
        <v>213</v>
      </c>
      <c r="P185" s="30" t="s">
        <v>549</v>
      </c>
      <c r="Q185" s="30"/>
      <c r="R185" s="30"/>
    </row>
    <row r="186" spans="1:18" x14ac:dyDescent="0.35">
      <c r="A186" s="8"/>
      <c r="B186" s="47"/>
      <c r="C186" s="33" t="s">
        <v>196</v>
      </c>
      <c r="D186" s="33"/>
      <c r="E186" s="33"/>
      <c r="F186" s="33"/>
      <c r="G186" s="33"/>
      <c r="H186" s="38" t="str">
        <f>IFERROR(K186/J186,"0")</f>
        <v>0</v>
      </c>
      <c r="I186" s="33"/>
      <c r="J186" s="34"/>
      <c r="K186" s="40"/>
      <c r="L186" s="33"/>
      <c r="M186" s="33"/>
      <c r="N186" s="33"/>
      <c r="O186" s="33"/>
      <c r="P186" s="33"/>
      <c r="Q186" s="33"/>
      <c r="R186" s="33"/>
    </row>
    <row r="187" spans="1:18" hidden="1" x14ac:dyDescent="0.35">
      <c r="A187" s="8"/>
      <c r="B187" s="47"/>
      <c r="C187" s="43" t="s">
        <v>197</v>
      </c>
      <c r="D187" s="43"/>
      <c r="E187" s="43"/>
      <c r="F187" s="43"/>
      <c r="G187" s="43"/>
      <c r="H187" s="43"/>
      <c r="I187" s="43"/>
      <c r="J187" s="43"/>
      <c r="K187" s="45"/>
      <c r="L187" s="43"/>
      <c r="M187" s="43"/>
      <c r="N187" s="43"/>
      <c r="O187" s="43"/>
      <c r="P187" s="43"/>
      <c r="Q187" s="43"/>
      <c r="R187" s="43"/>
    </row>
    <row r="188" spans="1:18" hidden="1" x14ac:dyDescent="0.35">
      <c r="A188" s="8"/>
      <c r="B188" s="47"/>
      <c r="C188" s="44" t="s">
        <v>198</v>
      </c>
      <c r="D188" s="44"/>
      <c r="E188" s="44"/>
      <c r="F188" s="44"/>
      <c r="G188" s="44"/>
      <c r="H188" s="44"/>
      <c r="I188" s="44"/>
      <c r="J188" s="44"/>
      <c r="K188" s="46"/>
      <c r="L188" s="44"/>
      <c r="M188" s="44"/>
      <c r="N188" s="44"/>
      <c r="O188" s="44"/>
      <c r="P188" s="44"/>
      <c r="Q188" s="44"/>
      <c r="R188" s="44"/>
    </row>
    <row r="190" spans="1:18" x14ac:dyDescent="0.35">
      <c r="A190" s="251" t="s">
        <v>221</v>
      </c>
      <c r="B190" s="252"/>
      <c r="C190" s="252"/>
      <c r="D190" s="252"/>
      <c r="E190" s="252"/>
      <c r="F190" s="252"/>
      <c r="G190" s="252"/>
      <c r="H190" s="252"/>
    </row>
    <row r="191" spans="1:18" x14ac:dyDescent="0.35">
      <c r="A191" s="24" t="s">
        <v>1</v>
      </c>
      <c r="B191" s="24" t="s">
        <v>0</v>
      </c>
      <c r="C191" s="24" t="s">
        <v>204</v>
      </c>
      <c r="D191" s="24" t="s">
        <v>216</v>
      </c>
      <c r="E191" s="24" t="s">
        <v>227</v>
      </c>
      <c r="F191" s="24" t="s">
        <v>228</v>
      </c>
      <c r="G191" s="24" t="s">
        <v>217</v>
      </c>
      <c r="H191" s="24" t="s">
        <v>218</v>
      </c>
    </row>
    <row r="192" spans="1:18" x14ac:dyDescent="0.35">
      <c r="A192" s="21" t="str">
        <f>C4</f>
        <v>ABC_Cust1Auto,IND</v>
      </c>
      <c r="B192" s="23" t="str">
        <f>B4</f>
        <v>INDIA DIVISION</v>
      </c>
      <c r="C192" s="21" t="s">
        <v>219</v>
      </c>
      <c r="D192" s="55" t="e">
        <f>(E192-G192)/G192*100</f>
        <v>#VALUE!</v>
      </c>
      <c r="E192" s="219" t="str">
        <f>K121</f>
        <v>$6753624.78</v>
      </c>
      <c r="F192" s="7" t="str">
        <f>M121</f>
        <v>$1008157.00</v>
      </c>
      <c r="G192" s="219" t="str">
        <f>K122</f>
        <v>$648000.00</v>
      </c>
      <c r="H192" s="7" t="str">
        <f>M122</f>
        <v>$144010.00</v>
      </c>
    </row>
    <row r="194" spans="1:18" x14ac:dyDescent="0.35">
      <c r="A194" s="251" t="s">
        <v>220</v>
      </c>
      <c r="B194" s="252"/>
      <c r="C194" s="252"/>
      <c r="D194" s="252"/>
      <c r="E194" s="252"/>
      <c r="F194" s="252"/>
      <c r="G194" s="252"/>
      <c r="H194" s="252"/>
      <c r="I194" s="252"/>
      <c r="J194" s="252"/>
    </row>
    <row r="195" spans="1:18" x14ac:dyDescent="0.35">
      <c r="A195" s="253" t="s">
        <v>222</v>
      </c>
      <c r="B195" s="262" t="s">
        <v>225</v>
      </c>
      <c r="C195" s="263"/>
      <c r="D195" s="263"/>
      <c r="E195" s="264"/>
      <c r="F195" s="262" t="s">
        <v>226</v>
      </c>
      <c r="G195" s="263"/>
      <c r="H195" s="263"/>
      <c r="I195" s="264"/>
      <c r="J195" s="265" t="s">
        <v>224</v>
      </c>
    </row>
    <row r="196" spans="1:18" x14ac:dyDescent="0.35">
      <c r="A196" s="254"/>
      <c r="B196" s="24" t="s">
        <v>187</v>
      </c>
      <c r="C196" s="24" t="s">
        <v>189</v>
      </c>
      <c r="D196" s="24" t="s">
        <v>223</v>
      </c>
      <c r="E196" s="24" t="s">
        <v>229</v>
      </c>
      <c r="F196" s="24" t="s">
        <v>187</v>
      </c>
      <c r="G196" s="24" t="s">
        <v>189</v>
      </c>
      <c r="H196" s="24" t="s">
        <v>223</v>
      </c>
      <c r="I196" s="24" t="s">
        <v>229</v>
      </c>
      <c r="J196" s="266"/>
    </row>
    <row r="197" spans="1:18" x14ac:dyDescent="0.35">
      <c r="A197" s="96" t="s">
        <v>536</v>
      </c>
      <c r="B197" s="7" t="str">
        <f>E192</f>
        <v>$6753624.78</v>
      </c>
      <c r="C197" s="56" t="str">
        <f>F192</f>
        <v>$1008157.00</v>
      </c>
      <c r="D197" s="55" t="e">
        <f>"$"&amp;B197-C197</f>
        <v>#VALUE!</v>
      </c>
      <c r="E197" s="55" t="e">
        <f>((B197-C197)/B197*100)</f>
        <v>#VALUE!</v>
      </c>
      <c r="F197" s="56" t="str">
        <f>G192</f>
        <v>$648000.00</v>
      </c>
      <c r="G197" s="56" t="str">
        <f>H192</f>
        <v>$144010.00</v>
      </c>
      <c r="H197" s="55" t="e">
        <f>"$"&amp;F197-G197</f>
        <v>#VALUE!</v>
      </c>
      <c r="I197" s="55" t="e">
        <f>((F197-G197)/F197*100)</f>
        <v>#VALUE!</v>
      </c>
      <c r="J197" s="55" t="e">
        <f>((B197-F197)/F197*100)</f>
        <v>#VALUE!</v>
      </c>
      <c r="K197" s="236" t="e">
        <f>"$"&amp;B197-C197</f>
        <v>#VALUE!</v>
      </c>
    </row>
    <row r="199" spans="1:18" x14ac:dyDescent="0.35">
      <c r="A199" s="249" t="s">
        <v>153</v>
      </c>
      <c r="B199" s="250"/>
      <c r="C199" s="250"/>
      <c r="D199" s="250"/>
      <c r="E199" s="250"/>
      <c r="F199" s="250"/>
      <c r="G199" s="250"/>
      <c r="H199" s="250"/>
      <c r="I199" s="250"/>
      <c r="J199" s="250"/>
      <c r="K199" s="250"/>
      <c r="L199" s="250"/>
      <c r="M199" s="250"/>
      <c r="N199" s="250"/>
      <c r="O199" s="250"/>
      <c r="P199" s="250"/>
      <c r="Q199" s="250"/>
      <c r="R199" s="250"/>
    </row>
    <row r="200" spans="1:18" x14ac:dyDescent="0.35">
      <c r="A200" s="24" t="s">
        <v>153</v>
      </c>
      <c r="B200" s="24" t="s">
        <v>162</v>
      </c>
      <c r="C200" s="24" t="s">
        <v>163</v>
      </c>
      <c r="D200" s="24" t="s">
        <v>131</v>
      </c>
      <c r="E200" s="24" t="s">
        <v>132</v>
      </c>
      <c r="F200" s="24" t="s">
        <v>133</v>
      </c>
      <c r="G200" s="24" t="s">
        <v>134</v>
      </c>
      <c r="H200" s="24" t="s">
        <v>158</v>
      </c>
      <c r="I200" s="24" t="s">
        <v>398</v>
      </c>
      <c r="J200" s="24" t="s">
        <v>251</v>
      </c>
      <c r="K200" s="24" t="s">
        <v>159</v>
      </c>
      <c r="L200" s="24" t="s">
        <v>55</v>
      </c>
      <c r="M200" s="24" t="s">
        <v>56</v>
      </c>
      <c r="N200" s="24" t="s">
        <v>160</v>
      </c>
      <c r="O200" s="24" t="s">
        <v>544</v>
      </c>
    </row>
    <row r="201" spans="1:18" ht="58" x14ac:dyDescent="0.35">
      <c r="A201" s="26" t="s">
        <v>657</v>
      </c>
      <c r="B201" s="27" t="s">
        <v>240</v>
      </c>
      <c r="C201" s="27" t="s">
        <v>240</v>
      </c>
      <c r="D201" s="27" t="s">
        <v>658</v>
      </c>
      <c r="E201" s="23" t="s">
        <v>155</v>
      </c>
      <c r="F201" s="21" t="s">
        <v>157</v>
      </c>
      <c r="G201" s="11" t="str">
        <f ca="1">E102</f>
        <v>04-25-2022</v>
      </c>
      <c r="H201" s="218" t="str">
        <f ca="1">TEXT(TODAY(),"MM-DD-YYYY")</f>
        <v>04-25-2022</v>
      </c>
      <c r="I201" s="27" t="s">
        <v>401</v>
      </c>
      <c r="J201" s="27" t="s">
        <v>642</v>
      </c>
      <c r="K201" s="21"/>
      <c r="L201" s="21"/>
      <c r="M201" s="21"/>
      <c r="N201" s="21"/>
      <c r="O201" s="21"/>
    </row>
    <row r="202" spans="1:18" x14ac:dyDescent="0.35">
      <c r="A202" s="251" t="s">
        <v>231</v>
      </c>
      <c r="B202" s="252"/>
      <c r="C202" s="252"/>
      <c r="D202" s="252"/>
      <c r="E202" s="252"/>
      <c r="F202" s="252"/>
      <c r="G202" s="252"/>
      <c r="H202" s="252"/>
    </row>
    <row r="203" spans="1:18" x14ac:dyDescent="0.35">
      <c r="A203" s="24" t="s">
        <v>232</v>
      </c>
      <c r="B203" s="24" t="s">
        <v>233</v>
      </c>
      <c r="C203" s="24" t="s">
        <v>234</v>
      </c>
      <c r="D203" s="24" t="s">
        <v>0</v>
      </c>
      <c r="E203" s="24" t="s">
        <v>9</v>
      </c>
      <c r="F203" s="24" t="s">
        <v>235</v>
      </c>
      <c r="G203" s="24" t="s">
        <v>236</v>
      </c>
      <c r="H203" s="24"/>
    </row>
    <row r="204" spans="1:18" x14ac:dyDescent="0.35">
      <c r="A204" s="19">
        <v>10</v>
      </c>
      <c r="B204" s="19" t="s">
        <v>155</v>
      </c>
      <c r="C204" s="19">
        <v>1000</v>
      </c>
      <c r="D204" s="19" t="s">
        <v>13</v>
      </c>
      <c r="E204" s="19"/>
      <c r="F204" s="19" t="s">
        <v>230</v>
      </c>
      <c r="G204" s="19" t="s">
        <v>187</v>
      </c>
      <c r="H204" s="19"/>
    </row>
    <row r="205" spans="1:18" x14ac:dyDescent="0.35">
      <c r="A205" s="19">
        <v>20</v>
      </c>
      <c r="B205" s="19" t="s">
        <v>155</v>
      </c>
      <c r="C205" s="19">
        <v>1000</v>
      </c>
      <c r="D205" s="19" t="s">
        <v>13</v>
      </c>
      <c r="E205" s="19"/>
      <c r="F205" s="19" t="s">
        <v>239</v>
      </c>
      <c r="G205" s="19" t="s">
        <v>187</v>
      </c>
      <c r="H205" s="19"/>
    </row>
    <row r="206" spans="1:18" x14ac:dyDescent="0.35">
      <c r="A206" s="19">
        <v>30</v>
      </c>
      <c r="B206" s="19" t="s">
        <v>155</v>
      </c>
      <c r="C206" s="19">
        <v>1000</v>
      </c>
      <c r="D206" s="19" t="s">
        <v>13</v>
      </c>
      <c r="E206" s="19"/>
      <c r="F206" s="19" t="s">
        <v>237</v>
      </c>
      <c r="G206" s="19" t="s">
        <v>189</v>
      </c>
      <c r="H206" s="19"/>
    </row>
    <row r="207" spans="1:18" x14ac:dyDescent="0.35">
      <c r="A207" s="19">
        <v>40</v>
      </c>
      <c r="B207" s="19" t="s">
        <v>155</v>
      </c>
      <c r="C207" s="19">
        <v>1000</v>
      </c>
      <c r="D207" s="19" t="s">
        <v>13</v>
      </c>
      <c r="E207" s="19"/>
      <c r="F207" s="19" t="s">
        <v>238</v>
      </c>
      <c r="G207" s="19" t="s">
        <v>189</v>
      </c>
      <c r="H207" s="19"/>
    </row>
    <row r="208" spans="1:18" x14ac:dyDescent="0.35">
      <c r="A208" s="249" t="s">
        <v>153</v>
      </c>
      <c r="B208" s="250"/>
      <c r="C208" s="250"/>
      <c r="D208" s="250"/>
      <c r="E208" s="250"/>
      <c r="F208" s="250"/>
      <c r="G208" s="250"/>
      <c r="H208" s="250"/>
      <c r="I208" s="250"/>
      <c r="J208" s="250"/>
      <c r="K208" s="250"/>
      <c r="L208" s="250"/>
      <c r="M208" s="250"/>
      <c r="N208" s="250"/>
      <c r="O208" s="250"/>
      <c r="P208" s="250"/>
      <c r="Q208" s="250"/>
      <c r="R208" s="250"/>
    </row>
    <row r="209" spans="1:18" x14ac:dyDescent="0.35">
      <c r="A209" s="24" t="s">
        <v>153</v>
      </c>
      <c r="B209" s="24" t="s">
        <v>162</v>
      </c>
      <c r="C209" s="24" t="s">
        <v>163</v>
      </c>
      <c r="D209" s="24" t="s">
        <v>131</v>
      </c>
      <c r="E209" s="24" t="s">
        <v>132</v>
      </c>
      <c r="F209" s="24" t="s">
        <v>133</v>
      </c>
      <c r="G209" s="24" t="s">
        <v>134</v>
      </c>
      <c r="H209" s="24" t="s">
        <v>158</v>
      </c>
      <c r="I209" s="24" t="s">
        <v>398</v>
      </c>
      <c r="J209" s="24" t="s">
        <v>251</v>
      </c>
      <c r="K209" s="24" t="s">
        <v>159</v>
      </c>
      <c r="L209" s="24" t="s">
        <v>55</v>
      </c>
      <c r="M209" s="24" t="s">
        <v>56</v>
      </c>
      <c r="N209" s="24" t="s">
        <v>160</v>
      </c>
      <c r="O209" s="24" t="s">
        <v>544</v>
      </c>
    </row>
    <row r="210" spans="1:18" ht="58" x14ac:dyDescent="0.35">
      <c r="A210" s="26" t="s">
        <v>657</v>
      </c>
      <c r="B210" s="27" t="s">
        <v>164</v>
      </c>
      <c r="C210" s="27" t="s">
        <v>164</v>
      </c>
      <c r="D210" s="27" t="s">
        <v>658</v>
      </c>
      <c r="E210" s="23" t="s">
        <v>155</v>
      </c>
      <c r="F210" s="21" t="s">
        <v>157</v>
      </c>
      <c r="G210" s="11" t="str">
        <f ca="1">E102</f>
        <v>04-25-2022</v>
      </c>
      <c r="H210" s="218" t="str">
        <f ca="1">TEXT(TODAY(),"MM-DD-YYYY")</f>
        <v>04-25-2022</v>
      </c>
      <c r="I210" s="27" t="s">
        <v>401</v>
      </c>
      <c r="J210" s="27" t="s">
        <v>642</v>
      </c>
      <c r="K210" s="21"/>
      <c r="L210" s="21"/>
      <c r="M210" s="21"/>
      <c r="N210" s="21"/>
      <c r="O210" s="21"/>
    </row>
    <row r="211" spans="1:18" x14ac:dyDescent="0.35">
      <c r="A211" s="258" t="s">
        <v>242</v>
      </c>
      <c r="B211" s="258"/>
      <c r="C211" s="258"/>
      <c r="D211" s="258"/>
      <c r="E211" s="258"/>
      <c r="F211" t="str">
        <f ca="1">TEXT(TODAY()+3,"MM-DD-YYYY")</f>
        <v>04-28-2022</v>
      </c>
    </row>
    <row r="212" spans="1:18" x14ac:dyDescent="0.35">
      <c r="A212" s="251" t="s">
        <v>220</v>
      </c>
      <c r="B212" s="252"/>
      <c r="C212" s="252"/>
      <c r="D212" s="252"/>
      <c r="E212" s="252"/>
      <c r="F212" s="252"/>
      <c r="G212" s="252"/>
      <c r="H212" s="252"/>
      <c r="I212" s="252"/>
      <c r="J212" s="252"/>
    </row>
    <row r="213" spans="1:18" x14ac:dyDescent="0.35">
      <c r="A213" s="253" t="s">
        <v>222</v>
      </c>
      <c r="B213" s="262" t="s">
        <v>225</v>
      </c>
      <c r="C213" s="263"/>
      <c r="D213" s="263"/>
      <c r="E213" s="264"/>
      <c r="F213" s="262" t="s">
        <v>226</v>
      </c>
      <c r="G213" s="263"/>
      <c r="H213" s="263"/>
      <c r="I213" s="264"/>
      <c r="J213" s="265" t="s">
        <v>224</v>
      </c>
    </row>
    <row r="214" spans="1:18" x14ac:dyDescent="0.35">
      <c r="A214" s="254"/>
      <c r="B214" s="24" t="s">
        <v>187</v>
      </c>
      <c r="C214" s="24" t="s">
        <v>189</v>
      </c>
      <c r="D214" s="24" t="s">
        <v>223</v>
      </c>
      <c r="E214" s="24" t="s">
        <v>229</v>
      </c>
      <c r="F214" s="24" t="s">
        <v>187</v>
      </c>
      <c r="G214" s="24" t="s">
        <v>189</v>
      </c>
      <c r="H214" s="24" t="s">
        <v>223</v>
      </c>
      <c r="I214" s="24" t="s">
        <v>229</v>
      </c>
      <c r="J214" s="266"/>
    </row>
    <row r="215" spans="1:18" x14ac:dyDescent="0.35">
      <c r="A215" s="21"/>
      <c r="B215" s="55" t="e">
        <f>"$"&amp;E192+C204+C205</f>
        <v>#VALUE!</v>
      </c>
      <c r="C215" s="55" t="e">
        <f>"$"&amp;F192+C206+C207</f>
        <v>#VALUE!</v>
      </c>
      <c r="D215" s="55" t="e">
        <f>"$"&amp;B215-C215</f>
        <v>#VALUE!</v>
      </c>
      <c r="E215" s="55" t="e">
        <f>((B215-C215)/B215*100)</f>
        <v>#VALUE!</v>
      </c>
      <c r="F215" s="56" t="str">
        <f>G192</f>
        <v>$648000.00</v>
      </c>
      <c r="G215" s="56" t="str">
        <f>H192</f>
        <v>$144010.00</v>
      </c>
      <c r="H215" s="55" t="e">
        <f>"$"&amp;F215-G215</f>
        <v>#VALUE!</v>
      </c>
      <c r="I215" s="55" t="e">
        <f>((F215-G215)/F215*100)</f>
        <v>#VALUE!</v>
      </c>
      <c r="J215" s="55" t="e">
        <f>((B215-F215)/F215*100)</f>
        <v>#VALUE!</v>
      </c>
    </row>
    <row r="216" spans="1:18" x14ac:dyDescent="0.35">
      <c r="A216" s="251" t="s">
        <v>221</v>
      </c>
      <c r="B216" s="252"/>
      <c r="C216" s="252"/>
      <c r="D216" s="252"/>
      <c r="E216" s="252"/>
      <c r="F216" s="252"/>
      <c r="G216" s="252"/>
      <c r="H216" s="252"/>
    </row>
    <row r="217" spans="1:18" x14ac:dyDescent="0.35">
      <c r="A217" s="24" t="s">
        <v>1</v>
      </c>
      <c r="B217" s="24" t="s">
        <v>0</v>
      </c>
      <c r="C217" s="24" t="s">
        <v>204</v>
      </c>
      <c r="D217" s="24" t="s">
        <v>216</v>
      </c>
      <c r="E217" s="24" t="s">
        <v>227</v>
      </c>
      <c r="F217" s="24" t="s">
        <v>228</v>
      </c>
      <c r="G217" s="24" t="s">
        <v>217</v>
      </c>
      <c r="H217" s="24" t="s">
        <v>218</v>
      </c>
    </row>
    <row r="218" spans="1:18" x14ac:dyDescent="0.35">
      <c r="A218" s="21"/>
      <c r="B218" s="23"/>
      <c r="C218" s="21" t="s">
        <v>219</v>
      </c>
      <c r="D218" s="55" t="e">
        <f>((E218-G218)/G218*100)</f>
        <v>#VALUE!</v>
      </c>
      <c r="E218" s="55" t="e">
        <f>"$"&amp;(E192+C204+C205)</f>
        <v>#VALUE!</v>
      </c>
      <c r="F218" s="56" t="e">
        <f>"$"&amp;(F192+C206+C207)</f>
        <v>#VALUE!</v>
      </c>
      <c r="G218" s="56" t="str">
        <f>G192</f>
        <v>$648000.00</v>
      </c>
      <c r="H218" s="56" t="str">
        <f>H192</f>
        <v>$144010.00</v>
      </c>
    </row>
    <row r="219" spans="1:18" x14ac:dyDescent="0.35">
      <c r="A219" s="74"/>
      <c r="B219" s="75"/>
      <c r="C219" s="75"/>
      <c r="D219" s="75"/>
      <c r="E219" s="76"/>
      <c r="F219" s="75"/>
      <c r="G219" s="75"/>
      <c r="H219" s="75"/>
      <c r="I219" s="76"/>
      <c r="J219" s="76"/>
    </row>
    <row r="220" spans="1:18" x14ac:dyDescent="0.35">
      <c r="A220" s="249" t="s">
        <v>153</v>
      </c>
      <c r="B220" s="250"/>
      <c r="C220" s="250"/>
      <c r="D220" s="250"/>
      <c r="E220" s="250"/>
      <c r="F220" s="250"/>
      <c r="G220" s="250"/>
      <c r="H220" s="250"/>
      <c r="I220" s="250"/>
      <c r="J220" s="250"/>
      <c r="K220" s="250"/>
      <c r="L220" s="250"/>
      <c r="M220" s="250"/>
      <c r="N220" s="250"/>
      <c r="O220" s="250"/>
      <c r="P220" s="250"/>
      <c r="Q220" s="250"/>
      <c r="R220" s="250"/>
    </row>
    <row r="221" spans="1:18" x14ac:dyDescent="0.35">
      <c r="A221" s="24" t="s">
        <v>153</v>
      </c>
      <c r="B221" s="24" t="s">
        <v>162</v>
      </c>
      <c r="C221" s="24" t="s">
        <v>163</v>
      </c>
      <c r="D221" s="24" t="s">
        <v>131</v>
      </c>
      <c r="E221" s="24" t="s">
        <v>132</v>
      </c>
      <c r="F221" s="24" t="s">
        <v>133</v>
      </c>
      <c r="G221" s="24" t="s">
        <v>134</v>
      </c>
      <c r="H221" s="24" t="s">
        <v>158</v>
      </c>
      <c r="I221" s="24" t="s">
        <v>398</v>
      </c>
      <c r="J221" s="24" t="s">
        <v>251</v>
      </c>
      <c r="K221" s="24" t="s">
        <v>159</v>
      </c>
      <c r="L221" s="24" t="s">
        <v>55</v>
      </c>
      <c r="M221" s="24" t="s">
        <v>56</v>
      </c>
      <c r="N221" s="24" t="s">
        <v>160</v>
      </c>
      <c r="O221" s="24" t="s">
        <v>544</v>
      </c>
    </row>
    <row r="222" spans="1:18" ht="58" x14ac:dyDescent="0.35">
      <c r="A222" s="26" t="s">
        <v>657</v>
      </c>
      <c r="B222" s="27" t="s">
        <v>240</v>
      </c>
      <c r="C222" s="27" t="s">
        <v>240</v>
      </c>
      <c r="D222" s="27" t="s">
        <v>658</v>
      </c>
      <c r="E222" s="23" t="s">
        <v>155</v>
      </c>
      <c r="F222" s="21" t="s">
        <v>157</v>
      </c>
      <c r="G222" s="11" t="str">
        <f ca="1">E102</f>
        <v>04-25-2022</v>
      </c>
      <c r="H222" s="218" t="str">
        <f ca="1">TEXT(TODAY(),"MM-DD-YYYY")</f>
        <v>04-25-2022</v>
      </c>
      <c r="I222" s="27" t="s">
        <v>401</v>
      </c>
      <c r="J222" s="27" t="s">
        <v>642</v>
      </c>
      <c r="K222" s="21"/>
      <c r="L222" s="21"/>
      <c r="M222" s="21"/>
      <c r="N222" s="21"/>
      <c r="O222" s="21"/>
    </row>
    <row r="224" spans="1:18" x14ac:dyDescent="0.35">
      <c r="A224" s="258" t="s">
        <v>545</v>
      </c>
      <c r="B224" s="258"/>
      <c r="C224" s="258"/>
      <c r="D224" s="258"/>
      <c r="E224" s="258"/>
      <c r="F224" s="258"/>
      <c r="G224" s="258"/>
      <c r="H224" s="258"/>
      <c r="I224" s="258"/>
      <c r="J224" s="258"/>
      <c r="K224" s="258"/>
      <c r="L224" s="258"/>
    </row>
    <row r="225" spans="1:20" x14ac:dyDescent="0.35">
      <c r="A225" s="66" t="s">
        <v>243</v>
      </c>
      <c r="B225" s="67" t="e">
        <f ca="1">EDATE(E102,3)</f>
        <v>#VALUE!</v>
      </c>
      <c r="C225" s="66"/>
      <c r="D225" s="66"/>
      <c r="E225" s="66"/>
      <c r="F225" s="66"/>
      <c r="G225" s="66"/>
      <c r="H225" s="66"/>
      <c r="I225" s="66"/>
      <c r="J225" s="66"/>
      <c r="K225" s="66"/>
      <c r="L225" s="66"/>
    </row>
    <row r="226" spans="1:20" x14ac:dyDescent="0.35">
      <c r="A226" s="249" t="s">
        <v>182</v>
      </c>
      <c r="B226" s="250"/>
      <c r="C226" s="250"/>
      <c r="D226" s="250"/>
      <c r="E226" s="250"/>
    </row>
    <row r="227" spans="1:20" x14ac:dyDescent="0.35">
      <c r="A227" s="41" t="s">
        <v>183</v>
      </c>
      <c r="B227" s="41" t="s">
        <v>44</v>
      </c>
      <c r="C227" s="41" t="s">
        <v>191</v>
      </c>
      <c r="D227" s="42" t="s">
        <v>199</v>
      </c>
      <c r="E227" s="42" t="s">
        <v>200</v>
      </c>
      <c r="F227" s="42" t="s">
        <v>57</v>
      </c>
      <c r="G227" s="41" t="s">
        <v>184</v>
      </c>
      <c r="H227" s="41" t="s">
        <v>185</v>
      </c>
      <c r="I227" s="42" t="s">
        <v>18</v>
      </c>
      <c r="J227" s="42" t="s">
        <v>186</v>
      </c>
      <c r="K227" s="42" t="s">
        <v>187</v>
      </c>
      <c r="L227" s="42" t="s">
        <v>188</v>
      </c>
      <c r="M227" s="42" t="s">
        <v>189</v>
      </c>
      <c r="N227" s="42" t="s">
        <v>206</v>
      </c>
      <c r="O227" s="42" t="s">
        <v>203</v>
      </c>
      <c r="P227" s="42" t="s">
        <v>204</v>
      </c>
      <c r="Q227" s="42" t="s">
        <v>205</v>
      </c>
      <c r="R227" s="42" t="s">
        <v>190</v>
      </c>
    </row>
    <row r="228" spans="1:20" x14ac:dyDescent="0.35">
      <c r="A228" s="49" t="s">
        <v>192</v>
      </c>
      <c r="B228" s="49"/>
      <c r="C228" s="49" t="s">
        <v>201</v>
      </c>
      <c r="D228" s="49"/>
      <c r="E228" s="49"/>
      <c r="F228" s="49"/>
      <c r="G228" s="49"/>
      <c r="H228" s="49"/>
      <c r="I228" s="49"/>
      <c r="J228" s="50">
        <f>J230+J248+J262</f>
        <v>336013</v>
      </c>
      <c r="K228" s="221" t="str">
        <f>S228</f>
        <v>$6753622.57</v>
      </c>
      <c r="L228" s="49"/>
      <c r="M228" s="51" t="str">
        <f>T228</f>
        <v>$1008169</v>
      </c>
      <c r="N228" s="49"/>
      <c r="O228" s="49"/>
      <c r="P228" s="49"/>
      <c r="Q228" s="49"/>
      <c r="R228" s="49"/>
      <c r="S228" t="str">
        <f>"$"&amp;SUMIFS(K230:K295,C230:C295,C228,A230:A295,"*"&amp;"DE_"&amp;"*")</f>
        <v>$6753622.57</v>
      </c>
      <c r="T228" t="str">
        <f>"$"&amp;SUMIFS(M230:M295,C230:C295,C228,A230:A295,"*"&amp;"DE_"&amp;"*")</f>
        <v>$1008169</v>
      </c>
    </row>
    <row r="229" spans="1:20" x14ac:dyDescent="0.35">
      <c r="A229" s="49" t="s">
        <v>192</v>
      </c>
      <c r="B229" s="49"/>
      <c r="C229" s="49" t="s">
        <v>196</v>
      </c>
      <c r="D229" s="49"/>
      <c r="E229" s="49"/>
      <c r="F229" s="49"/>
      <c r="G229" s="49"/>
      <c r="H229" s="49"/>
      <c r="I229" s="49"/>
      <c r="J229" s="50">
        <f>J231+J249+J263</f>
        <v>336000</v>
      </c>
      <c r="K229" s="221" t="str">
        <f>S229</f>
        <v>$648000</v>
      </c>
      <c r="L229" s="49"/>
      <c r="M229" s="51" t="str">
        <f>T229</f>
        <v>$144010</v>
      </c>
      <c r="N229" s="49"/>
      <c r="O229" s="49"/>
      <c r="P229" s="49"/>
      <c r="Q229" s="49"/>
      <c r="R229" s="49"/>
      <c r="S229" t="str">
        <f>"$"&amp;SUMIFS(K230:K295,C230:C295,C229,A230:A295,"*"&amp;"DE_"&amp;"*")</f>
        <v>$648000</v>
      </c>
      <c r="T229" t="str">
        <f>"$"&amp;SUMIFS(M230:M295,C230:C295,C229,A230:A295,"*"&amp;"DE_"&amp;"*")</f>
        <v>$144010</v>
      </c>
    </row>
    <row r="230" spans="1:20" x14ac:dyDescent="0.35">
      <c r="A230" s="52" t="s">
        <v>193</v>
      </c>
      <c r="B230" s="52"/>
      <c r="C230" s="52" t="s">
        <v>201</v>
      </c>
      <c r="D230" s="52"/>
      <c r="E230" s="52"/>
      <c r="F230" s="52"/>
      <c r="G230" s="52"/>
      <c r="H230" s="52"/>
      <c r="I230" s="52"/>
      <c r="J230" s="53">
        <f>SUMIFS(J232:J247,C232:C247,C230)</f>
        <v>48003</v>
      </c>
      <c r="K230" s="222">
        <f>SUMIFS(K232:K247,C232:C247,C230)</f>
        <v>657712.92000000004</v>
      </c>
      <c r="L230" s="52"/>
      <c r="M230" s="54">
        <f>SUMIFS(M232:M247,C232:C247,C230)</f>
        <v>144029</v>
      </c>
      <c r="N230" s="52"/>
      <c r="O230" s="52"/>
      <c r="P230" s="52"/>
      <c r="Q230" s="52"/>
      <c r="R230" s="52"/>
    </row>
    <row r="231" spans="1:20" x14ac:dyDescent="0.35">
      <c r="A231" s="52" t="s">
        <v>193</v>
      </c>
      <c r="B231" s="52"/>
      <c r="C231" s="52" t="s">
        <v>196</v>
      </c>
      <c r="D231" s="52"/>
      <c r="E231" s="52"/>
      <c r="F231" s="52"/>
      <c r="G231" s="52"/>
      <c r="H231" s="52"/>
      <c r="I231" s="52"/>
      <c r="J231" s="53">
        <f>SUMIFS(J232:J247,C232:C247,C231)</f>
        <v>48000</v>
      </c>
      <c r="K231" s="222">
        <f>SUMIFS(K232:K247,C232:C247,C231)</f>
        <v>648000</v>
      </c>
      <c r="L231" s="52"/>
      <c r="M231" s="54">
        <f>SUMIFS(M232:M247,C232:C247,C231)</f>
        <v>144010</v>
      </c>
      <c r="N231" s="52"/>
      <c r="O231" s="52"/>
      <c r="P231" s="52"/>
      <c r="Q231" s="52"/>
      <c r="R231" s="52"/>
    </row>
    <row r="232" spans="1:20" x14ac:dyDescent="0.35">
      <c r="A232" s="59" t="s">
        <v>100</v>
      </c>
      <c r="B232" s="59"/>
      <c r="C232" s="30" t="s">
        <v>201</v>
      </c>
      <c r="D232" s="72">
        <v>43831</v>
      </c>
      <c r="E232" s="72" t="e">
        <f ca="1">D234-1</f>
        <v>#VALUE!</v>
      </c>
      <c r="F232" s="30">
        <v>13.5</v>
      </c>
      <c r="G232" s="30" t="str">
        <f>CONCATENATE("USD,FLAT ",TEXT(F232,"0.00"))</f>
        <v>USD,FLAT 13.50</v>
      </c>
      <c r="H232" s="36">
        <f>K232/J232</f>
        <v>13.5</v>
      </c>
      <c r="I232" s="30" t="s">
        <v>22</v>
      </c>
      <c r="J232" s="32">
        <v>48000</v>
      </c>
      <c r="K232" s="223">
        <f>J232*F232</f>
        <v>648000</v>
      </c>
      <c r="L232" s="30" t="str">
        <f>TEXT(IFERROR(((K232-K233)/K233*100),"0.00"),"0.00")</f>
        <v>0.00</v>
      </c>
      <c r="M232" s="36">
        <f>(10+J232*3)</f>
        <v>144010</v>
      </c>
      <c r="N232" s="30"/>
      <c r="O232" s="30" t="s">
        <v>171</v>
      </c>
      <c r="P232" s="30" t="s">
        <v>546</v>
      </c>
      <c r="Q232" s="30" t="s">
        <v>547</v>
      </c>
      <c r="R232" s="30"/>
    </row>
    <row r="233" spans="1:20" hidden="1" x14ac:dyDescent="0.35">
      <c r="A233" s="59"/>
      <c r="B233" s="59"/>
      <c r="C233" s="33" t="s">
        <v>196</v>
      </c>
      <c r="D233" s="70"/>
      <c r="E233" s="70"/>
      <c r="F233" s="33">
        <v>13.5</v>
      </c>
      <c r="G233" s="33" t="str">
        <f>CONCATENATE("USD,FLAT ",TEXT(F233,"0.00"))</f>
        <v>USD,FLAT 13.50</v>
      </c>
      <c r="H233" s="38">
        <f>IFERROR(K233/J233,"0")</f>
        <v>13.5</v>
      </c>
      <c r="I233" s="33" t="s">
        <v>22</v>
      </c>
      <c r="J233" s="34">
        <v>48000</v>
      </c>
      <c r="K233" s="224">
        <f>J233*F233</f>
        <v>648000</v>
      </c>
      <c r="L233" s="33"/>
      <c r="M233" s="38">
        <f>(10+J233*3)</f>
        <v>144010</v>
      </c>
      <c r="N233" s="33"/>
      <c r="O233" s="33"/>
      <c r="P233" s="33"/>
      <c r="Q233" s="33"/>
      <c r="R233" s="33"/>
    </row>
    <row r="234" spans="1:20" x14ac:dyDescent="0.35">
      <c r="A234" s="59"/>
      <c r="B234" s="59"/>
      <c r="C234" s="43" t="s">
        <v>197</v>
      </c>
      <c r="D234" s="115" t="e">
        <f ca="1">B225</f>
        <v>#VALUE!</v>
      </c>
      <c r="E234" s="43"/>
      <c r="F234" s="43">
        <v>12.99</v>
      </c>
      <c r="G234" s="43" t="str">
        <f>CONCATENATE("USD,FLAT ",TEXT(F234,"0.00"))</f>
        <v>USD,FLAT 12.99</v>
      </c>
      <c r="H234" s="116">
        <f>K234/J234</f>
        <v>12.99</v>
      </c>
      <c r="I234" s="43" t="s">
        <v>22</v>
      </c>
      <c r="J234" s="117">
        <v>48000</v>
      </c>
      <c r="K234" s="225">
        <f>J234*F234</f>
        <v>623520</v>
      </c>
      <c r="L234" s="118" t="str">
        <f>TEXT(IFERROR(((K234-K233)/K233*100),"0.00"),"0.00")</f>
        <v>-3.78</v>
      </c>
      <c r="M234" s="116">
        <f>(10+J234*3)</f>
        <v>144010</v>
      </c>
      <c r="N234" s="43"/>
      <c r="O234" s="43" t="s">
        <v>171</v>
      </c>
      <c r="P234" s="43" t="s">
        <v>546</v>
      </c>
      <c r="Q234" s="43" t="s">
        <v>547</v>
      </c>
      <c r="R234" s="43"/>
    </row>
    <row r="235" spans="1:20" hidden="1" x14ac:dyDescent="0.35">
      <c r="A235" s="59"/>
      <c r="B235" s="59"/>
      <c r="C235" s="44" t="s">
        <v>198</v>
      </c>
      <c r="D235" s="44"/>
      <c r="E235" s="44"/>
      <c r="F235" s="44"/>
      <c r="G235" s="44"/>
      <c r="H235" s="44"/>
      <c r="I235" s="44"/>
      <c r="J235" s="44"/>
      <c r="K235" s="226"/>
      <c r="L235" s="44"/>
      <c r="M235" s="44"/>
      <c r="N235" s="44"/>
      <c r="O235" s="44"/>
      <c r="P235" s="44"/>
      <c r="Q235" s="44"/>
      <c r="R235" s="44"/>
    </row>
    <row r="236" spans="1:20" x14ac:dyDescent="0.35">
      <c r="A236" s="166" t="s">
        <v>101</v>
      </c>
      <c r="B236" s="59"/>
      <c r="C236" s="30" t="s">
        <v>201</v>
      </c>
      <c r="D236" s="72">
        <v>43831</v>
      </c>
      <c r="E236" s="72" t="e">
        <f ca="1">D238-1</f>
        <v>#VALUE!</v>
      </c>
      <c r="F236" s="63">
        <v>9.89</v>
      </c>
      <c r="G236" s="30" t="str">
        <f>CONCATENATE("USD,FLAT ",TEXT(F236,"0.00"))</f>
        <v>USD,FLAT 9.89</v>
      </c>
      <c r="H236" s="36">
        <f>K236/J236</f>
        <v>9.89</v>
      </c>
      <c r="I236" s="30" t="s">
        <v>22</v>
      </c>
      <c r="J236" s="64">
        <v>3</v>
      </c>
      <c r="K236" s="223">
        <f>J236*F236</f>
        <v>29.67</v>
      </c>
      <c r="L236" s="30" t="str">
        <f>TEXT(IFERROR(((K236-K237)/K237*100),"0.00"),"0.00")</f>
        <v>0.00</v>
      </c>
      <c r="M236" s="36">
        <f>(10+J236*3)</f>
        <v>19</v>
      </c>
      <c r="N236" s="30"/>
      <c r="O236" s="30" t="s">
        <v>171</v>
      </c>
      <c r="P236" s="30" t="s">
        <v>546</v>
      </c>
      <c r="Q236" s="30" t="s">
        <v>547</v>
      </c>
      <c r="R236" s="30"/>
    </row>
    <row r="237" spans="1:20" hidden="1" x14ac:dyDescent="0.35">
      <c r="A237" s="59"/>
      <c r="B237" s="59"/>
      <c r="C237" s="33" t="s">
        <v>196</v>
      </c>
      <c r="D237" s="33"/>
      <c r="E237" s="33"/>
      <c r="F237" s="33">
        <v>9.9499999999999993</v>
      </c>
      <c r="G237" s="33" t="str">
        <f>CONCATENATE("USD,FLAT ",TEXT(F237,"0.00"))</f>
        <v>USD,FLAT 9.95</v>
      </c>
      <c r="H237" s="38" t="str">
        <f>IFERROR(K237/J237,"0")</f>
        <v>0</v>
      </c>
      <c r="I237" s="33"/>
      <c r="J237" s="34"/>
      <c r="K237" s="224">
        <f>J237*F237</f>
        <v>0</v>
      </c>
      <c r="L237" s="33"/>
      <c r="M237" s="38"/>
      <c r="N237" s="33"/>
      <c r="O237" s="33"/>
      <c r="P237" s="33"/>
      <c r="Q237" s="33"/>
      <c r="R237" s="33"/>
    </row>
    <row r="238" spans="1:20" x14ac:dyDescent="0.35">
      <c r="A238" s="59"/>
      <c r="B238" s="59"/>
      <c r="C238" s="43" t="s">
        <v>197</v>
      </c>
      <c r="D238" s="115" t="e">
        <f ca="1">B225</f>
        <v>#VALUE!</v>
      </c>
      <c r="E238" s="43"/>
      <c r="F238" s="43">
        <v>8.99</v>
      </c>
      <c r="G238" s="43" t="str">
        <f>CONCATENATE("USD,FLAT ",TEXT(F238,"0.00"))</f>
        <v>USD,FLAT 8.99</v>
      </c>
      <c r="H238" s="116">
        <f>K238/J238</f>
        <v>8.99</v>
      </c>
      <c r="I238" s="43" t="s">
        <v>22</v>
      </c>
      <c r="J238" s="117">
        <v>3</v>
      </c>
      <c r="K238" s="225">
        <f>J238*F238</f>
        <v>26.97</v>
      </c>
      <c r="L238" s="118" t="str">
        <f>TEXT(IFERROR(((K238-K239)/K239*100),"0.00"),"0.00")</f>
        <v>0.00</v>
      </c>
      <c r="M238" s="116">
        <f>(10+J238*3)</f>
        <v>19</v>
      </c>
      <c r="N238" s="43"/>
      <c r="O238" s="43" t="s">
        <v>171</v>
      </c>
      <c r="P238" s="43" t="s">
        <v>558</v>
      </c>
      <c r="Q238" s="43"/>
      <c r="R238" s="43"/>
    </row>
    <row r="239" spans="1:20" hidden="1" x14ac:dyDescent="0.35">
      <c r="A239" s="59"/>
      <c r="B239" s="59"/>
      <c r="C239" s="44" t="s">
        <v>198</v>
      </c>
      <c r="D239" s="44"/>
      <c r="E239" s="44"/>
      <c r="F239" s="44"/>
      <c r="G239" s="44"/>
      <c r="H239" s="44"/>
      <c r="I239" s="44"/>
      <c r="J239" s="44"/>
      <c r="K239" s="226"/>
      <c r="L239" s="44"/>
      <c r="M239" s="44"/>
      <c r="N239" s="44"/>
      <c r="O239" s="44"/>
      <c r="P239" s="44"/>
      <c r="Q239" s="44"/>
      <c r="R239" s="44"/>
    </row>
    <row r="240" spans="1:20" x14ac:dyDescent="0.35">
      <c r="A240" s="166" t="s">
        <v>207</v>
      </c>
      <c r="B240" s="59"/>
      <c r="C240" s="30" t="s">
        <v>201</v>
      </c>
      <c r="D240" s="72">
        <v>43831</v>
      </c>
      <c r="E240" s="72" t="e">
        <f ca="1">D242-1</f>
        <v>#VALUE!</v>
      </c>
      <c r="F240" s="63">
        <v>111.08</v>
      </c>
      <c r="G240" s="30" t="str">
        <f>CONCATENATE("USD,FLAT ",TEXT(F240,"0.00"))</f>
        <v>USD,FLAT 111.08</v>
      </c>
      <c r="H240" s="36">
        <f>F240</f>
        <v>111.08</v>
      </c>
      <c r="I240" s="30"/>
      <c r="J240" s="32"/>
      <c r="K240" s="223">
        <f>(F240*5*5)</f>
        <v>2777</v>
      </c>
      <c r="L240" s="30" t="str">
        <f>TEXT(IFERROR(((K240-K241)/K241*100),"0.00"),"0.00")</f>
        <v>0.00</v>
      </c>
      <c r="M240" s="36">
        <v>0</v>
      </c>
      <c r="N240" s="35"/>
      <c r="O240" s="30" t="s">
        <v>171</v>
      </c>
      <c r="P240" s="30" t="s">
        <v>548</v>
      </c>
      <c r="Q240" s="30"/>
      <c r="R240" s="30"/>
    </row>
    <row r="241" spans="1:18" hidden="1" x14ac:dyDescent="0.35">
      <c r="A241" s="59"/>
      <c r="B241" s="59"/>
      <c r="C241" s="33" t="s">
        <v>196</v>
      </c>
      <c r="D241" s="33"/>
      <c r="E241" s="33"/>
      <c r="F241" s="33"/>
      <c r="G241" s="33"/>
      <c r="H241" s="38"/>
      <c r="I241" s="33"/>
      <c r="J241" s="34"/>
      <c r="K241" s="224"/>
      <c r="L241" s="33"/>
      <c r="M241" s="38"/>
      <c r="N241" s="33"/>
      <c r="O241" s="33"/>
      <c r="P241" s="33"/>
      <c r="Q241" s="33"/>
      <c r="R241" s="33"/>
    </row>
    <row r="242" spans="1:18" x14ac:dyDescent="0.35">
      <c r="A242" s="59"/>
      <c r="B242" s="59"/>
      <c r="C242" s="43" t="s">
        <v>197</v>
      </c>
      <c r="D242" s="115" t="e">
        <f ca="1">B225</f>
        <v>#VALUE!</v>
      </c>
      <c r="E242" s="43"/>
      <c r="F242" s="43">
        <v>109.9</v>
      </c>
      <c r="G242" s="43" t="str">
        <f>CONCATENATE("USD,FLAT ",TEXT(F242,"0.00"))</f>
        <v>USD,FLAT 109.90</v>
      </c>
      <c r="H242" s="116">
        <f>F242</f>
        <v>109.9</v>
      </c>
      <c r="I242" s="43" t="s">
        <v>22</v>
      </c>
      <c r="J242" s="117"/>
      <c r="K242" s="225">
        <f>(F242*5*5)</f>
        <v>2747.5</v>
      </c>
      <c r="L242" s="118" t="str">
        <f>TEXT(IFERROR(((K242-K243)/K243*100),"0.00"),"0.00")</f>
        <v>0.00</v>
      </c>
      <c r="M242" s="116">
        <v>0</v>
      </c>
      <c r="N242" s="43"/>
      <c r="O242" s="43" t="s">
        <v>171</v>
      </c>
      <c r="P242" s="43" t="s">
        <v>548</v>
      </c>
      <c r="Q242" s="43"/>
      <c r="R242" s="43"/>
    </row>
    <row r="243" spans="1:18" hidden="1" x14ac:dyDescent="0.35">
      <c r="A243" s="8"/>
      <c r="B243" s="8"/>
      <c r="C243" s="44" t="s">
        <v>198</v>
      </c>
      <c r="D243" s="44"/>
      <c r="E243" s="44"/>
      <c r="F243" s="44"/>
      <c r="G243" s="44"/>
      <c r="H243" s="44"/>
      <c r="I243" s="44"/>
      <c r="J243" s="44"/>
      <c r="K243" s="226"/>
      <c r="L243" s="44"/>
      <c r="M243" s="44"/>
      <c r="N243" s="44"/>
      <c r="O243" s="44"/>
      <c r="P243" s="44"/>
      <c r="Q243" s="44"/>
      <c r="R243" s="44"/>
    </row>
    <row r="244" spans="1:18" hidden="1" x14ac:dyDescent="0.35">
      <c r="A244" s="59" t="s">
        <v>102</v>
      </c>
      <c r="B244" s="8"/>
      <c r="C244" s="30" t="s">
        <v>201</v>
      </c>
      <c r="D244" s="30"/>
      <c r="E244" s="30"/>
      <c r="F244" s="30">
        <v>276.25</v>
      </c>
      <c r="G244" s="30" t="str">
        <f>CONCATENATE("USD,FLAT ",TEXT(F244,"0.00"))</f>
        <v>USD,FLAT 276.25</v>
      </c>
      <c r="H244" s="36">
        <f>F244</f>
        <v>276.25</v>
      </c>
      <c r="I244" s="30"/>
      <c r="J244" s="32"/>
      <c r="K244" s="223">
        <f>(F244*5*5)</f>
        <v>6906.25</v>
      </c>
      <c r="L244" s="30" t="str">
        <f>TEXT(IFERROR(((K244-K245)/K245*100),"0.00"),"0.00")</f>
        <v>0.00</v>
      </c>
      <c r="M244" s="36">
        <v>0</v>
      </c>
      <c r="N244" s="30"/>
      <c r="O244" s="30"/>
      <c r="P244" s="30"/>
      <c r="Q244" s="30"/>
      <c r="R244" s="30"/>
    </row>
    <row r="245" spans="1:18" hidden="1" x14ac:dyDescent="0.35">
      <c r="A245" s="8"/>
      <c r="B245" s="8"/>
      <c r="C245" s="33" t="s">
        <v>196</v>
      </c>
      <c r="D245" s="33"/>
      <c r="E245" s="33"/>
      <c r="F245" s="33"/>
      <c r="G245" s="33"/>
      <c r="H245" s="38"/>
      <c r="I245" s="33"/>
      <c r="J245" s="34"/>
      <c r="K245" s="224"/>
      <c r="L245" s="33"/>
      <c r="M245" s="38"/>
      <c r="N245" s="33"/>
      <c r="O245" s="33"/>
      <c r="P245" s="33"/>
      <c r="Q245" s="33"/>
      <c r="R245" s="33"/>
    </row>
    <row r="246" spans="1:18" hidden="1" x14ac:dyDescent="0.35">
      <c r="A246" s="8"/>
      <c r="B246" s="8"/>
      <c r="C246" s="43" t="s">
        <v>197</v>
      </c>
      <c r="D246" s="43"/>
      <c r="E246" s="43"/>
      <c r="F246" s="43"/>
      <c r="G246" s="43"/>
      <c r="H246" s="43"/>
      <c r="I246" s="43"/>
      <c r="J246" s="43"/>
      <c r="K246" s="225"/>
      <c r="L246" s="43"/>
      <c r="M246" s="43"/>
      <c r="N246" s="43"/>
      <c r="O246" s="43"/>
      <c r="P246" s="43"/>
      <c r="Q246" s="43"/>
      <c r="R246" s="43"/>
    </row>
    <row r="247" spans="1:18" hidden="1" x14ac:dyDescent="0.35">
      <c r="A247" s="8"/>
      <c r="B247" s="8"/>
      <c r="C247" s="44" t="s">
        <v>198</v>
      </c>
      <c r="D247" s="44"/>
      <c r="E247" s="44"/>
      <c r="F247" s="44"/>
      <c r="G247" s="44"/>
      <c r="H247" s="44"/>
      <c r="I247" s="44"/>
      <c r="J247" s="44"/>
      <c r="K247" s="226"/>
      <c r="L247" s="44"/>
      <c r="M247" s="44"/>
      <c r="N247" s="44"/>
      <c r="O247" s="44"/>
      <c r="P247" s="44"/>
      <c r="Q247" s="44"/>
      <c r="R247" s="44"/>
    </row>
    <row r="248" spans="1:18" x14ac:dyDescent="0.35">
      <c r="A248" s="52" t="s">
        <v>194</v>
      </c>
      <c r="B248" s="52"/>
      <c r="C248" s="52" t="s">
        <v>201</v>
      </c>
      <c r="D248" s="52"/>
      <c r="E248" s="52"/>
      <c r="F248" s="52"/>
      <c r="G248" s="52"/>
      <c r="H248" s="52"/>
      <c r="I248" s="52"/>
      <c r="J248" s="53">
        <f>SUMIFS(J250:J261,C250:C261,C248)</f>
        <v>288000</v>
      </c>
      <c r="K248" s="222">
        <f>SUMIFS(K250:K261,C250:C261,C248)</f>
        <v>6092880</v>
      </c>
      <c r="L248" s="52"/>
      <c r="M248" s="54">
        <f>SUMIFS(M250:M261,C250:C261,C248)</f>
        <v>864030</v>
      </c>
      <c r="N248" s="52"/>
      <c r="O248" s="52"/>
      <c r="P248" s="52"/>
      <c r="Q248" s="52"/>
      <c r="R248" s="52"/>
    </row>
    <row r="249" spans="1:18" x14ac:dyDescent="0.35">
      <c r="A249" s="52" t="s">
        <v>194</v>
      </c>
      <c r="B249" s="52"/>
      <c r="C249" s="52" t="s">
        <v>196</v>
      </c>
      <c r="D249" s="52"/>
      <c r="E249" s="52"/>
      <c r="F249" s="52"/>
      <c r="G249" s="52"/>
      <c r="H249" s="52"/>
      <c r="I249" s="52"/>
      <c r="J249" s="53">
        <f>SUMIFS(J250:J261,C250:C261,C249)</f>
        <v>288000</v>
      </c>
      <c r="K249" s="222">
        <f>SUMIFS(K250:K259,C250:C259,C249)</f>
        <v>0</v>
      </c>
      <c r="L249" s="52"/>
      <c r="M249" s="54">
        <f>SUMIFS(M250:M259,C250:C259,C249)</f>
        <v>0</v>
      </c>
      <c r="N249" s="52"/>
      <c r="O249" s="52"/>
      <c r="P249" s="52"/>
      <c r="Q249" s="52"/>
      <c r="R249" s="52"/>
    </row>
    <row r="250" spans="1:18" x14ac:dyDescent="0.35">
      <c r="A250" s="59" t="s">
        <v>103</v>
      </c>
      <c r="B250" s="59"/>
      <c r="C250" s="30" t="s">
        <v>201</v>
      </c>
      <c r="D250" s="72">
        <v>43831</v>
      </c>
      <c r="E250" s="72" t="e">
        <f ca="1">D252-1</f>
        <v>#VALUE!</v>
      </c>
      <c r="F250" s="31" t="s">
        <v>211</v>
      </c>
      <c r="G250" s="30" t="s">
        <v>208</v>
      </c>
      <c r="H250" s="36">
        <f>K250/J250</f>
        <v>12.25</v>
      </c>
      <c r="I250" s="30" t="s">
        <v>22</v>
      </c>
      <c r="J250" s="32">
        <v>72000</v>
      </c>
      <c r="K250" s="223">
        <f>(1000*12.95+4000*12.15+1000*11.95)*12</f>
        <v>882000</v>
      </c>
      <c r="L250" s="30" t="str">
        <f>TEXT(IFERROR(((K250-K251)/K251*100),"0.00"),"0.00")</f>
        <v>0.00</v>
      </c>
      <c r="M250" s="36">
        <f>(10+J250*3)</f>
        <v>216010</v>
      </c>
      <c r="N250" s="35" t="s">
        <v>54</v>
      </c>
      <c r="O250" s="30" t="s">
        <v>213</v>
      </c>
      <c r="P250" s="30" t="s">
        <v>549</v>
      </c>
      <c r="Q250" s="30"/>
      <c r="R250" s="30"/>
    </row>
    <row r="251" spans="1:18" hidden="1" x14ac:dyDescent="0.35">
      <c r="A251" s="8"/>
      <c r="B251" s="8"/>
      <c r="C251" s="33" t="s">
        <v>196</v>
      </c>
      <c r="D251" s="33"/>
      <c r="E251" s="33"/>
      <c r="F251" s="33"/>
      <c r="G251" s="33"/>
      <c r="H251" s="38">
        <f>IFERROR(K251/J251,"0")</f>
        <v>0</v>
      </c>
      <c r="I251" s="33" t="s">
        <v>22</v>
      </c>
      <c r="J251" s="34">
        <v>72000</v>
      </c>
      <c r="K251" s="224">
        <v>0</v>
      </c>
      <c r="L251" s="33"/>
      <c r="M251" s="38"/>
      <c r="N251" s="33"/>
      <c r="O251" s="33"/>
      <c r="P251" s="33"/>
      <c r="Q251" s="33"/>
      <c r="R251" s="33"/>
    </row>
    <row r="252" spans="1:18" x14ac:dyDescent="0.35">
      <c r="A252" s="8"/>
      <c r="B252" s="8"/>
      <c r="C252" s="43" t="s">
        <v>197</v>
      </c>
      <c r="D252" s="115" t="e">
        <f ca="1">B225</f>
        <v>#VALUE!</v>
      </c>
      <c r="E252" s="43"/>
      <c r="F252" s="43" t="s">
        <v>244</v>
      </c>
      <c r="G252" s="43" t="str">
        <f>CONCATENATE("USD,FLAT ",TEXT(F252,"0.00"))</f>
        <v>USD,FLAT 13.05,11.15,11.95</v>
      </c>
      <c r="H252" s="116">
        <f>K252/J252</f>
        <v>11.6</v>
      </c>
      <c r="I252" s="43" t="s">
        <v>22</v>
      </c>
      <c r="J252" s="117">
        <v>72000</v>
      </c>
      <c r="K252" s="225">
        <f>(1000*13.05+4000*11.15+1000*11.95)*12</f>
        <v>835200</v>
      </c>
      <c r="L252" s="118" t="str">
        <f>TEXT(IFERROR(((K252-K253)/K253*100),"0.00"),"0.00")</f>
        <v>0.00</v>
      </c>
      <c r="M252" s="116">
        <f>(10+J252*3)</f>
        <v>216010</v>
      </c>
      <c r="N252" s="43"/>
      <c r="O252" s="43" t="s">
        <v>171</v>
      </c>
      <c r="P252" s="43" t="s">
        <v>549</v>
      </c>
      <c r="Q252" s="43"/>
      <c r="R252" s="43"/>
    </row>
    <row r="253" spans="1:18" hidden="1" x14ac:dyDescent="0.35">
      <c r="A253" s="8"/>
      <c r="B253" s="8"/>
      <c r="C253" s="44" t="s">
        <v>198</v>
      </c>
      <c r="D253" s="44"/>
      <c r="E253" s="44"/>
      <c r="F253" s="44"/>
      <c r="G253" s="44"/>
      <c r="H253" s="44"/>
      <c r="I253" s="44"/>
      <c r="J253" s="44"/>
      <c r="K253" s="226"/>
      <c r="L253" s="44"/>
      <c r="M253" s="44"/>
      <c r="N253" s="44"/>
      <c r="O253" s="44"/>
      <c r="P253" s="44"/>
      <c r="Q253" s="44"/>
      <c r="R253" s="44"/>
    </row>
    <row r="254" spans="1:18" hidden="1" x14ac:dyDescent="0.35">
      <c r="A254" s="59" t="s">
        <v>104</v>
      </c>
      <c r="B254" s="8"/>
      <c r="C254" s="30" t="s">
        <v>201</v>
      </c>
      <c r="D254" s="30"/>
      <c r="E254" s="30"/>
      <c r="F254" s="31" t="s">
        <v>211</v>
      </c>
      <c r="G254" s="30" t="s">
        <v>209</v>
      </c>
      <c r="H254" s="36">
        <f>K254/J254</f>
        <v>11.95</v>
      </c>
      <c r="I254" s="30" t="s">
        <v>22</v>
      </c>
      <c r="J254" s="32">
        <v>96000</v>
      </c>
      <c r="K254" s="223">
        <f>J254*11.95</f>
        <v>1147200</v>
      </c>
      <c r="L254" s="30" t="str">
        <f>TEXT(IFERROR(((K254-K255)/K255*100),"0.00"),"0.00")</f>
        <v>0.00</v>
      </c>
      <c r="M254" s="36">
        <f>(10+J254*3)</f>
        <v>288010</v>
      </c>
      <c r="N254" s="35" t="s">
        <v>54</v>
      </c>
      <c r="O254" s="30" t="s">
        <v>213</v>
      </c>
      <c r="P254" s="30"/>
      <c r="Q254" s="30"/>
      <c r="R254" s="30"/>
    </row>
    <row r="255" spans="1:18" hidden="1" x14ac:dyDescent="0.35">
      <c r="A255" s="8"/>
      <c r="B255" s="8"/>
      <c r="C255" s="33" t="s">
        <v>196</v>
      </c>
      <c r="D255" s="33"/>
      <c r="E255" s="33"/>
      <c r="F255" s="33"/>
      <c r="G255" s="33"/>
      <c r="H255" s="38">
        <f>IFERROR(K255/J255,"0")</f>
        <v>0</v>
      </c>
      <c r="I255" s="33" t="s">
        <v>22</v>
      </c>
      <c r="J255" s="34">
        <v>96000</v>
      </c>
      <c r="K255" s="224">
        <v>0</v>
      </c>
      <c r="L255" s="33"/>
      <c r="M255" s="33"/>
      <c r="N255" s="33"/>
      <c r="O255" s="33"/>
      <c r="P255" s="33"/>
      <c r="Q255" s="33"/>
      <c r="R255" s="33"/>
    </row>
    <row r="256" spans="1:18" hidden="1" x14ac:dyDescent="0.35">
      <c r="A256" s="8"/>
      <c r="B256" s="8"/>
      <c r="C256" s="43" t="s">
        <v>197</v>
      </c>
      <c r="D256" s="43"/>
      <c r="E256" s="43"/>
      <c r="F256" s="43"/>
      <c r="G256" s="43"/>
      <c r="H256" s="43"/>
      <c r="I256" s="43"/>
      <c r="J256" s="43"/>
      <c r="K256" s="225"/>
      <c r="L256" s="43"/>
      <c r="M256" s="43"/>
      <c r="N256" s="43"/>
      <c r="O256" s="43"/>
      <c r="P256" s="43"/>
      <c r="Q256" s="43"/>
      <c r="R256" s="43"/>
    </row>
    <row r="257" spans="1:18" hidden="1" x14ac:dyDescent="0.35">
      <c r="A257" s="8"/>
      <c r="B257" s="8"/>
      <c r="C257" s="44" t="s">
        <v>198</v>
      </c>
      <c r="D257" s="44"/>
      <c r="E257" s="44"/>
      <c r="F257" s="44"/>
      <c r="G257" s="44"/>
      <c r="H257" s="44"/>
      <c r="I257" s="44"/>
      <c r="J257" s="44"/>
      <c r="K257" s="226"/>
      <c r="L257" s="44"/>
      <c r="M257" s="44"/>
      <c r="N257" s="44"/>
      <c r="O257" s="44"/>
      <c r="P257" s="44"/>
      <c r="Q257" s="44"/>
      <c r="R257" s="44"/>
    </row>
    <row r="258" spans="1:18" ht="29" hidden="1" x14ac:dyDescent="0.35">
      <c r="A258" s="59" t="s">
        <v>105</v>
      </c>
      <c r="B258" s="8"/>
      <c r="C258" s="30" t="s">
        <v>201</v>
      </c>
      <c r="D258" s="30"/>
      <c r="E258" s="30"/>
      <c r="F258" s="31" t="s">
        <v>212</v>
      </c>
      <c r="G258" s="30" t="s">
        <v>210</v>
      </c>
      <c r="H258" s="36">
        <f>K258/J258</f>
        <v>33.863999999999997</v>
      </c>
      <c r="I258" s="30" t="s">
        <v>22</v>
      </c>
      <c r="J258" s="32">
        <v>120000</v>
      </c>
      <c r="K258" s="223">
        <f>'UC01 - CALCULATOIN'!C13</f>
        <v>4063680</v>
      </c>
      <c r="L258" s="30" t="str">
        <f>TEXT(IFERROR(((K258-K259)/K259*100),"0.00"),"0.00")</f>
        <v>0.00</v>
      </c>
      <c r="M258" s="36">
        <f>(10+J258*3)</f>
        <v>360010</v>
      </c>
      <c r="N258" s="35" t="s">
        <v>54</v>
      </c>
      <c r="O258" s="30" t="s">
        <v>213</v>
      </c>
      <c r="P258" s="30"/>
      <c r="Q258" s="30"/>
      <c r="R258" s="30"/>
    </row>
    <row r="259" spans="1:18" hidden="1" x14ac:dyDescent="0.35">
      <c r="A259" s="8"/>
      <c r="B259" s="8"/>
      <c r="C259" s="33" t="s">
        <v>196</v>
      </c>
      <c r="D259" s="33"/>
      <c r="E259" s="33"/>
      <c r="F259" s="33"/>
      <c r="G259" s="33"/>
      <c r="H259" s="38">
        <f>IFERROR(K259/J259,"0")</f>
        <v>0</v>
      </c>
      <c r="I259" s="33" t="s">
        <v>22</v>
      </c>
      <c r="J259" s="34">
        <v>120000</v>
      </c>
      <c r="K259" s="224">
        <v>0</v>
      </c>
      <c r="L259" s="33"/>
      <c r="M259" s="33"/>
      <c r="N259" s="33"/>
      <c r="O259" s="33"/>
      <c r="P259" s="33"/>
      <c r="Q259" s="33"/>
      <c r="R259" s="33"/>
    </row>
    <row r="260" spans="1:18" hidden="1" x14ac:dyDescent="0.35">
      <c r="A260" s="8"/>
      <c r="B260" s="8"/>
      <c r="C260" s="43" t="s">
        <v>197</v>
      </c>
      <c r="D260" s="43"/>
      <c r="E260" s="43"/>
      <c r="F260" s="43"/>
      <c r="G260" s="43"/>
      <c r="H260" s="43"/>
      <c r="I260" s="43"/>
      <c r="J260" s="43"/>
      <c r="K260" s="225"/>
      <c r="L260" s="43"/>
      <c r="M260" s="43"/>
      <c r="N260" s="43"/>
      <c r="O260" s="43"/>
      <c r="P260" s="43"/>
      <c r="Q260" s="43"/>
      <c r="R260" s="43"/>
    </row>
    <row r="261" spans="1:18" hidden="1" x14ac:dyDescent="0.35">
      <c r="A261" s="8"/>
      <c r="B261" s="8"/>
      <c r="C261" s="44" t="s">
        <v>198</v>
      </c>
      <c r="D261" s="44"/>
      <c r="E261" s="44"/>
      <c r="F261" s="44"/>
      <c r="G261" s="44"/>
      <c r="H261" s="44"/>
      <c r="I261" s="44"/>
      <c r="J261" s="44"/>
      <c r="K261" s="226"/>
      <c r="L261" s="44"/>
      <c r="M261" s="44"/>
      <c r="N261" s="44"/>
      <c r="O261" s="44"/>
      <c r="P261" s="44"/>
      <c r="Q261" s="44"/>
      <c r="R261" s="44"/>
    </row>
    <row r="262" spans="1:18" x14ac:dyDescent="0.35">
      <c r="A262" s="52" t="s">
        <v>195</v>
      </c>
      <c r="B262" s="52"/>
      <c r="C262" s="52" t="s">
        <v>201</v>
      </c>
      <c r="D262" s="52"/>
      <c r="E262" s="52"/>
      <c r="F262" s="52"/>
      <c r="G262" s="52"/>
      <c r="H262" s="52"/>
      <c r="I262" s="52"/>
      <c r="J262" s="53">
        <f>SUMIFS(J264:J292,C264:C292,C262)</f>
        <v>10</v>
      </c>
      <c r="K262" s="222">
        <f>SUMIFS(K264:K295,C264:C295,C262)</f>
        <v>3029.6500000000005</v>
      </c>
      <c r="L262" s="52"/>
      <c r="M262" s="54">
        <f>SUMIFS(M264:M295,C264:C295,C262)</f>
        <v>110</v>
      </c>
      <c r="N262" s="52"/>
      <c r="O262" s="52"/>
      <c r="P262" s="52"/>
      <c r="Q262" s="52"/>
      <c r="R262" s="52"/>
    </row>
    <row r="263" spans="1:18" x14ac:dyDescent="0.35">
      <c r="A263" s="52" t="s">
        <v>195</v>
      </c>
      <c r="B263" s="52"/>
      <c r="C263" s="52" t="s">
        <v>196</v>
      </c>
      <c r="D263" s="52"/>
      <c r="E263" s="52"/>
      <c r="F263" s="52"/>
      <c r="G263" s="52"/>
      <c r="H263" s="52"/>
      <c r="I263" s="52"/>
      <c r="J263" s="53">
        <f>SUMIFS(J264:J292,C264:C292,C263)</f>
        <v>0</v>
      </c>
      <c r="K263" s="222">
        <f>SUMIFS(K264:K295,C264:C295,C263)</f>
        <v>0</v>
      </c>
      <c r="L263" s="52"/>
      <c r="M263" s="54">
        <f>SUMIFS(M264:M295,C264:C295,C263)</f>
        <v>0</v>
      </c>
      <c r="N263" s="52"/>
      <c r="O263" s="52"/>
      <c r="P263" s="52"/>
      <c r="Q263" s="52"/>
      <c r="R263" s="52"/>
    </row>
    <row r="264" spans="1:18" x14ac:dyDescent="0.35">
      <c r="A264" s="59" t="s">
        <v>106</v>
      </c>
      <c r="B264" s="8"/>
      <c r="C264" s="30" t="s">
        <v>201</v>
      </c>
      <c r="D264" s="30"/>
      <c r="E264" s="30"/>
      <c r="F264" s="65">
        <v>0.14000000000000001</v>
      </c>
      <c r="G264" s="30" t="str">
        <f>CONCATENATE("USD,FLAT ",TEXT(F264,"0.00"))</f>
        <v>USD,FLAT 0.14</v>
      </c>
      <c r="H264" s="36">
        <f>(K264/J264)</f>
        <v>1500.14</v>
      </c>
      <c r="I264" s="30" t="s">
        <v>22</v>
      </c>
      <c r="J264" s="64">
        <v>2</v>
      </c>
      <c r="K264" s="223">
        <f>J264*F264+3000</f>
        <v>3000.28</v>
      </c>
      <c r="L264" s="30" t="str">
        <f>TEXT(IFERROR(((K264-K265)/K265*100),"0.00"),"0.00")</f>
        <v>0.00</v>
      </c>
      <c r="M264" s="36">
        <f>(10+J264*3)</f>
        <v>16</v>
      </c>
      <c r="N264" s="35"/>
      <c r="O264" s="30" t="s">
        <v>171</v>
      </c>
      <c r="P264" s="30" t="s">
        <v>549</v>
      </c>
      <c r="Q264" s="30"/>
      <c r="R264" s="30"/>
    </row>
    <row r="265" spans="1:18" hidden="1" x14ac:dyDescent="0.35">
      <c r="A265" s="59"/>
      <c r="B265" s="8"/>
      <c r="C265" s="33" t="s">
        <v>196</v>
      </c>
      <c r="D265" s="33"/>
      <c r="E265" s="33"/>
      <c r="F265" s="33"/>
      <c r="G265" s="33"/>
      <c r="H265" s="38" t="str">
        <f>IFERROR(K265/J265,"0")</f>
        <v>0</v>
      </c>
      <c r="I265" s="33"/>
      <c r="J265" s="34"/>
      <c r="K265" s="224"/>
      <c r="L265" s="33"/>
      <c r="M265" s="33"/>
      <c r="N265" s="33"/>
      <c r="O265" s="33"/>
      <c r="P265" s="33"/>
      <c r="Q265" s="33"/>
      <c r="R265" s="33"/>
    </row>
    <row r="266" spans="1:18" hidden="1" x14ac:dyDescent="0.35">
      <c r="A266" s="59"/>
      <c r="B266" s="8"/>
      <c r="C266" s="43" t="s">
        <v>197</v>
      </c>
      <c r="D266" s="43"/>
      <c r="E266" s="43"/>
      <c r="F266" s="43"/>
      <c r="G266" s="43"/>
      <c r="H266" s="43"/>
      <c r="I266" s="43"/>
      <c r="J266" s="43"/>
      <c r="K266" s="225"/>
      <c r="L266" s="43"/>
      <c r="M266" s="43"/>
      <c r="N266" s="43"/>
      <c r="O266" s="43"/>
      <c r="P266" s="43"/>
      <c r="Q266" s="43"/>
      <c r="R266" s="43"/>
    </row>
    <row r="267" spans="1:18" hidden="1" x14ac:dyDescent="0.35">
      <c r="A267" s="59"/>
      <c r="B267" s="8"/>
      <c r="C267" s="44" t="s">
        <v>198</v>
      </c>
      <c r="D267" s="44"/>
      <c r="E267" s="44"/>
      <c r="F267" s="44"/>
      <c r="G267" s="44"/>
      <c r="H267" s="44"/>
      <c r="I267" s="44"/>
      <c r="J267" s="44"/>
      <c r="K267" s="226"/>
      <c r="L267" s="44"/>
      <c r="M267" s="44"/>
      <c r="N267" s="44"/>
      <c r="O267" s="44"/>
      <c r="P267" s="44"/>
      <c r="Q267" s="44"/>
      <c r="R267" s="44"/>
    </row>
    <row r="268" spans="1:18" x14ac:dyDescent="0.35">
      <c r="A268" s="59" t="s">
        <v>107</v>
      </c>
      <c r="B268" s="8"/>
      <c r="C268" s="30" t="s">
        <v>201</v>
      </c>
      <c r="D268" s="30"/>
      <c r="E268" s="30"/>
      <c r="F268" s="65">
        <v>1.99</v>
      </c>
      <c r="G268" s="30" t="str">
        <f>CONCATENATE("USD,FLAT ",TEXT(F268,"0.00"))</f>
        <v>USD,FLAT 1.99</v>
      </c>
      <c r="H268" s="36">
        <f>K268/J268</f>
        <v>1.99</v>
      </c>
      <c r="I268" s="30" t="s">
        <v>22</v>
      </c>
      <c r="J268" s="64">
        <v>2</v>
      </c>
      <c r="K268" s="223">
        <f>J268*F268</f>
        <v>3.98</v>
      </c>
      <c r="L268" s="30" t="str">
        <f>TEXT(IFERROR(((K268-K269)/K269*100),"0.00"),"0.00")</f>
        <v>0.00</v>
      </c>
      <c r="M268" s="36">
        <f>(10+J268*3)</f>
        <v>16</v>
      </c>
      <c r="N268" s="35"/>
      <c r="O268" s="30" t="s">
        <v>171</v>
      </c>
      <c r="P268" s="30" t="s">
        <v>549</v>
      </c>
      <c r="Q268" s="30"/>
      <c r="R268" s="30"/>
    </row>
    <row r="269" spans="1:18" hidden="1" x14ac:dyDescent="0.35">
      <c r="A269" s="59"/>
      <c r="B269" s="8"/>
      <c r="C269" s="33" t="s">
        <v>196</v>
      </c>
      <c r="D269" s="33"/>
      <c r="E269" s="33"/>
      <c r="F269" s="33"/>
      <c r="G269" s="33"/>
      <c r="H269" s="38" t="str">
        <f>IFERROR(K269/J269,"0")</f>
        <v>0</v>
      </c>
      <c r="I269" s="33"/>
      <c r="J269" s="34"/>
      <c r="K269" s="224"/>
      <c r="L269" s="33"/>
      <c r="M269" s="33"/>
      <c r="N269" s="33"/>
      <c r="O269" s="33"/>
      <c r="P269" s="33"/>
      <c r="Q269" s="33"/>
      <c r="R269" s="33"/>
    </row>
    <row r="270" spans="1:18" hidden="1" x14ac:dyDescent="0.35">
      <c r="A270" s="59"/>
      <c r="B270" s="8"/>
      <c r="C270" s="43" t="s">
        <v>197</v>
      </c>
      <c r="D270" s="43"/>
      <c r="E270" s="43"/>
      <c r="F270" s="43"/>
      <c r="G270" s="43"/>
      <c r="H270" s="43"/>
      <c r="I270" s="43"/>
      <c r="J270" s="43"/>
      <c r="K270" s="225"/>
      <c r="L270" s="43"/>
      <c r="M270" s="43"/>
      <c r="N270" s="43"/>
      <c r="O270" s="43"/>
      <c r="P270" s="43"/>
      <c r="Q270" s="43"/>
      <c r="R270" s="43"/>
    </row>
    <row r="271" spans="1:18" hidden="1" x14ac:dyDescent="0.35">
      <c r="A271" s="59"/>
      <c r="B271" s="8"/>
      <c r="C271" s="44" t="s">
        <v>198</v>
      </c>
      <c r="D271" s="44"/>
      <c r="E271" s="44"/>
      <c r="F271" s="44"/>
      <c r="G271" s="44"/>
      <c r="H271" s="44"/>
      <c r="I271" s="44"/>
      <c r="J271" s="44"/>
      <c r="K271" s="226"/>
      <c r="L271" s="44"/>
      <c r="M271" s="44"/>
      <c r="N271" s="44"/>
      <c r="O271" s="44"/>
      <c r="P271" s="44"/>
      <c r="Q271" s="44"/>
      <c r="R271" s="44"/>
    </row>
    <row r="272" spans="1:18" hidden="1" x14ac:dyDescent="0.35">
      <c r="A272" s="59" t="s">
        <v>107</v>
      </c>
      <c r="B272" s="8" t="s">
        <v>51</v>
      </c>
      <c r="C272" s="30" t="s">
        <v>201</v>
      </c>
      <c r="D272" s="30"/>
      <c r="E272" s="30"/>
      <c r="F272" s="39">
        <v>0.75</v>
      </c>
      <c r="G272" s="30" t="str">
        <f>CONCATENATE("USD,FLAT ",TEXT(F272,"0.00"))</f>
        <v>USD,FLAT 0.75</v>
      </c>
      <c r="H272" s="36">
        <f>K272/J272</f>
        <v>0.75</v>
      </c>
      <c r="I272" s="30" t="s">
        <v>22</v>
      </c>
      <c r="J272" s="32">
        <v>1</v>
      </c>
      <c r="K272" s="223">
        <f>J272*F272</f>
        <v>0.75</v>
      </c>
      <c r="L272" s="30" t="str">
        <f>TEXT(IFERROR(((K272-K273)/K273*100),"0.00"),"0.00")</f>
        <v>0.00</v>
      </c>
      <c r="M272" s="36">
        <f>(10+J272*3)</f>
        <v>13</v>
      </c>
      <c r="N272" s="30"/>
      <c r="O272" s="30"/>
      <c r="P272" s="30"/>
      <c r="Q272" s="30"/>
      <c r="R272" s="30"/>
    </row>
    <row r="273" spans="1:18" hidden="1" x14ac:dyDescent="0.35">
      <c r="A273" s="59"/>
      <c r="B273" s="8"/>
      <c r="C273" s="33" t="s">
        <v>196</v>
      </c>
      <c r="D273" s="33"/>
      <c r="E273" s="33"/>
      <c r="F273" s="33"/>
      <c r="G273" s="33"/>
      <c r="H273" s="38" t="str">
        <f>IFERROR(K273/J273,"0")</f>
        <v>0</v>
      </c>
      <c r="I273" s="33"/>
      <c r="J273" s="34"/>
      <c r="K273" s="224"/>
      <c r="L273" s="33"/>
      <c r="M273" s="33"/>
      <c r="N273" s="33"/>
      <c r="O273" s="33"/>
      <c r="P273" s="33"/>
      <c r="Q273" s="33"/>
      <c r="R273" s="33"/>
    </row>
    <row r="274" spans="1:18" hidden="1" x14ac:dyDescent="0.35">
      <c r="A274" s="59"/>
      <c r="B274" s="8"/>
      <c r="C274" s="43" t="s">
        <v>197</v>
      </c>
      <c r="D274" s="43"/>
      <c r="E274" s="43"/>
      <c r="F274" s="43"/>
      <c r="G274" s="43"/>
      <c r="H274" s="43"/>
      <c r="I274" s="43"/>
      <c r="J274" s="43"/>
      <c r="K274" s="225"/>
      <c r="L274" s="43"/>
      <c r="M274" s="43"/>
      <c r="N274" s="43"/>
      <c r="O274" s="43"/>
      <c r="P274" s="43"/>
      <c r="Q274" s="43"/>
      <c r="R274" s="43"/>
    </row>
    <row r="275" spans="1:18" hidden="1" x14ac:dyDescent="0.35">
      <c r="A275" s="59"/>
      <c r="B275" s="8"/>
      <c r="C275" s="44" t="s">
        <v>198</v>
      </c>
      <c r="D275" s="44"/>
      <c r="E275" s="44"/>
      <c r="F275" s="44"/>
      <c r="G275" s="44"/>
      <c r="H275" s="44"/>
      <c r="I275" s="44"/>
      <c r="J275" s="44"/>
      <c r="K275" s="226"/>
      <c r="L275" s="44"/>
      <c r="M275" s="44"/>
      <c r="N275" s="44"/>
      <c r="O275" s="44"/>
      <c r="P275" s="44"/>
      <c r="Q275" s="44"/>
      <c r="R275" s="44"/>
    </row>
    <row r="276" spans="1:18" hidden="1" x14ac:dyDescent="0.35">
      <c r="A276" s="59" t="s">
        <v>107</v>
      </c>
      <c r="B276" s="8" t="s">
        <v>202</v>
      </c>
      <c r="C276" s="30" t="s">
        <v>201</v>
      </c>
      <c r="D276" s="30"/>
      <c r="E276" s="30"/>
      <c r="F276" s="39">
        <v>0.3</v>
      </c>
      <c r="G276" s="30" t="str">
        <f>CONCATENATE("USD,FLAT ",TEXT(F276,"0.00"))</f>
        <v>USD,FLAT 0.30</v>
      </c>
      <c r="H276" s="36">
        <f>K276/J276</f>
        <v>0.3</v>
      </c>
      <c r="I276" s="30" t="s">
        <v>22</v>
      </c>
      <c r="J276" s="32">
        <v>1</v>
      </c>
      <c r="K276" s="223">
        <f>J276*F276</f>
        <v>0.3</v>
      </c>
      <c r="L276" s="30" t="str">
        <f>TEXT(IFERROR(((K276-K277)/K277*100),"0.00"),"0.00")</f>
        <v>0.00</v>
      </c>
      <c r="M276" s="36">
        <f>(10+J276*3)</f>
        <v>13</v>
      </c>
      <c r="N276" s="30"/>
      <c r="O276" s="30"/>
      <c r="P276" s="30"/>
      <c r="Q276" s="30"/>
      <c r="R276" s="30"/>
    </row>
    <row r="277" spans="1:18" hidden="1" x14ac:dyDescent="0.35">
      <c r="A277" s="59"/>
      <c r="B277" s="8"/>
      <c r="C277" s="33" t="s">
        <v>196</v>
      </c>
      <c r="D277" s="33"/>
      <c r="E277" s="33"/>
      <c r="F277" s="33"/>
      <c r="G277" s="33"/>
      <c r="H277" s="38" t="str">
        <f>IFERROR(K277/J277,"0")</f>
        <v>0</v>
      </c>
      <c r="I277" s="33"/>
      <c r="J277" s="34"/>
      <c r="K277" s="224"/>
      <c r="L277" s="33"/>
      <c r="M277" s="33"/>
      <c r="N277" s="33"/>
      <c r="O277" s="33"/>
      <c r="P277" s="33"/>
      <c r="Q277" s="33"/>
      <c r="R277" s="33"/>
    </row>
    <row r="278" spans="1:18" hidden="1" x14ac:dyDescent="0.35">
      <c r="A278" s="59"/>
      <c r="B278" s="8"/>
      <c r="C278" s="43" t="s">
        <v>197</v>
      </c>
      <c r="D278" s="43"/>
      <c r="E278" s="43"/>
      <c r="F278" s="43"/>
      <c r="G278" s="43"/>
      <c r="H278" s="43"/>
      <c r="I278" s="43"/>
      <c r="J278" s="43"/>
      <c r="K278" s="225"/>
      <c r="L278" s="43"/>
      <c r="M278" s="43"/>
      <c r="N278" s="43"/>
      <c r="O278" s="43"/>
      <c r="P278" s="43"/>
      <c r="Q278" s="43"/>
      <c r="R278" s="43"/>
    </row>
    <row r="279" spans="1:18" hidden="1" x14ac:dyDescent="0.35">
      <c r="A279" s="59"/>
      <c r="B279" s="8"/>
      <c r="C279" s="44" t="s">
        <v>198</v>
      </c>
      <c r="D279" s="44"/>
      <c r="E279" s="44"/>
      <c r="F279" s="44"/>
      <c r="G279" s="44"/>
      <c r="H279" s="44"/>
      <c r="I279" s="44"/>
      <c r="J279" s="44"/>
      <c r="K279" s="226"/>
      <c r="L279" s="44"/>
      <c r="M279" s="44"/>
      <c r="N279" s="44"/>
      <c r="O279" s="44"/>
      <c r="P279" s="44"/>
      <c r="Q279" s="44"/>
      <c r="R279" s="44"/>
    </row>
    <row r="280" spans="1:18" hidden="1" x14ac:dyDescent="0.35">
      <c r="A280" s="59" t="s">
        <v>107</v>
      </c>
      <c r="B280" s="8" t="s">
        <v>4</v>
      </c>
      <c r="C280" s="30" t="s">
        <v>201</v>
      </c>
      <c r="D280" s="30"/>
      <c r="E280" s="30"/>
      <c r="F280" s="39">
        <v>6.67</v>
      </c>
      <c r="G280" s="30" t="str">
        <f>CONCATENATE("USD,FLAT ",TEXT(F280,"0.00"))</f>
        <v>USD,FLAT 6.67</v>
      </c>
      <c r="H280" s="36">
        <f>K280/J280</f>
        <v>6.67</v>
      </c>
      <c r="I280" s="30" t="s">
        <v>22</v>
      </c>
      <c r="J280" s="32">
        <v>1</v>
      </c>
      <c r="K280" s="223">
        <f>J280*F280</f>
        <v>6.67</v>
      </c>
      <c r="L280" s="39" t="str">
        <f>IFERROR(((K280-K281)/K281*100),"0.00")</f>
        <v>0.00</v>
      </c>
      <c r="M280" s="36">
        <f>(10+J280*3)</f>
        <v>13</v>
      </c>
      <c r="N280" s="30"/>
      <c r="O280" s="30"/>
      <c r="P280" s="30"/>
      <c r="Q280" s="30"/>
      <c r="R280" s="30"/>
    </row>
    <row r="281" spans="1:18" hidden="1" x14ac:dyDescent="0.35">
      <c r="A281" s="59"/>
      <c r="B281" s="8"/>
      <c r="C281" s="33" t="s">
        <v>196</v>
      </c>
      <c r="D281" s="33"/>
      <c r="E281" s="33"/>
      <c r="F281" s="33"/>
      <c r="G281" s="33"/>
      <c r="H281" s="38" t="str">
        <f>IFERROR(K281/J281,"0")</f>
        <v>0</v>
      </c>
      <c r="I281" s="33"/>
      <c r="J281" s="34"/>
      <c r="K281" s="224"/>
      <c r="L281" s="33"/>
      <c r="M281" s="33"/>
      <c r="N281" s="33"/>
      <c r="O281" s="33"/>
      <c r="P281" s="33"/>
      <c r="Q281" s="33"/>
      <c r="R281" s="33"/>
    </row>
    <row r="282" spans="1:18" hidden="1" x14ac:dyDescent="0.35">
      <c r="A282" s="59"/>
      <c r="B282" s="8"/>
      <c r="C282" s="43" t="s">
        <v>197</v>
      </c>
      <c r="D282" s="43"/>
      <c r="E282" s="43"/>
      <c r="F282" s="43"/>
      <c r="G282" s="43"/>
      <c r="H282" s="43"/>
      <c r="I282" s="43"/>
      <c r="J282" s="43"/>
      <c r="K282" s="225"/>
      <c r="L282" s="43"/>
      <c r="M282" s="43"/>
      <c r="N282" s="43"/>
      <c r="O282" s="43"/>
      <c r="P282" s="43"/>
      <c r="Q282" s="43"/>
      <c r="R282" s="43"/>
    </row>
    <row r="283" spans="1:18" hidden="1" x14ac:dyDescent="0.35">
      <c r="A283" s="59"/>
      <c r="B283" s="8"/>
      <c r="C283" s="44" t="s">
        <v>198</v>
      </c>
      <c r="D283" s="44"/>
      <c r="E283" s="44"/>
      <c r="F283" s="44"/>
      <c r="G283" s="44"/>
      <c r="H283" s="44"/>
      <c r="I283" s="44"/>
      <c r="J283" s="44"/>
      <c r="K283" s="226"/>
      <c r="L283" s="44"/>
      <c r="M283" s="44"/>
      <c r="N283" s="44"/>
      <c r="O283" s="44"/>
      <c r="P283" s="44"/>
      <c r="Q283" s="44"/>
      <c r="R283" s="44"/>
    </row>
    <row r="284" spans="1:18" hidden="1" x14ac:dyDescent="0.35">
      <c r="A284" s="59" t="s">
        <v>108</v>
      </c>
      <c r="B284" s="8"/>
      <c r="C284" s="30" t="s">
        <v>201</v>
      </c>
      <c r="D284" s="30"/>
      <c r="E284" s="30"/>
      <c r="F284" s="39">
        <v>0.4</v>
      </c>
      <c r="G284" s="30" t="str">
        <f>CONCATENATE("USD,FLAT ",TEXT(F284,"0.00"))</f>
        <v>USD,FLAT 0.40</v>
      </c>
      <c r="H284" s="36">
        <f>K284/J284</f>
        <v>0.4</v>
      </c>
      <c r="I284" s="30" t="s">
        <v>22</v>
      </c>
      <c r="J284" s="32">
        <v>1</v>
      </c>
      <c r="K284" s="223">
        <f>J284*F284</f>
        <v>0.4</v>
      </c>
      <c r="L284" s="30" t="str">
        <f>TEXT(IFERROR(((K284-K285)/K285*100),"0.00"),"0.00")</f>
        <v>0.00</v>
      </c>
      <c r="M284" s="36">
        <f>(10+J284*3)</f>
        <v>13</v>
      </c>
      <c r="N284" s="30"/>
      <c r="O284" s="30"/>
      <c r="P284" s="30"/>
      <c r="Q284" s="30"/>
      <c r="R284" s="30"/>
    </row>
    <row r="285" spans="1:18" hidden="1" x14ac:dyDescent="0.35">
      <c r="A285" s="59"/>
      <c r="B285" s="8"/>
      <c r="C285" s="33" t="s">
        <v>196</v>
      </c>
      <c r="D285" s="33"/>
      <c r="E285" s="33"/>
      <c r="F285" s="33"/>
      <c r="G285" s="33"/>
      <c r="H285" s="38" t="str">
        <f>IFERROR(K285/J285,"0")</f>
        <v>0</v>
      </c>
      <c r="I285" s="33"/>
      <c r="J285" s="34"/>
      <c r="K285" s="224"/>
      <c r="L285" s="33"/>
      <c r="M285" s="33"/>
      <c r="N285" s="33"/>
      <c r="O285" s="33"/>
      <c r="P285" s="33"/>
      <c r="Q285" s="33"/>
      <c r="R285" s="33"/>
    </row>
    <row r="286" spans="1:18" hidden="1" x14ac:dyDescent="0.35">
      <c r="A286" s="59"/>
      <c r="B286" s="8"/>
      <c r="C286" s="43" t="s">
        <v>197</v>
      </c>
      <c r="D286" s="43"/>
      <c r="E286" s="43"/>
      <c r="F286" s="43"/>
      <c r="G286" s="43"/>
      <c r="H286" s="43"/>
      <c r="I286" s="43"/>
      <c r="J286" s="43"/>
      <c r="K286" s="225"/>
      <c r="L286" s="43"/>
      <c r="M286" s="43"/>
      <c r="N286" s="43"/>
      <c r="O286" s="43"/>
      <c r="P286" s="43"/>
      <c r="Q286" s="43"/>
      <c r="R286" s="43"/>
    </row>
    <row r="287" spans="1:18" hidden="1" x14ac:dyDescent="0.35">
      <c r="A287" s="59"/>
      <c r="B287" s="8"/>
      <c r="C287" s="44" t="s">
        <v>198</v>
      </c>
      <c r="D287" s="44"/>
      <c r="E287" s="44"/>
      <c r="F287" s="44"/>
      <c r="G287" s="44"/>
      <c r="H287" s="44"/>
      <c r="I287" s="44"/>
      <c r="J287" s="44"/>
      <c r="K287" s="226"/>
      <c r="L287" s="44"/>
      <c r="M287" s="44"/>
      <c r="N287" s="44"/>
      <c r="O287" s="44"/>
      <c r="P287" s="44"/>
      <c r="Q287" s="44"/>
      <c r="R287" s="44"/>
    </row>
    <row r="288" spans="1:18" hidden="1" x14ac:dyDescent="0.35">
      <c r="A288" s="59" t="s">
        <v>109</v>
      </c>
      <c r="B288" s="8"/>
      <c r="C288" s="30" t="s">
        <v>201</v>
      </c>
      <c r="D288" s="30"/>
      <c r="E288" s="30"/>
      <c r="F288" s="39">
        <v>0.6</v>
      </c>
      <c r="G288" s="30" t="str">
        <f>CONCATENATE("USD,FLAT ",TEXT(F288,"0.00"))</f>
        <v>USD,FLAT 0.60</v>
      </c>
      <c r="H288" s="36">
        <f>K288/J288</f>
        <v>0.6</v>
      </c>
      <c r="I288" s="30" t="s">
        <v>22</v>
      </c>
      <c r="J288" s="32">
        <v>1</v>
      </c>
      <c r="K288" s="223">
        <f>J288*F288</f>
        <v>0.6</v>
      </c>
      <c r="L288" s="30" t="str">
        <f>TEXT(IFERROR(((K288-K289)/K289*100),"0.00"),"0.00")</f>
        <v>0.00</v>
      </c>
      <c r="M288" s="36">
        <f>(10+J288*3)</f>
        <v>13</v>
      </c>
      <c r="N288" s="30"/>
      <c r="O288" s="30"/>
      <c r="P288" s="30"/>
      <c r="Q288" s="30"/>
      <c r="R288" s="30"/>
    </row>
    <row r="289" spans="1:18" hidden="1" x14ac:dyDescent="0.35">
      <c r="A289" s="59"/>
      <c r="B289" s="8"/>
      <c r="C289" s="33" t="s">
        <v>196</v>
      </c>
      <c r="D289" s="33"/>
      <c r="E289" s="33"/>
      <c r="F289" s="33"/>
      <c r="G289" s="33"/>
      <c r="H289" s="38" t="str">
        <f>IFERROR(K289/J289,"0")</f>
        <v>0</v>
      </c>
      <c r="I289" s="33"/>
      <c r="J289" s="34"/>
      <c r="K289" s="224"/>
      <c r="L289" s="33"/>
      <c r="M289" s="33"/>
      <c r="N289" s="33"/>
      <c r="O289" s="33"/>
      <c r="P289" s="33"/>
      <c r="Q289" s="33"/>
      <c r="R289" s="33"/>
    </row>
    <row r="290" spans="1:18" hidden="1" x14ac:dyDescent="0.35">
      <c r="A290" s="59"/>
      <c r="B290" s="8"/>
      <c r="C290" s="43" t="s">
        <v>197</v>
      </c>
      <c r="D290" s="43"/>
      <c r="E290" s="43"/>
      <c r="F290" s="43"/>
      <c r="G290" s="43"/>
      <c r="H290" s="43"/>
      <c r="I290" s="43"/>
      <c r="J290" s="43"/>
      <c r="K290" s="225"/>
      <c r="L290" s="43"/>
      <c r="M290" s="43"/>
      <c r="N290" s="43"/>
      <c r="O290" s="43"/>
      <c r="P290" s="43"/>
      <c r="Q290" s="43"/>
      <c r="R290" s="43"/>
    </row>
    <row r="291" spans="1:18" hidden="1" x14ac:dyDescent="0.35">
      <c r="A291" s="59"/>
      <c r="B291" s="8"/>
      <c r="C291" s="44" t="s">
        <v>198</v>
      </c>
      <c r="D291" s="44"/>
      <c r="E291" s="44"/>
      <c r="F291" s="44"/>
      <c r="G291" s="44"/>
      <c r="H291" s="44"/>
      <c r="I291" s="44"/>
      <c r="J291" s="44"/>
      <c r="K291" s="226"/>
      <c r="L291" s="44"/>
      <c r="M291" s="44"/>
      <c r="N291" s="44"/>
      <c r="O291" s="44"/>
      <c r="P291" s="44"/>
      <c r="Q291" s="44"/>
      <c r="R291" s="44"/>
    </row>
    <row r="292" spans="1:18" x14ac:dyDescent="0.35">
      <c r="A292" s="59" t="s">
        <v>110</v>
      </c>
      <c r="B292" s="47"/>
      <c r="C292" s="30" t="s">
        <v>201</v>
      </c>
      <c r="D292" s="30"/>
      <c r="E292" s="30"/>
      <c r="F292" s="63">
        <v>16.670000000000002</v>
      </c>
      <c r="G292" s="30" t="str">
        <f>CONCATENATE("USD,FLAT ",TEXT(F292,"0.00"))</f>
        <v>USD,FLAT 16.67</v>
      </c>
      <c r="H292" s="36">
        <f>K292/J292</f>
        <v>16.670000000000002</v>
      </c>
      <c r="I292" s="30" t="s">
        <v>22</v>
      </c>
      <c r="J292" s="32">
        <v>1</v>
      </c>
      <c r="K292" s="223">
        <f>J292*F292</f>
        <v>16.670000000000002</v>
      </c>
      <c r="L292" s="30" t="str">
        <f>TEXT(IFERROR(((K292-K293)/K293*100),"0.00"),"0.00")</f>
        <v>0.00</v>
      </c>
      <c r="M292" s="36">
        <f>(10+J292*3)</f>
        <v>13</v>
      </c>
      <c r="N292" s="35"/>
      <c r="O292" s="30" t="s">
        <v>171</v>
      </c>
      <c r="P292" s="30" t="s">
        <v>549</v>
      </c>
      <c r="Q292" s="30"/>
      <c r="R292" s="30"/>
    </row>
    <row r="293" spans="1:18" hidden="1" x14ac:dyDescent="0.35">
      <c r="A293" s="8"/>
      <c r="B293" s="47"/>
      <c r="C293" s="33" t="s">
        <v>196</v>
      </c>
      <c r="D293" s="33"/>
      <c r="E293" s="33"/>
      <c r="F293" s="33"/>
      <c r="G293" s="33"/>
      <c r="H293" s="38" t="str">
        <f>IFERROR(K293/J293,"0")</f>
        <v>0</v>
      </c>
      <c r="I293" s="33"/>
      <c r="J293" s="34"/>
      <c r="K293" s="40"/>
      <c r="L293" s="33"/>
      <c r="M293" s="33"/>
      <c r="N293" s="33"/>
      <c r="O293" s="33"/>
      <c r="P293" s="33"/>
      <c r="Q293" s="33"/>
      <c r="R293" s="33"/>
    </row>
    <row r="294" spans="1:18" hidden="1" x14ac:dyDescent="0.35">
      <c r="A294" s="8"/>
      <c r="B294" s="47"/>
      <c r="C294" s="43" t="s">
        <v>197</v>
      </c>
      <c r="D294" s="43"/>
      <c r="E294" s="43"/>
      <c r="F294" s="43"/>
      <c r="G294" s="43"/>
      <c r="H294" s="43"/>
      <c r="I294" s="43"/>
      <c r="J294" s="43"/>
      <c r="K294" s="45"/>
      <c r="L294" s="43"/>
      <c r="M294" s="43"/>
      <c r="N294" s="43"/>
      <c r="O294" s="43"/>
      <c r="P294" s="43"/>
      <c r="Q294" s="43"/>
      <c r="R294" s="43"/>
    </row>
    <row r="295" spans="1:18" hidden="1" x14ac:dyDescent="0.35">
      <c r="A295" s="8"/>
      <c r="B295" s="47"/>
      <c r="C295" s="44" t="s">
        <v>198</v>
      </c>
      <c r="D295" s="44"/>
      <c r="E295" s="44"/>
      <c r="F295" s="44"/>
      <c r="G295" s="44"/>
      <c r="H295" s="44"/>
      <c r="I295" s="44"/>
      <c r="J295" s="44"/>
      <c r="K295" s="46"/>
      <c r="L295" s="44"/>
      <c r="M295" s="44"/>
      <c r="N295" s="44"/>
      <c r="O295" s="44"/>
      <c r="P295" s="44"/>
      <c r="Q295" s="44"/>
      <c r="R295" s="44"/>
    </row>
    <row r="296" spans="1:18" x14ac:dyDescent="0.35">
      <c r="A296" s="251" t="s">
        <v>220</v>
      </c>
      <c r="B296" s="252"/>
      <c r="C296" s="252"/>
      <c r="D296" s="252"/>
      <c r="E296" s="252"/>
      <c r="F296" s="252"/>
      <c r="G296" s="252"/>
      <c r="H296" s="252"/>
      <c r="I296" s="252"/>
      <c r="J296" s="252"/>
    </row>
    <row r="297" spans="1:18" x14ac:dyDescent="0.35">
      <c r="A297" s="253" t="s">
        <v>222</v>
      </c>
      <c r="B297" s="262" t="s">
        <v>225</v>
      </c>
      <c r="C297" s="263"/>
      <c r="D297" s="263"/>
      <c r="E297" s="264"/>
      <c r="F297" s="262" t="s">
        <v>226</v>
      </c>
      <c r="G297" s="263"/>
      <c r="H297" s="263"/>
      <c r="I297" s="264"/>
      <c r="J297" s="265" t="s">
        <v>224</v>
      </c>
    </row>
    <row r="298" spans="1:18" x14ac:dyDescent="0.35">
      <c r="A298" s="254"/>
      <c r="B298" s="24" t="s">
        <v>187</v>
      </c>
      <c r="C298" s="24" t="s">
        <v>189</v>
      </c>
      <c r="D298" s="24" t="s">
        <v>223</v>
      </c>
      <c r="E298" s="24" t="s">
        <v>229</v>
      </c>
      <c r="F298" s="24" t="s">
        <v>187</v>
      </c>
      <c r="G298" s="24" t="s">
        <v>189</v>
      </c>
      <c r="H298" s="24" t="s">
        <v>223</v>
      </c>
      <c r="I298" s="24" t="s">
        <v>229</v>
      </c>
      <c r="J298" s="266"/>
    </row>
    <row r="299" spans="1:18" x14ac:dyDescent="0.35">
      <c r="A299" s="21"/>
      <c r="B299" s="55" t="e">
        <f>"$"&amp;(K228+C204+C205)</f>
        <v>#VALUE!</v>
      </c>
      <c r="C299" s="7" t="e">
        <f>"$"&amp;(M228+C206+C207)</f>
        <v>#VALUE!</v>
      </c>
      <c r="D299" s="55" t="e">
        <f>"$"&amp;(B299-C299)</f>
        <v>#VALUE!</v>
      </c>
      <c r="E299" s="55" t="e">
        <f>((B299-C299)/B299*100)</f>
        <v>#VALUE!</v>
      </c>
      <c r="F299" s="56" t="str">
        <f>K229</f>
        <v>$648000</v>
      </c>
      <c r="G299" s="56" t="str">
        <f>M229</f>
        <v>$144010</v>
      </c>
      <c r="H299" s="56" t="e">
        <f>"$"&amp;(F299-G299)</f>
        <v>#VALUE!</v>
      </c>
      <c r="I299" s="55" t="e">
        <f>((F299-G299)/F299*100)</f>
        <v>#VALUE!</v>
      </c>
      <c r="J299" s="55" t="e">
        <f>((B299-F299)/F299*100)</f>
        <v>#VALUE!</v>
      </c>
    </row>
    <row r="300" spans="1:18" x14ac:dyDescent="0.35">
      <c r="A300" s="251" t="s">
        <v>221</v>
      </c>
      <c r="B300" s="252"/>
      <c r="C300" s="252"/>
      <c r="D300" s="252"/>
      <c r="E300" s="252"/>
      <c r="F300" s="252"/>
      <c r="G300" s="252"/>
      <c r="H300" s="252"/>
    </row>
    <row r="301" spans="1:18" x14ac:dyDescent="0.35">
      <c r="A301" s="24" t="s">
        <v>1</v>
      </c>
      <c r="B301" s="24" t="s">
        <v>0</v>
      </c>
      <c r="C301" s="24" t="s">
        <v>204</v>
      </c>
      <c r="D301" s="24" t="s">
        <v>216</v>
      </c>
      <c r="E301" s="24" t="s">
        <v>227</v>
      </c>
      <c r="F301" s="24" t="s">
        <v>228</v>
      </c>
      <c r="G301" s="24" t="s">
        <v>217</v>
      </c>
      <c r="H301" s="24" t="s">
        <v>218</v>
      </c>
    </row>
    <row r="302" spans="1:18" x14ac:dyDescent="0.35">
      <c r="A302" s="21"/>
      <c r="B302" s="23"/>
      <c r="C302" s="21" t="s">
        <v>219</v>
      </c>
      <c r="D302" s="55" t="e">
        <f>(E302-G302)/G302*100</f>
        <v>#VALUE!</v>
      </c>
      <c r="E302" s="56" t="e">
        <f>"$"&amp;(K228+C204+C205)</f>
        <v>#VALUE!</v>
      </c>
      <c r="F302" s="56" t="e">
        <f>"$"&amp;(M228+C206+C207)</f>
        <v>#VALUE!</v>
      </c>
      <c r="G302" s="56" t="str">
        <f>K229</f>
        <v>$648000</v>
      </c>
      <c r="H302" s="56" t="str">
        <f>M229</f>
        <v>$144010</v>
      </c>
    </row>
    <row r="303" spans="1:18" x14ac:dyDescent="0.35">
      <c r="A303" s="74"/>
      <c r="B303" s="75"/>
      <c r="C303" s="75"/>
      <c r="D303" s="75"/>
      <c r="E303" s="76"/>
      <c r="F303" s="75"/>
      <c r="G303" s="75"/>
      <c r="H303" s="75"/>
      <c r="I303" s="76"/>
      <c r="J303" s="76"/>
    </row>
    <row r="304" spans="1:18" x14ac:dyDescent="0.35">
      <c r="A304" s="57" t="s">
        <v>153</v>
      </c>
      <c r="B304" s="58"/>
      <c r="C304" s="58"/>
    </row>
    <row r="305" spans="1:18" x14ac:dyDescent="0.35">
      <c r="A305" s="24" t="s">
        <v>153</v>
      </c>
      <c r="B305" s="24" t="s">
        <v>162</v>
      </c>
      <c r="C305" s="24" t="s">
        <v>163</v>
      </c>
      <c r="D305" s="24" t="s">
        <v>131</v>
      </c>
      <c r="E305" s="24" t="s">
        <v>132</v>
      </c>
      <c r="F305" s="24" t="s">
        <v>133</v>
      </c>
      <c r="G305" s="24" t="s">
        <v>134</v>
      </c>
      <c r="H305" s="24" t="s">
        <v>158</v>
      </c>
      <c r="I305" s="24" t="s">
        <v>398</v>
      </c>
      <c r="J305" s="24" t="s">
        <v>251</v>
      </c>
      <c r="K305" s="24" t="s">
        <v>159</v>
      </c>
      <c r="L305" s="24" t="s">
        <v>55</v>
      </c>
      <c r="M305" s="24" t="s">
        <v>56</v>
      </c>
      <c r="N305" s="24" t="s">
        <v>160</v>
      </c>
      <c r="O305" s="24" t="s">
        <v>544</v>
      </c>
    </row>
    <row r="306" spans="1:18" ht="58" x14ac:dyDescent="0.35">
      <c r="A306" s="26" t="s">
        <v>657</v>
      </c>
      <c r="B306" s="27" t="s">
        <v>240</v>
      </c>
      <c r="C306" s="27" t="s">
        <v>240</v>
      </c>
      <c r="D306" s="27" t="s">
        <v>658</v>
      </c>
      <c r="E306" s="23" t="s">
        <v>155</v>
      </c>
      <c r="F306" s="21" t="s">
        <v>157</v>
      </c>
      <c r="G306" s="11" t="str">
        <f ca="1">E102</f>
        <v>04-25-2022</v>
      </c>
      <c r="H306" s="218" t="str">
        <f ca="1">TEXT(TODAY(),"MM-DD-YYYY")</f>
        <v>04-25-2022</v>
      </c>
      <c r="I306" s="27" t="s">
        <v>401</v>
      </c>
      <c r="J306" s="27" t="s">
        <v>642</v>
      </c>
      <c r="K306" s="21"/>
      <c r="L306" s="21"/>
      <c r="M306" s="21"/>
      <c r="N306" s="21"/>
      <c r="O306" s="21"/>
    </row>
    <row r="308" spans="1:18" x14ac:dyDescent="0.35">
      <c r="A308" s="206" t="s">
        <v>556</v>
      </c>
      <c r="B308" s="207"/>
      <c r="C308" s="207"/>
      <c r="D308" s="207"/>
      <c r="E308" s="207"/>
    </row>
    <row r="309" spans="1:18" x14ac:dyDescent="0.35">
      <c r="A309" s="206" t="s">
        <v>153</v>
      </c>
      <c r="B309" s="207"/>
      <c r="C309" s="207"/>
      <c r="D309" s="208"/>
      <c r="E309" s="208"/>
    </row>
    <row r="310" spans="1:18" x14ac:dyDescent="0.35">
      <c r="A310" s="24" t="s">
        <v>153</v>
      </c>
      <c r="B310" s="24" t="s">
        <v>162</v>
      </c>
      <c r="C310" s="24" t="s">
        <v>163</v>
      </c>
      <c r="D310" s="25" t="s">
        <v>559</v>
      </c>
    </row>
    <row r="311" spans="1:18" ht="58" x14ac:dyDescent="0.35">
      <c r="A311" s="26" t="s">
        <v>657</v>
      </c>
      <c r="B311" s="61" t="s">
        <v>555</v>
      </c>
      <c r="C311" s="61" t="s">
        <v>554</v>
      </c>
      <c r="D311" s="61" t="s">
        <v>560</v>
      </c>
    </row>
    <row r="312" spans="1:18" x14ac:dyDescent="0.35">
      <c r="A312" s="167" t="s">
        <v>183</v>
      </c>
      <c r="B312" s="167" t="s">
        <v>44</v>
      </c>
      <c r="C312" s="167" t="s">
        <v>191</v>
      </c>
      <c r="D312" s="42" t="s">
        <v>199</v>
      </c>
      <c r="E312" s="42" t="s">
        <v>200</v>
      </c>
      <c r="F312" s="42" t="s">
        <v>57</v>
      </c>
      <c r="G312" s="167" t="s">
        <v>184</v>
      </c>
      <c r="H312" s="167" t="s">
        <v>185</v>
      </c>
      <c r="I312" s="42" t="s">
        <v>18</v>
      </c>
      <c r="J312" s="42" t="s">
        <v>186</v>
      </c>
      <c r="K312" s="42" t="s">
        <v>187</v>
      </c>
      <c r="L312" s="42" t="s">
        <v>188</v>
      </c>
      <c r="M312" s="42" t="s">
        <v>189</v>
      </c>
      <c r="N312" s="42" t="s">
        <v>206</v>
      </c>
      <c r="O312" s="42" t="s">
        <v>203</v>
      </c>
      <c r="P312" s="42" t="s">
        <v>204</v>
      </c>
      <c r="Q312" s="42" t="s">
        <v>205</v>
      </c>
      <c r="R312" s="42" t="s">
        <v>190</v>
      </c>
    </row>
    <row r="313" spans="1:18" x14ac:dyDescent="0.35">
      <c r="A313" s="59" t="s">
        <v>109</v>
      </c>
      <c r="B313" s="8"/>
      <c r="C313" s="30" t="s">
        <v>201</v>
      </c>
      <c r="D313" s="30"/>
      <c r="E313" s="30"/>
      <c r="F313" s="39">
        <v>0.6</v>
      </c>
      <c r="G313" s="30" t="str">
        <f>CONCATENATE("USD,FLAT ",TEXT(F313,"0.00"))</f>
        <v>USD,FLAT 0.60</v>
      </c>
      <c r="H313" s="36">
        <f>K313/J313</f>
        <v>0.6</v>
      </c>
      <c r="I313" s="30" t="s">
        <v>22</v>
      </c>
      <c r="J313" s="32">
        <v>1</v>
      </c>
      <c r="K313" s="39">
        <f>J313*F313</f>
        <v>0.6</v>
      </c>
      <c r="L313" s="30" t="str">
        <f>TEXT(IFERROR(((K313-K314)/K314*100),"0.00"),"0.00")</f>
        <v>0.00</v>
      </c>
      <c r="M313" s="36">
        <f>(10+J313*3)</f>
        <v>13</v>
      </c>
      <c r="N313" s="35" t="s">
        <v>54</v>
      </c>
      <c r="O313" s="30" t="s">
        <v>213</v>
      </c>
      <c r="P313" s="30" t="s">
        <v>546</v>
      </c>
      <c r="Q313" s="30" t="s">
        <v>557</v>
      </c>
      <c r="R313" s="30"/>
    </row>
    <row r="314" spans="1:18" x14ac:dyDescent="0.35">
      <c r="A314" s="8"/>
      <c r="B314" s="8"/>
      <c r="C314" s="33" t="s">
        <v>196</v>
      </c>
      <c r="D314" s="33"/>
      <c r="E314" s="33"/>
      <c r="F314" s="33"/>
      <c r="G314" s="33"/>
      <c r="H314" s="38" t="str">
        <f>IFERROR(K314/J314,"0")</f>
        <v>0</v>
      </c>
      <c r="I314" s="33"/>
      <c r="J314" s="34"/>
      <c r="K314" s="40"/>
      <c r="L314" s="33"/>
      <c r="M314" s="33"/>
      <c r="N314" s="33"/>
      <c r="O314" s="33"/>
      <c r="P314" s="33"/>
      <c r="Q314" s="33"/>
      <c r="R314" s="33"/>
    </row>
    <row r="315" spans="1:18" x14ac:dyDescent="0.35">
      <c r="A315" s="259" t="s">
        <v>646</v>
      </c>
      <c r="B315" s="260"/>
      <c r="C315" s="261"/>
      <c r="D315" s="171"/>
      <c r="E315" s="172"/>
      <c r="F315" s="172"/>
      <c r="G315" s="172"/>
      <c r="H315" s="173"/>
      <c r="I315" s="172"/>
      <c r="J315" s="174"/>
      <c r="K315" s="175"/>
      <c r="L315" s="172"/>
      <c r="M315" s="172"/>
      <c r="N315" s="172"/>
      <c r="O315" s="172"/>
      <c r="P315" s="172"/>
      <c r="Q315" s="172"/>
      <c r="R315" s="172"/>
    </row>
    <row r="316" spans="1:18" ht="43.5" x14ac:dyDescent="0.35">
      <c r="A316" s="60" t="s">
        <v>643</v>
      </c>
      <c r="B316" s="60" t="s">
        <v>644</v>
      </c>
      <c r="C316" s="60" t="s">
        <v>645</v>
      </c>
      <c r="D316" s="60"/>
      <c r="E316" s="172"/>
      <c r="F316" s="172"/>
      <c r="G316" s="172"/>
      <c r="H316" s="173"/>
      <c r="I316" s="172"/>
      <c r="J316" s="174"/>
      <c r="K316" s="175"/>
      <c r="L316" s="172"/>
      <c r="M316" s="172"/>
      <c r="N316" s="172"/>
      <c r="O316" s="172"/>
      <c r="P316" s="172"/>
      <c r="Q316" s="172"/>
      <c r="R316" s="172"/>
    </row>
    <row r="317" spans="1:18" x14ac:dyDescent="0.35">
      <c r="A317" s="259" t="s">
        <v>647</v>
      </c>
      <c r="B317" s="260"/>
      <c r="C317" s="261"/>
      <c r="D317" s="209"/>
      <c r="E317" s="209"/>
      <c r="F317" s="209"/>
      <c r="G317" s="209"/>
      <c r="H317" s="210"/>
      <c r="I317" s="209"/>
      <c r="J317" s="211"/>
      <c r="K317" s="212"/>
      <c r="L317" s="209"/>
      <c r="M317" s="209"/>
      <c r="N317" s="209"/>
      <c r="O317" s="209"/>
      <c r="P317" s="209"/>
      <c r="Q317" s="209"/>
      <c r="R317" s="209"/>
    </row>
    <row r="318" spans="1:18" ht="58" x14ac:dyDescent="0.35">
      <c r="A318" s="60" t="s">
        <v>648</v>
      </c>
      <c r="B318" s="60" t="s">
        <v>649</v>
      </c>
      <c r="C318" s="60"/>
      <c r="D318" s="209"/>
      <c r="E318" s="209"/>
      <c r="F318" s="209"/>
      <c r="G318" s="209"/>
      <c r="H318" s="210"/>
      <c r="I318" s="209"/>
      <c r="J318" s="211"/>
      <c r="K318" s="212"/>
      <c r="L318" s="209"/>
      <c r="M318" s="209"/>
      <c r="N318" s="209"/>
      <c r="O318" s="209"/>
      <c r="P318" s="209"/>
      <c r="Q318" s="209"/>
      <c r="R318" s="209"/>
    </row>
    <row r="319" spans="1:18" x14ac:dyDescent="0.35">
      <c r="A319" s="209"/>
      <c r="B319" s="209"/>
      <c r="C319" s="209"/>
      <c r="D319" s="209"/>
      <c r="E319" s="209"/>
      <c r="F319" s="209"/>
      <c r="G319" s="209"/>
      <c r="H319" s="210"/>
      <c r="I319" s="209"/>
      <c r="J319" s="211"/>
      <c r="K319" s="212"/>
      <c r="L319" s="209"/>
      <c r="M319" s="209"/>
      <c r="N319" s="209"/>
      <c r="O319" s="209"/>
      <c r="P319" s="209"/>
      <c r="Q319" s="209"/>
      <c r="R319" s="209"/>
    </row>
    <row r="320" spans="1:18" x14ac:dyDescent="0.35">
      <c r="A320" s="209"/>
      <c r="B320" s="209"/>
      <c r="C320" s="209"/>
      <c r="D320" s="209"/>
      <c r="E320" s="209"/>
      <c r="F320" s="209"/>
      <c r="G320" s="209"/>
      <c r="H320" s="210"/>
      <c r="I320" s="209"/>
      <c r="J320" s="211"/>
      <c r="K320" s="212"/>
      <c r="L320" s="209"/>
      <c r="M320" s="209"/>
      <c r="N320" s="209"/>
      <c r="O320" s="209"/>
      <c r="P320" s="209"/>
      <c r="Q320" s="209"/>
      <c r="R320" s="209"/>
    </row>
    <row r="321" spans="1:18" x14ac:dyDescent="0.35">
      <c r="A321" s="258" t="s">
        <v>563</v>
      </c>
      <c r="B321" s="258"/>
      <c r="C321" s="258"/>
      <c r="D321" s="258"/>
      <c r="E321" s="258"/>
      <c r="F321" s="258"/>
      <c r="G321" s="258"/>
      <c r="H321" s="258"/>
      <c r="I321" s="258"/>
      <c r="J321" s="258"/>
      <c r="K321" s="258"/>
      <c r="L321" s="258"/>
    </row>
    <row r="322" spans="1:18" x14ac:dyDescent="0.35">
      <c r="A322" s="249" t="s">
        <v>565</v>
      </c>
      <c r="B322" s="250"/>
      <c r="C322" s="250"/>
      <c r="D322" s="250"/>
      <c r="E322" s="250"/>
      <c r="F322" s="201"/>
      <c r="G322" s="201"/>
      <c r="H322" s="201"/>
      <c r="I322" s="201"/>
      <c r="J322" s="201"/>
      <c r="K322" s="201"/>
      <c r="L322" s="201"/>
    </row>
    <row r="323" spans="1:18" x14ac:dyDescent="0.35">
      <c r="A323" s="21" t="s">
        <v>566</v>
      </c>
      <c r="B323" s="56" t="s">
        <v>567</v>
      </c>
      <c r="C323" s="56"/>
      <c r="D323" s="56"/>
      <c r="E323" s="55"/>
      <c r="F323" s="56"/>
      <c r="G323" s="55"/>
      <c r="H323" s="55"/>
      <c r="I323" s="56"/>
      <c r="J323" s="56"/>
      <c r="K323" s="56"/>
      <c r="L323" s="55"/>
      <c r="M323" s="55"/>
    </row>
    <row r="324" spans="1:18" x14ac:dyDescent="0.35">
      <c r="A324" s="249" t="s">
        <v>182</v>
      </c>
      <c r="B324" s="250"/>
      <c r="C324" s="250"/>
      <c r="D324" s="250"/>
      <c r="E324" s="250"/>
    </row>
    <row r="325" spans="1:18" x14ac:dyDescent="0.35">
      <c r="A325" s="169" t="s">
        <v>183</v>
      </c>
      <c r="B325" s="169" t="s">
        <v>44</v>
      </c>
      <c r="C325" s="169" t="s">
        <v>191</v>
      </c>
      <c r="D325" s="42" t="s">
        <v>199</v>
      </c>
      <c r="E325" s="42" t="s">
        <v>200</v>
      </c>
      <c r="F325" s="42" t="s">
        <v>57</v>
      </c>
      <c r="G325" s="169" t="s">
        <v>184</v>
      </c>
      <c r="H325" s="169" t="s">
        <v>185</v>
      </c>
      <c r="I325" s="42" t="s">
        <v>18</v>
      </c>
      <c r="J325" s="42" t="s">
        <v>186</v>
      </c>
      <c r="K325" s="42" t="s">
        <v>187</v>
      </c>
      <c r="L325" s="42" t="s">
        <v>188</v>
      </c>
      <c r="M325" s="42" t="s">
        <v>189</v>
      </c>
      <c r="N325" s="42" t="s">
        <v>206</v>
      </c>
      <c r="O325" s="42" t="s">
        <v>203</v>
      </c>
      <c r="P325" s="42" t="s">
        <v>204</v>
      </c>
      <c r="Q325" s="42" t="s">
        <v>205</v>
      </c>
      <c r="R325" s="42" t="s">
        <v>190</v>
      </c>
    </row>
    <row r="326" spans="1:18" x14ac:dyDescent="0.35">
      <c r="A326" s="52" t="s">
        <v>194</v>
      </c>
      <c r="B326" s="52"/>
      <c r="C326" s="52" t="s">
        <v>201</v>
      </c>
      <c r="D326" s="52"/>
      <c r="E326" s="52"/>
      <c r="F326" s="52"/>
      <c r="G326" s="52"/>
      <c r="H326" s="52"/>
      <c r="I326" s="52"/>
      <c r="J326" s="238">
        <f>SUMIFS(J328:J337,C328:C337,C326)</f>
        <v>288000</v>
      </c>
      <c r="K326" s="239" t="str">
        <f>"$"&amp;SUMIFS(K328:K337,C328:C337,C326)</f>
        <v>$6092880</v>
      </c>
      <c r="L326" s="52"/>
      <c r="M326" s="239" t="str">
        <f>"$"&amp;SUMIFS(M328:M337,C328:C337,C326)</f>
        <v>$864030</v>
      </c>
      <c r="N326" s="52"/>
      <c r="O326" s="52"/>
      <c r="P326" s="52"/>
      <c r="Q326" s="52"/>
      <c r="R326" s="52"/>
    </row>
    <row r="327" spans="1:18" x14ac:dyDescent="0.35">
      <c r="A327" s="52" t="s">
        <v>194</v>
      </c>
      <c r="B327" s="52"/>
      <c r="C327" s="52" t="s">
        <v>196</v>
      </c>
      <c r="D327" s="52"/>
      <c r="E327" s="52"/>
      <c r="F327" s="52"/>
      <c r="G327" s="52"/>
      <c r="H327" s="52"/>
      <c r="I327" s="52"/>
      <c r="J327" s="238">
        <f>SUMIFS(J328:J337,C328:C337,C327)</f>
        <v>288000</v>
      </c>
      <c r="K327" s="239" t="str">
        <f>"$"&amp;SUMIFS(K328:K337,C328:C337,C327)</f>
        <v>$0</v>
      </c>
      <c r="L327" s="52"/>
      <c r="M327" s="239" t="str">
        <f>"$"&amp;SUMIFS(M328:M337,C328:C337,C327)</f>
        <v>$0</v>
      </c>
      <c r="N327" s="52"/>
      <c r="O327" s="52"/>
      <c r="P327" s="52"/>
      <c r="Q327" s="52"/>
      <c r="R327" s="52"/>
    </row>
    <row r="328" spans="1:18" x14ac:dyDescent="0.35">
      <c r="A328" s="59" t="s">
        <v>103</v>
      </c>
      <c r="B328" s="8"/>
      <c r="C328" s="30" t="s">
        <v>201</v>
      </c>
      <c r="D328" s="30"/>
      <c r="E328" s="30"/>
      <c r="F328" s="31" t="s">
        <v>211</v>
      </c>
      <c r="G328" s="30" t="s">
        <v>208</v>
      </c>
      <c r="H328" s="36">
        <f>K328/J328</f>
        <v>12.25</v>
      </c>
      <c r="I328" s="30" t="s">
        <v>22</v>
      </c>
      <c r="J328" s="32">
        <v>72000</v>
      </c>
      <c r="K328" s="36">
        <f>(1000*12.95+4000*12.15+1000*11.95)*12</f>
        <v>882000</v>
      </c>
      <c r="L328" s="30" t="str">
        <f>TEXT(IFERROR(((K328-K329)/K329*100),"0.00"),"0.00")</f>
        <v>0.00</v>
      </c>
      <c r="M328" s="36">
        <f>(10+J328*3)</f>
        <v>216010</v>
      </c>
      <c r="N328" s="35" t="s">
        <v>54</v>
      </c>
      <c r="O328" s="30" t="s">
        <v>213</v>
      </c>
      <c r="P328" s="30" t="s">
        <v>546</v>
      </c>
      <c r="Q328" s="30" t="s">
        <v>564</v>
      </c>
      <c r="R328" s="30"/>
    </row>
    <row r="329" spans="1:18" x14ac:dyDescent="0.35">
      <c r="A329" s="8"/>
      <c r="B329" s="8"/>
      <c r="C329" s="33" t="s">
        <v>196</v>
      </c>
      <c r="D329" s="33"/>
      <c r="E329" s="33"/>
      <c r="F329" s="33"/>
      <c r="G329" s="33"/>
      <c r="H329" s="38">
        <f>IFERROR(K329/J329,"0")</f>
        <v>0</v>
      </c>
      <c r="I329" s="33" t="s">
        <v>22</v>
      </c>
      <c r="J329" s="34">
        <v>72000</v>
      </c>
      <c r="K329" s="40">
        <v>0</v>
      </c>
      <c r="L329" s="33"/>
      <c r="M329" s="38"/>
      <c r="N329" s="33"/>
      <c r="O329" s="33"/>
      <c r="P329" s="33"/>
      <c r="Q329" s="33"/>
      <c r="R329" s="33"/>
    </row>
    <row r="330" spans="1:18" hidden="1" x14ac:dyDescent="0.35">
      <c r="A330" s="8"/>
      <c r="B330" s="8"/>
      <c r="C330" s="43" t="s">
        <v>197</v>
      </c>
      <c r="D330" s="43"/>
      <c r="E330" s="43"/>
      <c r="F330" s="43"/>
      <c r="G330" s="43"/>
      <c r="H330" s="43"/>
      <c r="I330" s="43"/>
      <c r="J330" s="43"/>
      <c r="K330" s="45"/>
      <c r="L330" s="43"/>
      <c r="M330" s="43"/>
      <c r="N330" s="43"/>
      <c r="O330" s="43"/>
      <c r="P330" s="43"/>
      <c r="Q330" s="43"/>
      <c r="R330" s="43"/>
    </row>
    <row r="331" spans="1:18" hidden="1" x14ac:dyDescent="0.35">
      <c r="A331" s="8"/>
      <c r="B331" s="8"/>
      <c r="C331" s="44" t="s">
        <v>198</v>
      </c>
      <c r="D331" s="44"/>
      <c r="E331" s="44"/>
      <c r="F331" s="44"/>
      <c r="G331" s="44"/>
      <c r="H331" s="44"/>
      <c r="I331" s="44"/>
      <c r="J331" s="44"/>
      <c r="K331" s="46"/>
      <c r="L331" s="44"/>
      <c r="M331" s="44"/>
      <c r="N331" s="44"/>
      <c r="O331" s="44"/>
      <c r="P331" s="44"/>
      <c r="Q331" s="44"/>
      <c r="R331" s="44"/>
    </row>
    <row r="332" spans="1:18" x14ac:dyDescent="0.35">
      <c r="A332" s="59" t="s">
        <v>104</v>
      </c>
      <c r="B332" s="8"/>
      <c r="C332" s="30" t="s">
        <v>201</v>
      </c>
      <c r="D332" s="30"/>
      <c r="E332" s="30"/>
      <c r="F332" s="31" t="s">
        <v>211</v>
      </c>
      <c r="G332" s="30" t="s">
        <v>209</v>
      </c>
      <c r="H332" s="36">
        <f>K332/J332</f>
        <v>11.95</v>
      </c>
      <c r="I332" s="30" t="s">
        <v>22</v>
      </c>
      <c r="J332" s="32">
        <v>96000</v>
      </c>
      <c r="K332" s="36">
        <f>J332*11.95</f>
        <v>1147200</v>
      </c>
      <c r="L332" s="30" t="str">
        <f>TEXT(IFERROR(((K332-K333)/K333*100),"0.00"),"0.00")</f>
        <v>0.00</v>
      </c>
      <c r="M332" s="36">
        <f>(10+J332*3)</f>
        <v>288010</v>
      </c>
      <c r="N332" s="35" t="s">
        <v>54</v>
      </c>
      <c r="O332" s="30" t="s">
        <v>213</v>
      </c>
      <c r="P332" s="30" t="s">
        <v>546</v>
      </c>
      <c r="Q332" s="30" t="s">
        <v>564</v>
      </c>
      <c r="R332" s="30"/>
    </row>
    <row r="333" spans="1:18" x14ac:dyDescent="0.35">
      <c r="A333" s="8"/>
      <c r="B333" s="8"/>
      <c r="C333" s="33" t="s">
        <v>196</v>
      </c>
      <c r="D333" s="33"/>
      <c r="E333" s="33"/>
      <c r="F333" s="33"/>
      <c r="G333" s="33"/>
      <c r="H333" s="38">
        <f>IFERROR(K333/J333,"0")</f>
        <v>0</v>
      </c>
      <c r="I333" s="33" t="s">
        <v>22</v>
      </c>
      <c r="J333" s="34">
        <v>96000</v>
      </c>
      <c r="K333" s="40">
        <v>0</v>
      </c>
      <c r="L333" s="33"/>
      <c r="M333" s="33"/>
      <c r="N333" s="33"/>
      <c r="O333" s="33"/>
      <c r="P333" s="33"/>
      <c r="Q333" s="33"/>
      <c r="R333" s="33"/>
    </row>
    <row r="334" spans="1:18" hidden="1" x14ac:dyDescent="0.35">
      <c r="A334" s="8"/>
      <c r="B334" s="8"/>
      <c r="C334" s="43" t="s">
        <v>197</v>
      </c>
      <c r="D334" s="43"/>
      <c r="E334" s="43"/>
      <c r="F334" s="43"/>
      <c r="G334" s="43"/>
      <c r="H334" s="43"/>
      <c r="I334" s="43"/>
      <c r="J334" s="43"/>
      <c r="K334" s="45"/>
      <c r="L334" s="43"/>
      <c r="M334" s="43"/>
      <c r="N334" s="43"/>
      <c r="O334" s="43"/>
      <c r="P334" s="43"/>
      <c r="Q334" s="43"/>
      <c r="R334" s="43"/>
    </row>
    <row r="335" spans="1:18" hidden="1" x14ac:dyDescent="0.35">
      <c r="A335" s="8"/>
      <c r="B335" s="8"/>
      <c r="C335" s="44" t="s">
        <v>198</v>
      </c>
      <c r="D335" s="44"/>
      <c r="E335" s="44"/>
      <c r="F335" s="44"/>
      <c r="G335" s="44"/>
      <c r="H335" s="44"/>
      <c r="I335" s="44"/>
      <c r="J335" s="44"/>
      <c r="K335" s="46"/>
      <c r="L335" s="44"/>
      <c r="M335" s="44"/>
      <c r="N335" s="44"/>
      <c r="O335" s="44"/>
      <c r="P335" s="44"/>
      <c r="Q335" s="44"/>
      <c r="R335" s="44"/>
    </row>
    <row r="336" spans="1:18" ht="29" x14ac:dyDescent="0.35">
      <c r="A336" s="59" t="s">
        <v>105</v>
      </c>
      <c r="B336" s="8"/>
      <c r="C336" s="30" t="s">
        <v>201</v>
      </c>
      <c r="D336" s="30"/>
      <c r="E336" s="30"/>
      <c r="F336" s="31" t="s">
        <v>212</v>
      </c>
      <c r="G336" s="30" t="s">
        <v>210</v>
      </c>
      <c r="H336" s="36">
        <f>K336/J336</f>
        <v>33.863999999999997</v>
      </c>
      <c r="I336" s="30" t="s">
        <v>22</v>
      </c>
      <c r="J336" s="32">
        <v>120000</v>
      </c>
      <c r="K336" s="36">
        <f>'UC01 - CALCULATOIN'!C13</f>
        <v>4063680</v>
      </c>
      <c r="L336" s="30" t="str">
        <f>TEXT(IFERROR(((K336-K337)/K337*100),"0.00"),"0.00")</f>
        <v>0.00</v>
      </c>
      <c r="M336" s="36">
        <f>(10+J336*3)</f>
        <v>360010</v>
      </c>
      <c r="N336" s="35" t="s">
        <v>54</v>
      </c>
      <c r="O336" s="30" t="s">
        <v>213</v>
      </c>
      <c r="P336" s="30" t="s">
        <v>546</v>
      </c>
      <c r="Q336" s="30" t="s">
        <v>564</v>
      </c>
      <c r="R336" s="30"/>
    </row>
    <row r="337" spans="1:18" x14ac:dyDescent="0.35">
      <c r="A337" s="8"/>
      <c r="B337" s="8"/>
      <c r="C337" s="33" t="s">
        <v>196</v>
      </c>
      <c r="D337" s="33"/>
      <c r="E337" s="33"/>
      <c r="F337" s="33"/>
      <c r="G337" s="33"/>
      <c r="H337" s="38">
        <f>IFERROR(K337/J337,"0")</f>
        <v>0</v>
      </c>
      <c r="I337" s="33" t="s">
        <v>22</v>
      </c>
      <c r="J337" s="34">
        <v>120000</v>
      </c>
      <c r="K337" s="40">
        <v>0</v>
      </c>
      <c r="L337" s="33"/>
      <c r="M337" s="33"/>
      <c r="N337" s="33"/>
      <c r="O337" s="33"/>
      <c r="P337" s="33"/>
      <c r="Q337" s="33"/>
      <c r="R337" s="33"/>
    </row>
    <row r="338" spans="1:18" x14ac:dyDescent="0.35">
      <c r="A338" s="251" t="s">
        <v>220</v>
      </c>
      <c r="B338" s="252"/>
      <c r="C338" s="252"/>
      <c r="D338" s="252"/>
      <c r="E338" s="252"/>
      <c r="F338" s="252"/>
      <c r="G338" s="252"/>
      <c r="H338" s="252"/>
      <c r="I338" s="252"/>
      <c r="J338" s="252"/>
    </row>
    <row r="339" spans="1:18" x14ac:dyDescent="0.35">
      <c r="A339" s="253" t="s">
        <v>222</v>
      </c>
      <c r="B339" s="255" t="s">
        <v>225</v>
      </c>
      <c r="C339" s="256"/>
      <c r="D339" s="256"/>
      <c r="E339" s="257"/>
      <c r="F339" s="213" t="s">
        <v>226</v>
      </c>
      <c r="G339" s="214"/>
      <c r="H339" s="214"/>
      <c r="I339" s="215"/>
      <c r="J339" s="202" t="s">
        <v>224</v>
      </c>
    </row>
    <row r="340" spans="1:18" x14ac:dyDescent="0.35">
      <c r="A340" s="254"/>
      <c r="B340" s="111" t="s">
        <v>187</v>
      </c>
      <c r="C340" s="111" t="s">
        <v>189</v>
      </c>
      <c r="D340" s="111" t="s">
        <v>223</v>
      </c>
      <c r="E340" s="111" t="s">
        <v>229</v>
      </c>
      <c r="F340" s="113" t="s">
        <v>187</v>
      </c>
      <c r="G340" s="113" t="s">
        <v>189</v>
      </c>
      <c r="H340" s="113" t="s">
        <v>223</v>
      </c>
      <c r="I340" s="113" t="s">
        <v>229</v>
      </c>
      <c r="J340" s="203"/>
    </row>
    <row r="341" spans="1:18" x14ac:dyDescent="0.35">
      <c r="A341" s="21"/>
      <c r="B341" s="55" t="e">
        <f>"$"&amp;(K355+C204+C205)</f>
        <v>#VALUE!</v>
      </c>
      <c r="C341" s="55" t="e">
        <f>"$"&amp;(M355+C206+C207)</f>
        <v>#VALUE!</v>
      </c>
      <c r="D341" s="55" t="e">
        <f>"$"&amp;(B427-C427)</f>
        <v>#VALUE!</v>
      </c>
      <c r="E341" s="55" t="e">
        <f>((B341-C341)/B341*100)</f>
        <v>#VALUE!</v>
      </c>
      <c r="F341" s="56" t="str">
        <f>K356</f>
        <v>$648000</v>
      </c>
      <c r="G341" s="56" t="str">
        <f>M356</f>
        <v>$144010</v>
      </c>
      <c r="H341" s="55" t="e">
        <f>"$"&amp;(F341-G341)</f>
        <v>#VALUE!</v>
      </c>
      <c r="I341" s="55" t="e">
        <f>((F341-G341)/F341*100)</f>
        <v>#VALUE!</v>
      </c>
      <c r="J341" s="55" t="e">
        <f>((B341-F341)/F341*100)</f>
        <v>#VALUE!</v>
      </c>
    </row>
    <row r="342" spans="1:18" x14ac:dyDescent="0.35">
      <c r="A342" s="251" t="s">
        <v>221</v>
      </c>
      <c r="B342" s="252"/>
      <c r="C342" s="252"/>
      <c r="D342" s="252"/>
      <c r="E342" s="252"/>
      <c r="F342" s="252"/>
      <c r="G342" s="252"/>
      <c r="H342" s="252"/>
    </row>
    <row r="343" spans="1:18" x14ac:dyDescent="0.35">
      <c r="A343" s="24" t="s">
        <v>1</v>
      </c>
      <c r="B343" s="24" t="s">
        <v>0</v>
      </c>
      <c r="C343" s="24" t="s">
        <v>204</v>
      </c>
      <c r="D343" s="24" t="s">
        <v>216</v>
      </c>
      <c r="E343" s="24" t="s">
        <v>227</v>
      </c>
      <c r="F343" s="24" t="s">
        <v>228</v>
      </c>
      <c r="G343" s="24" t="s">
        <v>217</v>
      </c>
      <c r="H343" s="24" t="s">
        <v>218</v>
      </c>
    </row>
    <row r="344" spans="1:18" x14ac:dyDescent="0.35">
      <c r="A344" s="21"/>
      <c r="B344" s="23"/>
      <c r="C344" s="21" t="s">
        <v>219</v>
      </c>
      <c r="D344" s="55" t="e">
        <f>(E344-G344)/G344*100</f>
        <v>#VALUE!</v>
      </c>
      <c r="E344" s="56" t="e">
        <f>"$"&amp;(K355+C204+C205)</f>
        <v>#VALUE!</v>
      </c>
      <c r="F344" s="56" t="e">
        <f>"$"&amp;(M355+C206+C207)</f>
        <v>#VALUE!</v>
      </c>
      <c r="G344" s="56" t="str">
        <f>K356</f>
        <v>$648000</v>
      </c>
      <c r="H344" s="56" t="str">
        <f>M356</f>
        <v>$144010</v>
      </c>
    </row>
    <row r="345" spans="1:18" x14ac:dyDescent="0.35">
      <c r="A345" s="74"/>
      <c r="B345" s="75"/>
      <c r="C345" s="75"/>
      <c r="D345" s="75"/>
      <c r="E345" s="76"/>
      <c r="F345" s="75"/>
      <c r="G345" s="75"/>
      <c r="H345" s="75"/>
      <c r="I345" s="76"/>
      <c r="J345" s="76"/>
    </row>
    <row r="346" spans="1:18" x14ac:dyDescent="0.35">
      <c r="A346" s="57" t="s">
        <v>153</v>
      </c>
      <c r="B346" s="58"/>
      <c r="C346" s="58"/>
    </row>
    <row r="347" spans="1:18" x14ac:dyDescent="0.35">
      <c r="A347" s="24" t="s">
        <v>153</v>
      </c>
      <c r="B347" s="24" t="s">
        <v>162</v>
      </c>
      <c r="C347" s="24" t="s">
        <v>163</v>
      </c>
    </row>
    <row r="348" spans="1:18" ht="58" x14ac:dyDescent="0.35">
      <c r="A348" s="26" t="s">
        <v>657</v>
      </c>
      <c r="B348" s="61" t="s">
        <v>555</v>
      </c>
      <c r="C348" s="61" t="s">
        <v>659</v>
      </c>
      <c r="F348" s="178"/>
      <c r="G348" s="178"/>
    </row>
    <row r="349" spans="1:18" x14ac:dyDescent="0.35">
      <c r="A349" s="258" t="s">
        <v>570</v>
      </c>
      <c r="B349" s="258"/>
      <c r="C349" s="258"/>
      <c r="D349" s="258"/>
      <c r="E349" s="258"/>
      <c r="F349" s="258"/>
      <c r="G349" s="258"/>
      <c r="H349" s="258"/>
      <c r="I349" s="258"/>
      <c r="J349" s="258"/>
      <c r="K349" s="258"/>
      <c r="L349" s="258"/>
    </row>
    <row r="350" spans="1:18" x14ac:dyDescent="0.35">
      <c r="A350" s="77"/>
      <c r="B350" s="67"/>
      <c r="C350" s="77"/>
      <c r="D350" s="77"/>
      <c r="E350" s="77"/>
      <c r="F350" s="77"/>
      <c r="G350" s="77"/>
      <c r="H350" s="77"/>
      <c r="I350" s="77"/>
      <c r="J350" s="77"/>
      <c r="K350" s="77"/>
      <c r="L350" s="77"/>
    </row>
    <row r="351" spans="1:18" x14ac:dyDescent="0.35">
      <c r="A351" s="249" t="s">
        <v>565</v>
      </c>
      <c r="B351" s="250"/>
      <c r="C351" s="250"/>
      <c r="D351" s="250"/>
      <c r="E351" s="250"/>
      <c r="F351" s="168"/>
      <c r="G351" s="168"/>
      <c r="H351" s="168"/>
      <c r="I351" s="168"/>
      <c r="J351" s="168"/>
      <c r="K351" s="168"/>
      <c r="L351" s="168"/>
    </row>
    <row r="352" spans="1:18" x14ac:dyDescent="0.35">
      <c r="A352" s="21" t="s">
        <v>566</v>
      </c>
      <c r="B352" s="56" t="s">
        <v>567</v>
      </c>
      <c r="C352" s="56"/>
      <c r="D352" s="56"/>
      <c r="E352" s="55"/>
      <c r="F352" s="56"/>
      <c r="G352" s="55"/>
      <c r="H352" s="55"/>
      <c r="I352" s="56"/>
      <c r="J352" s="56"/>
      <c r="K352" s="56"/>
      <c r="L352" s="55"/>
      <c r="M352" s="55"/>
    </row>
    <row r="353" spans="1:21" x14ac:dyDescent="0.35">
      <c r="A353" s="249" t="s">
        <v>182</v>
      </c>
      <c r="B353" s="250"/>
      <c r="C353" s="250"/>
      <c r="D353" s="250"/>
      <c r="E353" s="250"/>
    </row>
    <row r="354" spans="1:21" x14ac:dyDescent="0.35">
      <c r="A354" s="78" t="s">
        <v>183</v>
      </c>
      <c r="B354" s="78" t="s">
        <v>44</v>
      </c>
      <c r="C354" s="78" t="s">
        <v>191</v>
      </c>
      <c r="D354" s="42" t="s">
        <v>199</v>
      </c>
      <c r="E354" s="42" t="s">
        <v>200</v>
      </c>
      <c r="F354" s="42" t="s">
        <v>57</v>
      </c>
      <c r="G354" s="78" t="s">
        <v>184</v>
      </c>
      <c r="H354" s="78" t="s">
        <v>185</v>
      </c>
      <c r="I354" s="42" t="s">
        <v>18</v>
      </c>
      <c r="J354" s="42" t="s">
        <v>186</v>
      </c>
      <c r="K354" s="42" t="s">
        <v>187</v>
      </c>
      <c r="L354" s="42" t="s">
        <v>188</v>
      </c>
      <c r="M354" s="42" t="s">
        <v>189</v>
      </c>
      <c r="N354" s="42" t="s">
        <v>206</v>
      </c>
      <c r="O354" s="42" t="s">
        <v>203</v>
      </c>
      <c r="P354" s="42" t="s">
        <v>204</v>
      </c>
      <c r="Q354" s="42" t="s">
        <v>205</v>
      </c>
      <c r="R354" s="42" t="s">
        <v>190</v>
      </c>
    </row>
    <row r="355" spans="1:21" x14ac:dyDescent="0.35">
      <c r="A355" s="49" t="s">
        <v>192</v>
      </c>
      <c r="B355" s="49"/>
      <c r="C355" s="49" t="s">
        <v>201</v>
      </c>
      <c r="D355" s="49"/>
      <c r="E355" s="49"/>
      <c r="F355" s="49"/>
      <c r="G355" s="49"/>
      <c r="H355" s="49"/>
      <c r="I355" s="49"/>
      <c r="J355" s="50" t="str">
        <f>S355</f>
        <v>$336013</v>
      </c>
      <c r="K355" s="51" t="str">
        <f>T355</f>
        <v>$6753622.57</v>
      </c>
      <c r="L355" s="49"/>
      <c r="M355" s="51" t="str">
        <f>U355</f>
        <v>$1008169</v>
      </c>
      <c r="N355" s="49"/>
      <c r="O355" s="49"/>
      <c r="P355" s="49"/>
      <c r="Q355" s="49"/>
      <c r="R355" s="49"/>
      <c r="S355" s="227" t="str">
        <f>"$"&amp;SUM(J357+J375+J389)</f>
        <v>$336013</v>
      </c>
      <c r="T355" t="str">
        <f>"$"&amp;SUMIFS(K357:K422,C357:C422,C355,A357:A422,"*"&amp;"DE_"&amp;"*")</f>
        <v>$6753622.57</v>
      </c>
      <c r="U355" t="str">
        <f>"$"&amp;SUMIFS(M357:M422,C357:C422,C355,A357:A422,"*"&amp;"DE_"&amp;"*")</f>
        <v>$1008169</v>
      </c>
    </row>
    <row r="356" spans="1:21" x14ac:dyDescent="0.35">
      <c r="A356" s="49" t="s">
        <v>192</v>
      </c>
      <c r="B356" s="49"/>
      <c r="C356" s="49" t="s">
        <v>196</v>
      </c>
      <c r="D356" s="49"/>
      <c r="E356" s="49"/>
      <c r="F356" s="49"/>
      <c r="G356" s="49"/>
      <c r="H356" s="49"/>
      <c r="I356" s="49"/>
      <c r="J356" s="50" t="str">
        <f>S356</f>
        <v>$336000</v>
      </c>
      <c r="K356" s="51" t="str">
        <f>T356</f>
        <v>$648000</v>
      </c>
      <c r="L356" s="49"/>
      <c r="M356" s="51" t="str">
        <f>U356</f>
        <v>$144010</v>
      </c>
      <c r="N356" s="49"/>
      <c r="O356" s="49"/>
      <c r="P356" s="49"/>
      <c r="Q356" s="49"/>
      <c r="R356" s="49"/>
      <c r="S356" s="228" t="str">
        <f>"$"&amp;SUM(J358+J376+J390)</f>
        <v>$336000</v>
      </c>
      <c r="T356" t="str">
        <f>"$"&amp;SUMIFS(K357:K422,C357:C422,C356,A357:A422,"*"&amp;"DE_"&amp;"*")</f>
        <v>$648000</v>
      </c>
      <c r="U356" t="str">
        <f>"$"&amp;SUMIFS(M357:M422,C357:C422,C356,A357:A422,"*"&amp;"DE_"&amp;"*")</f>
        <v>$144010</v>
      </c>
    </row>
    <row r="357" spans="1:21" x14ac:dyDescent="0.35">
      <c r="A357" s="52" t="s">
        <v>193</v>
      </c>
      <c r="B357" s="52"/>
      <c r="C357" s="52" t="s">
        <v>201</v>
      </c>
      <c r="D357" s="52"/>
      <c r="E357" s="52"/>
      <c r="F357" s="52"/>
      <c r="G357" s="52"/>
      <c r="H357" s="52"/>
      <c r="I357" s="52"/>
      <c r="J357" s="53">
        <f>SUMIFS(J359:J374,C359:C374,C357)</f>
        <v>48003</v>
      </c>
      <c r="K357" s="54">
        <f>SUMIFS(K359:K374,C359:C374,C357)</f>
        <v>657712.92000000004</v>
      </c>
      <c r="L357" s="52"/>
      <c r="M357" s="54">
        <f>SUMIFS(M359:M374,C359:C374,C357)</f>
        <v>144029</v>
      </c>
      <c r="N357" s="52"/>
      <c r="O357" s="52"/>
      <c r="P357" s="52"/>
      <c r="Q357" s="52"/>
      <c r="R357" s="52"/>
    </row>
    <row r="358" spans="1:21" x14ac:dyDescent="0.35">
      <c r="A358" s="52" t="s">
        <v>193</v>
      </c>
      <c r="B358" s="52"/>
      <c r="C358" s="52" t="s">
        <v>196</v>
      </c>
      <c r="D358" s="52"/>
      <c r="E358" s="52"/>
      <c r="F358" s="52"/>
      <c r="G358" s="52"/>
      <c r="H358" s="52"/>
      <c r="I358" s="52"/>
      <c r="J358" s="53">
        <f>SUMIFS(J359:J374,C359:C374,C358)</f>
        <v>48000</v>
      </c>
      <c r="K358" s="54">
        <f>SUMIFS(K359:K374,C359:C374,C358)</f>
        <v>648000</v>
      </c>
      <c r="L358" s="52"/>
      <c r="M358" s="54">
        <f>SUMIFS(M359:M374,C359:C374,C358)</f>
        <v>144010</v>
      </c>
      <c r="N358" s="52"/>
      <c r="O358" s="52"/>
      <c r="P358" s="52"/>
      <c r="Q358" s="52"/>
      <c r="R358" s="52"/>
    </row>
    <row r="359" spans="1:21" hidden="1" x14ac:dyDescent="0.35">
      <c r="A359" s="59" t="s">
        <v>100</v>
      </c>
      <c r="B359" s="8"/>
      <c r="C359" s="30" t="s">
        <v>201</v>
      </c>
      <c r="D359" s="71">
        <v>44197</v>
      </c>
      <c r="E359" s="72"/>
      <c r="F359" s="30">
        <v>13.5</v>
      </c>
      <c r="G359" s="30" t="str">
        <f t="shared" ref="G359:G367" si="0">CONCATENATE("USD,FLAT ",TEXT(F359,"0.00"))</f>
        <v>USD,FLAT 13.50</v>
      </c>
      <c r="H359" s="36">
        <f>K359/J359</f>
        <v>13.5</v>
      </c>
      <c r="I359" s="30" t="s">
        <v>22</v>
      </c>
      <c r="J359" s="32">
        <v>48000</v>
      </c>
      <c r="K359" s="36">
        <f t="shared" ref="K359:K365" si="1">J359*F359</f>
        <v>648000</v>
      </c>
      <c r="L359" s="30" t="str">
        <f>TEXT(IFERROR(((K359-K360)/K360*100),"0.00"),"0.00")</f>
        <v>0.00</v>
      </c>
      <c r="M359" s="36">
        <f>(10+J359*3)</f>
        <v>144010</v>
      </c>
      <c r="N359" s="30"/>
      <c r="O359" s="30" t="s">
        <v>171</v>
      </c>
      <c r="P359" s="30"/>
      <c r="Q359" s="30"/>
      <c r="R359" s="30"/>
    </row>
    <row r="360" spans="1:21" hidden="1" x14ac:dyDescent="0.35">
      <c r="A360" s="59"/>
      <c r="B360" s="8"/>
      <c r="C360" s="33" t="s">
        <v>196</v>
      </c>
      <c r="D360" s="70"/>
      <c r="E360" s="70"/>
      <c r="F360" s="33">
        <v>13.5</v>
      </c>
      <c r="G360" s="33" t="str">
        <f t="shared" si="0"/>
        <v>USD,FLAT 13.50</v>
      </c>
      <c r="H360" s="38">
        <f>IFERROR(K360/J360,"0")</f>
        <v>13.5</v>
      </c>
      <c r="I360" s="33" t="s">
        <v>22</v>
      </c>
      <c r="J360" s="34">
        <v>48000</v>
      </c>
      <c r="K360" s="38">
        <f t="shared" si="1"/>
        <v>648000</v>
      </c>
      <c r="L360" s="33"/>
      <c r="M360" s="38">
        <f>(10+J360*3)</f>
        <v>144010</v>
      </c>
      <c r="N360" s="33"/>
      <c r="O360" s="33"/>
      <c r="P360" s="33"/>
      <c r="Q360" s="33"/>
      <c r="R360" s="33"/>
    </row>
    <row r="361" spans="1:21" hidden="1" x14ac:dyDescent="0.35">
      <c r="A361" s="59"/>
      <c r="B361" s="8"/>
      <c r="C361" s="63" t="s">
        <v>197</v>
      </c>
      <c r="D361" s="68">
        <f>B350</f>
        <v>0</v>
      </c>
      <c r="E361" s="63"/>
      <c r="F361" s="63">
        <v>12.99</v>
      </c>
      <c r="G361" s="63" t="str">
        <f t="shared" si="0"/>
        <v>USD,FLAT 12.99</v>
      </c>
      <c r="H361" s="69">
        <f>K361/J361</f>
        <v>12.99</v>
      </c>
      <c r="I361" s="63" t="s">
        <v>22</v>
      </c>
      <c r="J361" s="64">
        <v>48000</v>
      </c>
      <c r="K361" s="69">
        <f t="shared" si="1"/>
        <v>623520</v>
      </c>
      <c r="L361" s="73" t="str">
        <f>TEXT(IFERROR(((K361-K360)/K360*100),"0.00"),"0.00")</f>
        <v>-3.78</v>
      </c>
      <c r="M361" s="69">
        <f>(10+J361*3)</f>
        <v>144010</v>
      </c>
      <c r="N361" s="63"/>
      <c r="O361" s="63"/>
      <c r="P361" s="63"/>
      <c r="Q361" s="63"/>
      <c r="R361" s="63"/>
    </row>
    <row r="362" spans="1:21" hidden="1" x14ac:dyDescent="0.35">
      <c r="A362" s="59"/>
      <c r="B362" s="8"/>
      <c r="C362" s="44" t="s">
        <v>198</v>
      </c>
      <c r="D362" s="44"/>
      <c r="E362" s="44"/>
      <c r="F362" s="107"/>
      <c r="G362" s="107"/>
      <c r="H362" s="108"/>
      <c r="I362" s="107"/>
      <c r="J362" s="109"/>
      <c r="K362" s="108"/>
      <c r="L362" s="114"/>
      <c r="M362" s="108"/>
      <c r="N362" s="44"/>
      <c r="O362" s="44"/>
      <c r="P362" s="44"/>
      <c r="Q362" s="44"/>
      <c r="R362" s="44"/>
    </row>
    <row r="363" spans="1:21" hidden="1" x14ac:dyDescent="0.35">
      <c r="A363" s="59" t="s">
        <v>101</v>
      </c>
      <c r="B363" s="8"/>
      <c r="C363" s="30" t="s">
        <v>201</v>
      </c>
      <c r="D363" s="71">
        <v>44197</v>
      </c>
      <c r="E363" s="72"/>
      <c r="F363" s="63">
        <v>9.89</v>
      </c>
      <c r="G363" s="30" t="str">
        <f t="shared" si="0"/>
        <v>USD,FLAT 9.89</v>
      </c>
      <c r="H363" s="36">
        <f>K363/J363</f>
        <v>9.89</v>
      </c>
      <c r="I363" s="30" t="s">
        <v>22</v>
      </c>
      <c r="J363" s="64">
        <v>3</v>
      </c>
      <c r="K363" s="36">
        <f t="shared" si="1"/>
        <v>29.67</v>
      </c>
      <c r="L363" s="30" t="str">
        <f>TEXT(IFERROR(((K363-K364)/K364*100),"0.00"),"0.00")</f>
        <v>0.00</v>
      </c>
      <c r="M363" s="36">
        <f>(10+J363*3)</f>
        <v>19</v>
      </c>
      <c r="N363" s="30"/>
      <c r="O363" s="30"/>
      <c r="P363" s="30"/>
      <c r="Q363" s="30"/>
      <c r="R363" s="30"/>
    </row>
    <row r="364" spans="1:21" hidden="1" x14ac:dyDescent="0.35">
      <c r="A364" s="59"/>
      <c r="B364" s="8"/>
      <c r="C364" s="33" t="s">
        <v>196</v>
      </c>
      <c r="D364" s="33"/>
      <c r="E364" s="33"/>
      <c r="F364" s="33">
        <v>9.9499999999999993</v>
      </c>
      <c r="G364" s="33" t="str">
        <f t="shared" si="0"/>
        <v>USD,FLAT 9.95</v>
      </c>
      <c r="H364" s="38" t="str">
        <f>IFERROR(K364/J364,"0")</f>
        <v>0</v>
      </c>
      <c r="I364" s="33"/>
      <c r="J364" s="34"/>
      <c r="K364" s="38">
        <f t="shared" si="1"/>
        <v>0</v>
      </c>
      <c r="L364" s="33"/>
      <c r="M364" s="38"/>
      <c r="N364" s="33"/>
      <c r="O364" s="33"/>
      <c r="P364" s="33"/>
      <c r="Q364" s="33"/>
      <c r="R364" s="33"/>
    </row>
    <row r="365" spans="1:21" hidden="1" x14ac:dyDescent="0.35">
      <c r="A365" s="59"/>
      <c r="B365" s="8"/>
      <c r="C365" s="63" t="s">
        <v>197</v>
      </c>
      <c r="D365" s="68">
        <f>B350</f>
        <v>0</v>
      </c>
      <c r="E365" s="63"/>
      <c r="F365" s="63">
        <v>8.99</v>
      </c>
      <c r="G365" s="63" t="str">
        <f t="shared" si="0"/>
        <v>USD,FLAT 8.99</v>
      </c>
      <c r="H365" s="69">
        <f>K365/J365</f>
        <v>8.99</v>
      </c>
      <c r="I365" s="63" t="s">
        <v>22</v>
      </c>
      <c r="J365" s="64">
        <v>3</v>
      </c>
      <c r="K365" s="69">
        <f t="shared" si="1"/>
        <v>26.97</v>
      </c>
      <c r="L365" s="63" t="str">
        <f>TEXT(IFERROR(((K365-K366)/K366*100),"0.00"),"0.00")</f>
        <v>0.00</v>
      </c>
      <c r="M365" s="69">
        <f>(10+J365*3)</f>
        <v>19</v>
      </c>
      <c r="N365" s="63"/>
      <c r="O365" s="63"/>
      <c r="P365" s="63"/>
      <c r="Q365" s="63"/>
      <c r="R365" s="63"/>
    </row>
    <row r="366" spans="1:21" hidden="1" x14ac:dyDescent="0.35">
      <c r="A366" s="59"/>
      <c r="B366" s="8"/>
      <c r="C366" s="44" t="s">
        <v>198</v>
      </c>
      <c r="D366" s="44"/>
      <c r="E366" s="44"/>
      <c r="F366" s="107"/>
      <c r="G366" s="107"/>
      <c r="H366" s="108"/>
      <c r="I366" s="107"/>
      <c r="J366" s="109"/>
      <c r="K366" s="108"/>
      <c r="L366" s="107"/>
      <c r="M366" s="108"/>
      <c r="N366" s="44"/>
      <c r="O366" s="44"/>
      <c r="P366" s="44"/>
      <c r="Q366" s="44"/>
      <c r="R366" s="44"/>
    </row>
    <row r="367" spans="1:21" hidden="1" x14ac:dyDescent="0.35">
      <c r="A367" s="59" t="s">
        <v>207</v>
      </c>
      <c r="B367" s="8"/>
      <c r="C367" s="30" t="s">
        <v>201</v>
      </c>
      <c r="D367" s="71">
        <v>44197</v>
      </c>
      <c r="E367" s="72"/>
      <c r="F367" s="63">
        <v>111.08</v>
      </c>
      <c r="G367" s="30" t="str">
        <f t="shared" si="0"/>
        <v>USD,FLAT 111.08</v>
      </c>
      <c r="H367" s="36">
        <f>F367</f>
        <v>111.08</v>
      </c>
      <c r="I367" s="30"/>
      <c r="J367" s="32"/>
      <c r="K367" s="36">
        <f>(F367*5*5)</f>
        <v>2777</v>
      </c>
      <c r="L367" s="30" t="str">
        <f>TEXT(IFERROR(((K367-K368)/K368*100),"0.00"),"0.00")</f>
        <v>0.00</v>
      </c>
      <c r="M367" s="36">
        <v>0</v>
      </c>
      <c r="N367" s="30"/>
      <c r="O367" s="30"/>
      <c r="P367" s="30"/>
      <c r="Q367" s="30"/>
      <c r="R367" s="30"/>
    </row>
    <row r="368" spans="1:21" hidden="1" x14ac:dyDescent="0.35">
      <c r="A368" s="59"/>
      <c r="B368" s="8"/>
      <c r="C368" s="33" t="s">
        <v>196</v>
      </c>
      <c r="D368" s="33"/>
      <c r="E368" s="33"/>
      <c r="F368" s="33"/>
      <c r="G368" s="33"/>
      <c r="H368" s="38"/>
      <c r="I368" s="33"/>
      <c r="J368" s="34"/>
      <c r="K368" s="38"/>
      <c r="L368" s="33"/>
      <c r="M368" s="38"/>
      <c r="N368" s="33"/>
      <c r="O368" s="33"/>
      <c r="P368" s="33"/>
      <c r="Q368" s="33"/>
      <c r="R368" s="33"/>
    </row>
    <row r="369" spans="1:18" hidden="1" x14ac:dyDescent="0.35">
      <c r="A369" s="59"/>
      <c r="B369" s="8"/>
      <c r="C369" s="63" t="s">
        <v>197</v>
      </c>
      <c r="D369" s="68">
        <f>B350</f>
        <v>0</v>
      </c>
      <c r="E369" s="63"/>
      <c r="F369" s="63">
        <v>109.9</v>
      </c>
      <c r="G369" s="63" t="str">
        <f>CONCATENATE("USD,FLAT ",TEXT(F369,"0.00"))</f>
        <v>USD,FLAT 109.90</v>
      </c>
      <c r="H369" s="69">
        <f>F369</f>
        <v>109.9</v>
      </c>
      <c r="I369" s="63" t="s">
        <v>22</v>
      </c>
      <c r="J369" s="64"/>
      <c r="K369" s="69">
        <f>(F369*5*5)</f>
        <v>2747.5</v>
      </c>
      <c r="L369" s="63" t="str">
        <f>TEXT(IFERROR(((K369-K370)/K370*100),"0.00"),"0.00")</f>
        <v>0.00</v>
      </c>
      <c r="M369" s="69">
        <v>0</v>
      </c>
      <c r="N369" s="63"/>
      <c r="O369" s="63"/>
      <c r="P369" s="63"/>
      <c r="Q369" s="63"/>
      <c r="R369" s="63"/>
    </row>
    <row r="370" spans="1:18" hidden="1" x14ac:dyDescent="0.35">
      <c r="A370" s="59"/>
      <c r="B370" s="8"/>
      <c r="C370" s="44" t="s">
        <v>198</v>
      </c>
      <c r="D370" s="44"/>
      <c r="E370" s="44"/>
      <c r="F370" s="107"/>
      <c r="G370" s="107"/>
      <c r="H370" s="108"/>
      <c r="I370" s="107"/>
      <c r="J370" s="109"/>
      <c r="K370" s="108"/>
      <c r="L370" s="107"/>
      <c r="M370" s="108"/>
      <c r="N370" s="44"/>
      <c r="O370" s="44"/>
      <c r="P370" s="44"/>
      <c r="Q370" s="44"/>
      <c r="R370" s="44"/>
    </row>
    <row r="371" spans="1:18" hidden="1" x14ac:dyDescent="0.35">
      <c r="A371" s="59" t="s">
        <v>102</v>
      </c>
      <c r="B371" s="8"/>
      <c r="C371" s="30" t="s">
        <v>201</v>
      </c>
      <c r="D371" s="30"/>
      <c r="E371" s="30"/>
      <c r="F371" s="30">
        <v>276.25</v>
      </c>
      <c r="G371" s="30" t="str">
        <f>CONCATENATE("USD,FLAT ",TEXT(F371,"0.00"))</f>
        <v>USD,FLAT 276.25</v>
      </c>
      <c r="H371" s="36">
        <f>F371</f>
        <v>276.25</v>
      </c>
      <c r="I371" s="30"/>
      <c r="J371" s="32"/>
      <c r="K371" s="36">
        <f>(F371*5*5)</f>
        <v>6906.25</v>
      </c>
      <c r="L371" s="30" t="str">
        <f>TEXT(IFERROR(((K371-K372)/K372*100),"0.00"),"0.00")</f>
        <v>0.00</v>
      </c>
      <c r="M371" s="36">
        <v>0</v>
      </c>
      <c r="N371" s="30"/>
      <c r="O371" s="30"/>
      <c r="P371" s="30"/>
      <c r="Q371" s="30"/>
      <c r="R371" s="30"/>
    </row>
    <row r="372" spans="1:18" hidden="1" x14ac:dyDescent="0.35">
      <c r="A372" s="59"/>
      <c r="B372" s="8"/>
      <c r="C372" s="33" t="s">
        <v>196</v>
      </c>
      <c r="D372" s="33"/>
      <c r="E372" s="33"/>
      <c r="F372" s="33"/>
      <c r="G372" s="33"/>
      <c r="H372" s="38"/>
      <c r="I372" s="33"/>
      <c r="J372" s="34"/>
      <c r="K372" s="38"/>
      <c r="L372" s="33"/>
      <c r="M372" s="38"/>
      <c r="N372" s="33"/>
      <c r="O372" s="33"/>
      <c r="P372" s="33"/>
      <c r="Q372" s="33"/>
      <c r="R372" s="33"/>
    </row>
    <row r="373" spans="1:18" hidden="1" x14ac:dyDescent="0.35">
      <c r="A373" s="59"/>
      <c r="B373" s="8"/>
      <c r="C373" s="43" t="s">
        <v>197</v>
      </c>
      <c r="D373" s="43"/>
      <c r="E373" s="43"/>
      <c r="F373" s="43"/>
      <c r="G373" s="43"/>
      <c r="H373" s="43"/>
      <c r="I373" s="43"/>
      <c r="J373" s="43"/>
      <c r="K373" s="43"/>
      <c r="L373" s="43"/>
      <c r="M373" s="43"/>
      <c r="N373" s="43"/>
      <c r="O373" s="43"/>
      <c r="P373" s="43"/>
      <c r="Q373" s="43"/>
      <c r="R373" s="43"/>
    </row>
    <row r="374" spans="1:18" hidden="1" x14ac:dyDescent="0.35">
      <c r="A374" s="59"/>
      <c r="B374" s="8"/>
      <c r="C374" s="44" t="s">
        <v>198</v>
      </c>
      <c r="D374" s="44"/>
      <c r="E374" s="44"/>
      <c r="F374" s="44"/>
      <c r="G374" s="44"/>
      <c r="H374" s="44"/>
      <c r="I374" s="44"/>
      <c r="J374" s="44"/>
      <c r="K374" s="44"/>
      <c r="L374" s="44"/>
      <c r="M374" s="44"/>
      <c r="N374" s="44"/>
      <c r="O374" s="44"/>
      <c r="P374" s="44"/>
      <c r="Q374" s="44"/>
      <c r="R374" s="44"/>
    </row>
    <row r="375" spans="1:18" hidden="1" x14ac:dyDescent="0.35">
      <c r="A375" s="59" t="s">
        <v>194</v>
      </c>
      <c r="B375" s="52"/>
      <c r="C375" s="52" t="s">
        <v>201</v>
      </c>
      <c r="D375" s="52"/>
      <c r="E375" s="52"/>
      <c r="F375" s="52"/>
      <c r="G375" s="52"/>
      <c r="H375" s="52"/>
      <c r="I375" s="52"/>
      <c r="J375" s="53">
        <f>SUMIFS(J377:J388,C377:C388,C375)</f>
        <v>288000</v>
      </c>
      <c r="K375" s="54">
        <f>SUMIFS(K377:K388,C377:C388,C375)</f>
        <v>6092880</v>
      </c>
      <c r="L375" s="52"/>
      <c r="M375" s="54">
        <f>SUMIFS(M377:M388,C377:C388,C375)</f>
        <v>864030</v>
      </c>
      <c r="N375" s="52"/>
      <c r="O375" s="52"/>
      <c r="P375" s="52"/>
      <c r="Q375" s="52"/>
      <c r="R375" s="52"/>
    </row>
    <row r="376" spans="1:18" hidden="1" x14ac:dyDescent="0.35">
      <c r="A376" s="59" t="s">
        <v>194</v>
      </c>
      <c r="B376" s="52"/>
      <c r="C376" s="52" t="s">
        <v>196</v>
      </c>
      <c r="D376" s="52"/>
      <c r="E376" s="52"/>
      <c r="F376" s="52"/>
      <c r="G376" s="52"/>
      <c r="H376" s="52"/>
      <c r="I376" s="52"/>
      <c r="J376" s="53">
        <f>SUMIFS(J377:J388,C377:C388,C376)</f>
        <v>288000</v>
      </c>
      <c r="K376" s="54">
        <f>SUMIFS(K377:K386,C377:C386,C376)</f>
        <v>0</v>
      </c>
      <c r="L376" s="52"/>
      <c r="M376" s="54">
        <f>SUMIFS(M377:M386,C377:C386,C376)</f>
        <v>0</v>
      </c>
      <c r="N376" s="52"/>
      <c r="O376" s="52"/>
      <c r="P376" s="52"/>
      <c r="Q376" s="52"/>
      <c r="R376" s="52"/>
    </row>
    <row r="377" spans="1:18" hidden="1" x14ac:dyDescent="0.35">
      <c r="A377" s="59" t="s">
        <v>103</v>
      </c>
      <c r="B377" s="8"/>
      <c r="C377" s="30" t="s">
        <v>201</v>
      </c>
      <c r="D377" s="71">
        <v>44197</v>
      </c>
      <c r="E377" s="71"/>
      <c r="F377" s="31" t="s">
        <v>211</v>
      </c>
      <c r="G377" s="30" t="s">
        <v>208</v>
      </c>
      <c r="H377" s="36">
        <f>K377/J377</f>
        <v>12.25</v>
      </c>
      <c r="I377" s="30" t="s">
        <v>22</v>
      </c>
      <c r="J377" s="32">
        <v>72000</v>
      </c>
      <c r="K377" s="36">
        <f>(1000*12.95+4000*12.15+1000*11.95)*12</f>
        <v>882000</v>
      </c>
      <c r="L377" s="30" t="str">
        <f>TEXT(IFERROR(((K377-K378)/K378*100),"0.00"),"0.00")</f>
        <v>0.00</v>
      </c>
      <c r="M377" s="36">
        <f>(10+J377*3)</f>
        <v>216010</v>
      </c>
      <c r="N377" s="35" t="s">
        <v>54</v>
      </c>
      <c r="O377" s="30" t="s">
        <v>213</v>
      </c>
      <c r="P377" s="30"/>
      <c r="Q377" s="30"/>
      <c r="R377" s="30"/>
    </row>
    <row r="378" spans="1:18" hidden="1" x14ac:dyDescent="0.35">
      <c r="A378" s="59"/>
      <c r="B378" s="8"/>
      <c r="C378" s="33" t="s">
        <v>196</v>
      </c>
      <c r="D378" s="33"/>
      <c r="E378" s="33"/>
      <c r="F378" s="33"/>
      <c r="G378" s="33"/>
      <c r="H378" s="38">
        <f>IFERROR(K378/J378,"0")</f>
        <v>0</v>
      </c>
      <c r="I378" s="33" t="s">
        <v>22</v>
      </c>
      <c r="J378" s="34">
        <v>72000</v>
      </c>
      <c r="K378" s="40">
        <v>0</v>
      </c>
      <c r="L378" s="33"/>
      <c r="M378" s="38"/>
      <c r="N378" s="33"/>
      <c r="O378" s="33"/>
      <c r="P378" s="33"/>
      <c r="Q378" s="33"/>
      <c r="R378" s="33"/>
    </row>
    <row r="379" spans="1:18" hidden="1" x14ac:dyDescent="0.35">
      <c r="A379" s="59"/>
      <c r="B379" s="8"/>
      <c r="C379" s="63" t="s">
        <v>197</v>
      </c>
      <c r="D379" s="68">
        <f>B350</f>
        <v>0</v>
      </c>
      <c r="E379" s="63"/>
      <c r="F379" s="63" t="s">
        <v>244</v>
      </c>
      <c r="G379" s="63" t="str">
        <f>CONCATENATE("USD,FLAT ",TEXT(F379,"0.00"))</f>
        <v>USD,FLAT 13.05,11.15,11.95</v>
      </c>
      <c r="H379" s="69">
        <f>K379/J379</f>
        <v>11.6</v>
      </c>
      <c r="I379" s="63" t="s">
        <v>22</v>
      </c>
      <c r="J379" s="64">
        <v>72000</v>
      </c>
      <c r="K379" s="69">
        <f>(1000*13.05+4000*11.15+1000*11.95)*12</f>
        <v>835200</v>
      </c>
      <c r="L379" s="63" t="str">
        <f>TEXT(IFERROR(((K379-K380)/K380*100),"0.00"),"0.00")</f>
        <v>0.00</v>
      </c>
      <c r="M379" s="69">
        <f>(10+J379*3)</f>
        <v>216010</v>
      </c>
      <c r="N379" s="63"/>
      <c r="O379" s="63"/>
      <c r="P379" s="63"/>
      <c r="Q379" s="63"/>
      <c r="R379" s="63"/>
    </row>
    <row r="380" spans="1:18" hidden="1" x14ac:dyDescent="0.35">
      <c r="A380" s="59"/>
      <c r="B380" s="8"/>
      <c r="C380" s="44" t="s">
        <v>198</v>
      </c>
      <c r="D380" s="44"/>
      <c r="E380" s="44"/>
      <c r="F380" s="44"/>
      <c r="G380" s="44"/>
      <c r="H380" s="44"/>
      <c r="I380" s="44"/>
      <c r="J380" s="44"/>
      <c r="K380" s="46"/>
      <c r="L380" s="44"/>
      <c r="M380" s="44"/>
      <c r="N380" s="44"/>
      <c r="O380" s="44"/>
      <c r="P380" s="44"/>
      <c r="Q380" s="44"/>
      <c r="R380" s="44"/>
    </row>
    <row r="381" spans="1:18" hidden="1" x14ac:dyDescent="0.35">
      <c r="A381" s="59" t="s">
        <v>104</v>
      </c>
      <c r="B381" s="8"/>
      <c r="C381" s="30" t="s">
        <v>201</v>
      </c>
      <c r="D381" s="30"/>
      <c r="E381" s="30"/>
      <c r="F381" s="31" t="s">
        <v>211</v>
      </c>
      <c r="G381" s="30" t="s">
        <v>209</v>
      </c>
      <c r="H381" s="36">
        <f>K381/J381</f>
        <v>11.95</v>
      </c>
      <c r="I381" s="30" t="s">
        <v>22</v>
      </c>
      <c r="J381" s="32">
        <v>96000</v>
      </c>
      <c r="K381" s="36">
        <f>J381*11.95</f>
        <v>1147200</v>
      </c>
      <c r="L381" s="30" t="str">
        <f>TEXT(IFERROR(((K381-K382)/K382*100),"0.00"),"0.00")</f>
        <v>0.00</v>
      </c>
      <c r="M381" s="36">
        <f>(10+J381*3)</f>
        <v>288010</v>
      </c>
      <c r="N381" s="35" t="s">
        <v>54</v>
      </c>
      <c r="O381" s="30" t="s">
        <v>213</v>
      </c>
      <c r="P381" s="30"/>
      <c r="Q381" s="30"/>
      <c r="R381" s="30"/>
    </row>
    <row r="382" spans="1:18" hidden="1" x14ac:dyDescent="0.35">
      <c r="A382" s="59"/>
      <c r="B382" s="8"/>
      <c r="C382" s="33" t="s">
        <v>196</v>
      </c>
      <c r="D382" s="33"/>
      <c r="E382" s="33"/>
      <c r="F382" s="33"/>
      <c r="G382" s="33"/>
      <c r="H382" s="38">
        <f>IFERROR(K382/J382,"0")</f>
        <v>0</v>
      </c>
      <c r="I382" s="33" t="s">
        <v>22</v>
      </c>
      <c r="J382" s="34">
        <v>96000</v>
      </c>
      <c r="K382" s="40">
        <v>0</v>
      </c>
      <c r="L382" s="33"/>
      <c r="M382" s="33"/>
      <c r="N382" s="33"/>
      <c r="O382" s="33"/>
      <c r="P382" s="33"/>
      <c r="Q382" s="33"/>
      <c r="R382" s="33"/>
    </row>
    <row r="383" spans="1:18" hidden="1" x14ac:dyDescent="0.35">
      <c r="A383" s="59"/>
      <c r="B383" s="8"/>
      <c r="C383" s="43" t="s">
        <v>197</v>
      </c>
      <c r="D383" s="43"/>
      <c r="E383" s="43"/>
      <c r="F383" s="43"/>
      <c r="G383" s="43"/>
      <c r="H383" s="43"/>
      <c r="I383" s="43"/>
      <c r="J383" s="43"/>
      <c r="K383" s="45"/>
      <c r="L383" s="43"/>
      <c r="M383" s="43"/>
      <c r="N383" s="43"/>
      <c r="O383" s="43"/>
      <c r="P383" s="43"/>
      <c r="Q383" s="43"/>
      <c r="R383" s="43"/>
    </row>
    <row r="384" spans="1:18" hidden="1" x14ac:dyDescent="0.35">
      <c r="A384" s="59"/>
      <c r="B384" s="8"/>
      <c r="C384" s="44" t="s">
        <v>198</v>
      </c>
      <c r="D384" s="44"/>
      <c r="E384" s="44"/>
      <c r="F384" s="44"/>
      <c r="G384" s="44"/>
      <c r="H384" s="44"/>
      <c r="I384" s="44"/>
      <c r="J384" s="44"/>
      <c r="K384" s="46"/>
      <c r="L384" s="44"/>
      <c r="M384" s="44"/>
      <c r="N384" s="44"/>
      <c r="O384" s="44"/>
      <c r="P384" s="44"/>
      <c r="Q384" s="44"/>
      <c r="R384" s="44"/>
    </row>
    <row r="385" spans="1:18" ht="29" hidden="1" x14ac:dyDescent="0.35">
      <c r="A385" s="59" t="s">
        <v>105</v>
      </c>
      <c r="B385" s="8"/>
      <c r="C385" s="30" t="s">
        <v>201</v>
      </c>
      <c r="D385" s="30"/>
      <c r="E385" s="30"/>
      <c r="F385" s="31" t="s">
        <v>212</v>
      </c>
      <c r="G385" s="30" t="s">
        <v>210</v>
      </c>
      <c r="H385" s="36">
        <f>K385/J385</f>
        <v>33.863999999999997</v>
      </c>
      <c r="I385" s="30" t="s">
        <v>22</v>
      </c>
      <c r="J385" s="32">
        <v>120000</v>
      </c>
      <c r="K385" s="36">
        <f>'UC01 - CALCULATOIN'!C13</f>
        <v>4063680</v>
      </c>
      <c r="L385" s="30" t="str">
        <f>TEXT(IFERROR(((K385-K386)/K386*100),"0.00"),"0.00")</f>
        <v>0.00</v>
      </c>
      <c r="M385" s="36">
        <f>(10+J385*3)</f>
        <v>360010</v>
      </c>
      <c r="N385" s="35" t="s">
        <v>54</v>
      </c>
      <c r="O385" s="30" t="s">
        <v>213</v>
      </c>
      <c r="P385" s="30"/>
      <c r="Q385" s="30"/>
      <c r="R385" s="30"/>
    </row>
    <row r="386" spans="1:18" hidden="1" x14ac:dyDescent="0.35">
      <c r="A386" s="59"/>
      <c r="B386" s="8"/>
      <c r="C386" s="33" t="s">
        <v>196</v>
      </c>
      <c r="D386" s="33"/>
      <c r="E386" s="33"/>
      <c r="F386" s="33"/>
      <c r="G386" s="33"/>
      <c r="H386" s="38">
        <f>IFERROR(K386/J386,"0")</f>
        <v>0</v>
      </c>
      <c r="I386" s="33" t="s">
        <v>22</v>
      </c>
      <c r="J386" s="34">
        <v>120000</v>
      </c>
      <c r="K386" s="40">
        <v>0</v>
      </c>
      <c r="L386" s="33"/>
      <c r="M386" s="33"/>
      <c r="N386" s="33"/>
      <c r="O386" s="33"/>
      <c r="P386" s="33"/>
      <c r="Q386" s="33"/>
      <c r="R386" s="33"/>
    </row>
    <row r="387" spans="1:18" hidden="1" x14ac:dyDescent="0.35">
      <c r="A387" s="59"/>
      <c r="B387" s="8"/>
      <c r="C387" s="43" t="s">
        <v>197</v>
      </c>
      <c r="D387" s="43"/>
      <c r="E387" s="43"/>
      <c r="F387" s="43"/>
      <c r="G387" s="43"/>
      <c r="H387" s="43"/>
      <c r="I387" s="43"/>
      <c r="J387" s="43"/>
      <c r="K387" s="45"/>
      <c r="L387" s="43"/>
      <c r="M387" s="43"/>
      <c r="N387" s="43"/>
      <c r="O387" s="43"/>
      <c r="P387" s="43"/>
      <c r="Q387" s="43"/>
      <c r="R387" s="43"/>
    </row>
    <row r="388" spans="1:18" hidden="1" x14ac:dyDescent="0.35">
      <c r="A388" s="59"/>
      <c r="B388" s="8"/>
      <c r="C388" s="44" t="s">
        <v>198</v>
      </c>
      <c r="D388" s="44"/>
      <c r="E388" s="44"/>
      <c r="F388" s="44"/>
      <c r="G388" s="44"/>
      <c r="H388" s="44"/>
      <c r="I388" s="44"/>
      <c r="J388" s="44"/>
      <c r="K388" s="46"/>
      <c r="L388" s="44"/>
      <c r="M388" s="44"/>
      <c r="N388" s="44"/>
      <c r="O388" s="44"/>
      <c r="P388" s="44"/>
      <c r="Q388" s="44"/>
      <c r="R388" s="44"/>
    </row>
    <row r="389" spans="1:18" hidden="1" x14ac:dyDescent="0.35">
      <c r="A389" s="59" t="s">
        <v>195</v>
      </c>
      <c r="B389" s="52"/>
      <c r="C389" s="52" t="s">
        <v>201</v>
      </c>
      <c r="D389" s="52"/>
      <c r="E389" s="52"/>
      <c r="F389" s="52"/>
      <c r="G389" s="52"/>
      <c r="H389" s="52"/>
      <c r="I389" s="52"/>
      <c r="J389" s="53">
        <f>SUMIFS(J391:J422,C391:C422,C389)</f>
        <v>10</v>
      </c>
      <c r="K389" s="54">
        <f>SUMIFS(K391:K422,C391:C422,C389)</f>
        <v>3029.6500000000005</v>
      </c>
      <c r="L389" s="52"/>
      <c r="M389" s="54">
        <f>SUMIFS(M391:M422,C391:C422,C389)</f>
        <v>110</v>
      </c>
      <c r="N389" s="52"/>
      <c r="O389" s="52"/>
      <c r="P389" s="52"/>
      <c r="Q389" s="52"/>
      <c r="R389" s="52"/>
    </row>
    <row r="390" spans="1:18" hidden="1" x14ac:dyDescent="0.35">
      <c r="A390" s="59" t="s">
        <v>195</v>
      </c>
      <c r="B390" s="52"/>
      <c r="C390" s="52" t="s">
        <v>196</v>
      </c>
      <c r="D390" s="52"/>
      <c r="E390" s="52"/>
      <c r="F390" s="52"/>
      <c r="G390" s="52"/>
      <c r="H390" s="52"/>
      <c r="I390" s="52"/>
      <c r="J390" s="53">
        <f>SUMIFS(J391:J422,C391:C422,C390)</f>
        <v>0</v>
      </c>
      <c r="K390" s="54">
        <f>SUMIFS(K391:K422,C391:C422,C390)</f>
        <v>0</v>
      </c>
      <c r="L390" s="52"/>
      <c r="M390" s="54">
        <f>SUMIFS(M391:M422,C391:C422,C390)</f>
        <v>0</v>
      </c>
      <c r="N390" s="52"/>
      <c r="O390" s="52"/>
      <c r="P390" s="52"/>
      <c r="Q390" s="52"/>
      <c r="R390" s="52"/>
    </row>
    <row r="391" spans="1:18" ht="13.75" customHeight="1" x14ac:dyDescent="0.35">
      <c r="A391" s="59" t="s">
        <v>106</v>
      </c>
      <c r="B391" s="8"/>
      <c r="C391" s="30" t="s">
        <v>201</v>
      </c>
      <c r="D391" s="30"/>
      <c r="E391" s="30"/>
      <c r="F391" s="65">
        <v>0.14000000000000001</v>
      </c>
      <c r="G391" s="30" t="str">
        <f>CONCATENATE("USD,FLAT ",TEXT(F391,"0.00"))</f>
        <v>USD,FLAT 0.14</v>
      </c>
      <c r="H391" s="36">
        <f>(K391/J391)</f>
        <v>1500.14</v>
      </c>
      <c r="I391" s="30" t="s">
        <v>22</v>
      </c>
      <c r="J391" s="64">
        <v>2</v>
      </c>
      <c r="K391" s="39">
        <f>J391*F391+3000</f>
        <v>3000.28</v>
      </c>
      <c r="L391" s="30" t="str">
        <f>TEXT(IFERROR(((K391-K392)/K392*100),"0.00"),"0.00")</f>
        <v>0.00</v>
      </c>
      <c r="M391" s="36">
        <f>(10+J391*3)</f>
        <v>16</v>
      </c>
      <c r="N391" s="30"/>
      <c r="O391" s="30"/>
      <c r="P391" s="30"/>
      <c r="Q391" s="30"/>
      <c r="R391" s="30"/>
    </row>
    <row r="392" spans="1:18" x14ac:dyDescent="0.35">
      <c r="A392" s="59"/>
      <c r="B392" s="8"/>
      <c r="C392" s="33" t="s">
        <v>196</v>
      </c>
      <c r="D392" s="33"/>
      <c r="E392" s="33"/>
      <c r="F392" s="33"/>
      <c r="G392" s="33"/>
      <c r="H392" s="38" t="str">
        <f>IFERROR(K392/J392,"0")</f>
        <v>0</v>
      </c>
      <c r="I392" s="33"/>
      <c r="J392" s="34"/>
      <c r="K392" s="40"/>
      <c r="L392" s="33"/>
      <c r="M392" s="33"/>
      <c r="N392" s="33"/>
      <c r="O392" s="33"/>
      <c r="P392" s="33"/>
      <c r="Q392" s="33"/>
      <c r="R392" s="33"/>
    </row>
    <row r="393" spans="1:18" x14ac:dyDescent="0.35">
      <c r="A393" s="59"/>
      <c r="B393" s="8"/>
      <c r="C393" s="43" t="s">
        <v>197</v>
      </c>
      <c r="D393" s="43"/>
      <c r="E393" s="43"/>
      <c r="F393" s="43"/>
      <c r="G393" s="43"/>
      <c r="H393" s="43"/>
      <c r="I393" s="43"/>
      <c r="J393" s="43"/>
      <c r="K393" s="45"/>
      <c r="L393" s="43"/>
      <c r="M393" s="43"/>
      <c r="N393" s="43"/>
      <c r="O393" s="43"/>
      <c r="P393" s="43"/>
      <c r="Q393" s="43"/>
      <c r="R393" s="43"/>
    </row>
    <row r="394" spans="1:18" x14ac:dyDescent="0.35">
      <c r="A394" s="59"/>
      <c r="B394" s="8"/>
      <c r="C394" s="44" t="s">
        <v>198</v>
      </c>
      <c r="D394" s="44"/>
      <c r="E394" s="44"/>
      <c r="F394" s="107">
        <v>0.11</v>
      </c>
      <c r="G394" s="107" t="str">
        <f>CONCATENATE("USD,FLAT ",TEXT(F394,"0.00"))</f>
        <v>USD,FLAT 0.11</v>
      </c>
      <c r="H394" s="108">
        <f>K394/J394</f>
        <v>1500.11</v>
      </c>
      <c r="I394" s="107"/>
      <c r="J394" s="109">
        <v>2</v>
      </c>
      <c r="K394" s="110">
        <f>J394*F394+3000</f>
        <v>3000.22</v>
      </c>
      <c r="L394" s="107" t="str">
        <f>TEXT(IFERROR(((K394-K392)/K392*100),"0.00"),"0.00")</f>
        <v>0.00</v>
      </c>
      <c r="M394" s="108"/>
      <c r="N394" s="44"/>
      <c r="O394" s="44"/>
      <c r="P394" s="44"/>
      <c r="Q394" s="44"/>
      <c r="R394" s="44"/>
    </row>
    <row r="395" spans="1:18" hidden="1" x14ac:dyDescent="0.35">
      <c r="A395" s="59" t="s">
        <v>107</v>
      </c>
      <c r="B395" s="8"/>
      <c r="C395" s="30" t="s">
        <v>201</v>
      </c>
      <c r="D395" s="30"/>
      <c r="E395" s="30"/>
      <c r="F395" s="65">
        <v>1.99</v>
      </c>
      <c r="G395" s="30" t="str">
        <f>CONCATENATE("USD,FLAT ",TEXT(F395,"0.00"))</f>
        <v>USD,FLAT 1.99</v>
      </c>
      <c r="H395" s="36">
        <f>K395/J395</f>
        <v>1.99</v>
      </c>
      <c r="I395" s="30" t="s">
        <v>22</v>
      </c>
      <c r="J395" s="64">
        <v>2</v>
      </c>
      <c r="K395" s="39">
        <f>J395*F395</f>
        <v>3.98</v>
      </c>
      <c r="L395" s="30" t="str">
        <f>TEXT(IFERROR(((K395-K396)/K396*100),"0.00"),"0.00")</f>
        <v>0.00</v>
      </c>
      <c r="M395" s="36">
        <f>(10+J395*3)</f>
        <v>16</v>
      </c>
      <c r="N395" s="30"/>
      <c r="O395" s="30"/>
      <c r="P395" s="30"/>
      <c r="Q395" s="30"/>
      <c r="R395" s="30"/>
    </row>
    <row r="396" spans="1:18" hidden="1" x14ac:dyDescent="0.35">
      <c r="A396" s="59"/>
      <c r="B396" s="8"/>
      <c r="C396" s="33" t="s">
        <v>196</v>
      </c>
      <c r="D396" s="33"/>
      <c r="E396" s="33"/>
      <c r="F396" s="33"/>
      <c r="G396" s="33"/>
      <c r="H396" s="38" t="str">
        <f>IFERROR(K396/J396,"0")</f>
        <v>0</v>
      </c>
      <c r="I396" s="33"/>
      <c r="J396" s="34"/>
      <c r="K396" s="40"/>
      <c r="L396" s="33"/>
      <c r="M396" s="33"/>
      <c r="N396" s="33"/>
      <c r="O396" s="33"/>
      <c r="P396" s="33"/>
      <c r="Q396" s="33"/>
      <c r="R396" s="33"/>
    </row>
    <row r="397" spans="1:18" hidden="1" x14ac:dyDescent="0.35">
      <c r="A397" s="59"/>
      <c r="B397" s="8"/>
      <c r="C397" s="43" t="s">
        <v>197</v>
      </c>
      <c r="D397" s="43"/>
      <c r="E397" s="43"/>
      <c r="F397" s="43"/>
      <c r="G397" s="43"/>
      <c r="H397" s="43"/>
      <c r="I397" s="43"/>
      <c r="J397" s="43"/>
      <c r="K397" s="45"/>
      <c r="L397" s="43"/>
      <c r="M397" s="43"/>
      <c r="N397" s="43"/>
      <c r="O397" s="43"/>
      <c r="P397" s="43"/>
      <c r="Q397" s="43"/>
      <c r="R397" s="43"/>
    </row>
    <row r="398" spans="1:18" hidden="1" x14ac:dyDescent="0.35">
      <c r="A398" s="59"/>
      <c r="B398" s="8"/>
      <c r="C398" s="44" t="s">
        <v>198</v>
      </c>
      <c r="D398" s="44"/>
      <c r="E398" s="44"/>
      <c r="F398" s="107"/>
      <c r="G398" s="107"/>
      <c r="H398" s="108"/>
      <c r="I398" s="107"/>
      <c r="J398" s="109"/>
      <c r="K398" s="110"/>
      <c r="L398" s="107"/>
      <c r="M398" s="108"/>
      <c r="N398" s="44"/>
      <c r="O398" s="44"/>
      <c r="P398" s="44"/>
      <c r="Q398" s="44"/>
      <c r="R398" s="44"/>
    </row>
    <row r="399" spans="1:18" hidden="1" x14ac:dyDescent="0.35">
      <c r="A399" s="59" t="s">
        <v>107</v>
      </c>
      <c r="B399" s="8" t="s">
        <v>51</v>
      </c>
      <c r="C399" s="30" t="s">
        <v>201</v>
      </c>
      <c r="D399" s="30"/>
      <c r="E399" s="30"/>
      <c r="F399" s="39">
        <v>0.75</v>
      </c>
      <c r="G399" s="30" t="str">
        <f>CONCATENATE("USD,FLAT ",TEXT(F399,"0.00"))</f>
        <v>USD,FLAT 0.75</v>
      </c>
      <c r="H399" s="36">
        <f>K399/J399</f>
        <v>0.75</v>
      </c>
      <c r="I399" s="30" t="s">
        <v>22</v>
      </c>
      <c r="J399" s="32">
        <v>1</v>
      </c>
      <c r="K399" s="39">
        <f>J399*F399</f>
        <v>0.75</v>
      </c>
      <c r="L399" s="30" t="str">
        <f>TEXT(IFERROR(((K399-K400)/K400*100),"0.00"),"0.00")</f>
        <v>0.00</v>
      </c>
      <c r="M399" s="36">
        <f>(10+J399*3)</f>
        <v>13</v>
      </c>
      <c r="N399" s="30"/>
      <c r="O399" s="30"/>
      <c r="P399" s="30"/>
      <c r="Q399" s="30"/>
      <c r="R399" s="30"/>
    </row>
    <row r="400" spans="1:18" hidden="1" x14ac:dyDescent="0.35">
      <c r="A400" s="59"/>
      <c r="B400" s="8"/>
      <c r="C400" s="33" t="s">
        <v>196</v>
      </c>
      <c r="D400" s="33"/>
      <c r="E400" s="33"/>
      <c r="F400" s="33"/>
      <c r="G400" s="33"/>
      <c r="H400" s="38" t="str">
        <f>IFERROR(K400/J400,"0")</f>
        <v>0</v>
      </c>
      <c r="I400" s="33"/>
      <c r="J400" s="34"/>
      <c r="K400" s="40"/>
      <c r="L400" s="33"/>
      <c r="M400" s="33"/>
      <c r="N400" s="33"/>
      <c r="O400" s="33"/>
      <c r="P400" s="33"/>
      <c r="Q400" s="33"/>
      <c r="R400" s="33"/>
    </row>
    <row r="401" spans="1:18" hidden="1" x14ac:dyDescent="0.35">
      <c r="A401" s="59"/>
      <c r="B401" s="8"/>
      <c r="C401" s="43" t="s">
        <v>197</v>
      </c>
      <c r="D401" s="43"/>
      <c r="E401" s="43"/>
      <c r="F401" s="43"/>
      <c r="G401" s="43"/>
      <c r="H401" s="43"/>
      <c r="I401" s="43"/>
      <c r="J401" s="43"/>
      <c r="K401" s="45"/>
      <c r="L401" s="43"/>
      <c r="M401" s="43"/>
      <c r="N401" s="43"/>
      <c r="O401" s="43"/>
      <c r="P401" s="43"/>
      <c r="Q401" s="43"/>
      <c r="R401" s="43"/>
    </row>
    <row r="402" spans="1:18" hidden="1" x14ac:dyDescent="0.35">
      <c r="A402" s="59"/>
      <c r="B402" s="8"/>
      <c r="C402" s="44" t="s">
        <v>198</v>
      </c>
      <c r="D402" s="44"/>
      <c r="E402" s="44"/>
      <c r="F402" s="44"/>
      <c r="G402" s="44"/>
      <c r="H402" s="44"/>
      <c r="I402" s="44"/>
      <c r="J402" s="44"/>
      <c r="K402" s="46"/>
      <c r="L402" s="44"/>
      <c r="M402" s="44"/>
      <c r="N402" s="44"/>
      <c r="O402" s="44"/>
      <c r="P402" s="44"/>
      <c r="Q402" s="44"/>
      <c r="R402" s="44"/>
    </row>
    <row r="403" spans="1:18" hidden="1" x14ac:dyDescent="0.35">
      <c r="A403" s="59" t="s">
        <v>107</v>
      </c>
      <c r="B403" s="8" t="s">
        <v>202</v>
      </c>
      <c r="C403" s="30" t="s">
        <v>201</v>
      </c>
      <c r="D403" s="30"/>
      <c r="E403" s="30"/>
      <c r="F403" s="39">
        <v>0.3</v>
      </c>
      <c r="G403" s="30" t="str">
        <f>CONCATENATE("USD,FLAT ",TEXT(F403,"0.00"))</f>
        <v>USD,FLAT 0.30</v>
      </c>
      <c r="H403" s="36">
        <f>K403/J403</f>
        <v>0.3</v>
      </c>
      <c r="I403" s="30" t="s">
        <v>22</v>
      </c>
      <c r="J403" s="32">
        <v>1</v>
      </c>
      <c r="K403" s="39">
        <f>J403*F403</f>
        <v>0.3</v>
      </c>
      <c r="L403" s="30" t="str">
        <f>TEXT(IFERROR(((K403-K404)/K404*100),"0.00"),"0.00")</f>
        <v>0.00</v>
      </c>
      <c r="M403" s="36">
        <f>(10+J403*3)</f>
        <v>13</v>
      </c>
      <c r="N403" s="30"/>
      <c r="O403" s="30"/>
      <c r="P403" s="30"/>
      <c r="Q403" s="30"/>
      <c r="R403" s="30"/>
    </row>
    <row r="404" spans="1:18" hidden="1" x14ac:dyDescent="0.35">
      <c r="A404" s="59"/>
      <c r="B404" s="8"/>
      <c r="C404" s="33" t="s">
        <v>196</v>
      </c>
      <c r="D404" s="33"/>
      <c r="E404" s="33"/>
      <c r="F404" s="33"/>
      <c r="G404" s="33"/>
      <c r="H404" s="38" t="str">
        <f>IFERROR(K404/J404,"0")</f>
        <v>0</v>
      </c>
      <c r="I404" s="33"/>
      <c r="J404" s="34"/>
      <c r="K404" s="40"/>
      <c r="L404" s="33"/>
      <c r="M404" s="33"/>
      <c r="N404" s="33"/>
      <c r="O404" s="33"/>
      <c r="P404" s="33"/>
      <c r="Q404" s="33"/>
      <c r="R404" s="33"/>
    </row>
    <row r="405" spans="1:18" hidden="1" x14ac:dyDescent="0.35">
      <c r="A405" s="59"/>
      <c r="B405" s="8"/>
      <c r="C405" s="43" t="s">
        <v>197</v>
      </c>
      <c r="D405" s="43"/>
      <c r="E405" s="43"/>
      <c r="F405" s="43"/>
      <c r="G405" s="43"/>
      <c r="H405" s="43"/>
      <c r="I405" s="43"/>
      <c r="J405" s="43"/>
      <c r="K405" s="45"/>
      <c r="L405" s="43"/>
      <c r="M405" s="43"/>
      <c r="N405" s="43"/>
      <c r="O405" s="43"/>
      <c r="P405" s="43"/>
      <c r="Q405" s="43"/>
      <c r="R405" s="43"/>
    </row>
    <row r="406" spans="1:18" hidden="1" x14ac:dyDescent="0.35">
      <c r="A406" s="59"/>
      <c r="B406" s="8"/>
      <c r="C406" s="44" t="s">
        <v>198</v>
      </c>
      <c r="D406" s="44"/>
      <c r="E406" s="44"/>
      <c r="F406" s="44"/>
      <c r="G406" s="44"/>
      <c r="H406" s="44"/>
      <c r="I406" s="44"/>
      <c r="J406" s="44"/>
      <c r="K406" s="46"/>
      <c r="L406" s="44"/>
      <c r="M406" s="44"/>
      <c r="N406" s="44"/>
      <c r="O406" s="44"/>
      <c r="P406" s="44"/>
      <c r="Q406" s="44"/>
      <c r="R406" s="44"/>
    </row>
    <row r="407" spans="1:18" hidden="1" x14ac:dyDescent="0.35">
      <c r="A407" s="59" t="s">
        <v>107</v>
      </c>
      <c r="B407" s="8" t="s">
        <v>4</v>
      </c>
      <c r="C407" s="30" t="s">
        <v>201</v>
      </c>
      <c r="D407" s="30"/>
      <c r="E407" s="30"/>
      <c r="F407" s="39">
        <v>6.67</v>
      </c>
      <c r="G407" s="30" t="str">
        <f>CONCATENATE("USD,FLAT ",TEXT(F407,"0.00"))</f>
        <v>USD,FLAT 6.67</v>
      </c>
      <c r="H407" s="36">
        <f>K407/J407</f>
        <v>6.67</v>
      </c>
      <c r="I407" s="30" t="s">
        <v>22</v>
      </c>
      <c r="J407" s="32">
        <v>1</v>
      </c>
      <c r="K407" s="39">
        <f>J407*F407</f>
        <v>6.67</v>
      </c>
      <c r="L407" s="39" t="str">
        <f>IFERROR(((K407-K408)/K408*100),"0.00")</f>
        <v>0.00</v>
      </c>
      <c r="M407" s="36">
        <f>(10+J407*3)</f>
        <v>13</v>
      </c>
      <c r="N407" s="30"/>
      <c r="O407" s="30"/>
      <c r="P407" s="30"/>
      <c r="Q407" s="30"/>
      <c r="R407" s="30"/>
    </row>
    <row r="408" spans="1:18" hidden="1" x14ac:dyDescent="0.35">
      <c r="A408" s="59"/>
      <c r="B408" s="8"/>
      <c r="C408" s="33" t="s">
        <v>196</v>
      </c>
      <c r="D408" s="33"/>
      <c r="E408" s="33"/>
      <c r="F408" s="33"/>
      <c r="G408" s="33"/>
      <c r="H408" s="38" t="str">
        <f>IFERROR(K408/J408,"0")</f>
        <v>0</v>
      </c>
      <c r="I408" s="33"/>
      <c r="J408" s="34"/>
      <c r="K408" s="40"/>
      <c r="L408" s="33"/>
      <c r="M408" s="33"/>
      <c r="N408" s="33"/>
      <c r="O408" s="33"/>
      <c r="P408" s="33"/>
      <c r="Q408" s="33"/>
      <c r="R408" s="33"/>
    </row>
    <row r="409" spans="1:18" hidden="1" x14ac:dyDescent="0.35">
      <c r="A409" s="59"/>
      <c r="B409" s="8"/>
      <c r="C409" s="43" t="s">
        <v>197</v>
      </c>
      <c r="D409" s="43"/>
      <c r="E409" s="43"/>
      <c r="F409" s="43"/>
      <c r="G409" s="43"/>
      <c r="H409" s="43"/>
      <c r="I409" s="43"/>
      <c r="J409" s="43"/>
      <c r="K409" s="45"/>
      <c r="L409" s="43"/>
      <c r="M409" s="43"/>
      <c r="N409" s="43"/>
      <c r="O409" s="43"/>
      <c r="P409" s="43"/>
      <c r="Q409" s="43"/>
      <c r="R409" s="43"/>
    </row>
    <row r="410" spans="1:18" hidden="1" x14ac:dyDescent="0.35">
      <c r="A410" s="59"/>
      <c r="B410" s="8"/>
      <c r="C410" s="44" t="s">
        <v>198</v>
      </c>
      <c r="D410" s="44"/>
      <c r="E410" s="44"/>
      <c r="F410" s="44"/>
      <c r="G410" s="44"/>
      <c r="H410" s="44"/>
      <c r="I410" s="44"/>
      <c r="J410" s="44"/>
      <c r="K410" s="46"/>
      <c r="L410" s="44"/>
      <c r="M410" s="44"/>
      <c r="N410" s="44"/>
      <c r="O410" s="44"/>
      <c r="P410" s="44"/>
      <c r="Q410" s="44"/>
      <c r="R410" s="44"/>
    </row>
    <row r="411" spans="1:18" x14ac:dyDescent="0.35">
      <c r="A411" s="179" t="s">
        <v>108</v>
      </c>
      <c r="B411" s="8"/>
      <c r="C411" s="30" t="s">
        <v>201</v>
      </c>
      <c r="D411" s="30"/>
      <c r="E411" s="30"/>
      <c r="F411" s="39">
        <v>0.4</v>
      </c>
      <c r="G411" s="30" t="str">
        <f>CONCATENATE("USD,FLAT ",TEXT(F411,"0.00"))</f>
        <v>USD,FLAT 0.40</v>
      </c>
      <c r="H411" s="36">
        <f>K411/J411</f>
        <v>0.4</v>
      </c>
      <c r="I411" s="30" t="s">
        <v>22</v>
      </c>
      <c r="J411" s="32">
        <v>1</v>
      </c>
      <c r="K411" s="39">
        <f>J411*F411</f>
        <v>0.4</v>
      </c>
      <c r="L411" s="30" t="str">
        <f>TEXT(IFERROR(((K411-K412)/K412*100),"0.00"),"0.00")</f>
        <v>0.00</v>
      </c>
      <c r="M411" s="36">
        <f>(10+J411*3)</f>
        <v>13</v>
      </c>
      <c r="N411" s="30"/>
      <c r="O411" s="30"/>
      <c r="P411" s="30"/>
      <c r="Q411" s="30"/>
      <c r="R411" s="30"/>
    </row>
    <row r="412" spans="1:18" x14ac:dyDescent="0.35">
      <c r="A412" s="59"/>
      <c r="B412" s="8"/>
      <c r="C412" s="33" t="s">
        <v>196</v>
      </c>
      <c r="D412" s="33"/>
      <c r="E412" s="33"/>
      <c r="F412" s="33"/>
      <c r="G412" s="33"/>
      <c r="H412" s="38" t="str">
        <f>IFERROR(K412/J412,"0")</f>
        <v>0</v>
      </c>
      <c r="I412" s="33"/>
      <c r="J412" s="34"/>
      <c r="K412" s="40"/>
      <c r="L412" s="33"/>
      <c r="M412" s="33"/>
      <c r="N412" s="33"/>
      <c r="O412" s="33"/>
      <c r="P412" s="33"/>
      <c r="Q412" s="33"/>
      <c r="R412" s="33"/>
    </row>
    <row r="413" spans="1:18" x14ac:dyDescent="0.35">
      <c r="A413" s="59"/>
      <c r="B413" s="8"/>
      <c r="C413" s="43" t="s">
        <v>197</v>
      </c>
      <c r="D413" s="43"/>
      <c r="E413" s="43"/>
      <c r="F413" s="43"/>
      <c r="G413" s="43"/>
      <c r="H413" s="43"/>
      <c r="I413" s="43"/>
      <c r="J413" s="43"/>
      <c r="K413" s="45"/>
      <c r="L413" s="43"/>
      <c r="M413" s="43"/>
      <c r="N413" s="43"/>
      <c r="O413" s="43"/>
      <c r="P413" s="43"/>
      <c r="Q413" s="43"/>
      <c r="R413" s="43"/>
    </row>
    <row r="414" spans="1:18" x14ac:dyDescent="0.35">
      <c r="A414" s="59"/>
      <c r="B414" s="8"/>
      <c r="C414" s="44" t="s">
        <v>198</v>
      </c>
      <c r="D414" s="44"/>
      <c r="E414" s="44"/>
      <c r="F414" s="44">
        <v>0.32</v>
      </c>
      <c r="G414" s="107" t="str">
        <f>CONCATENATE("USD,FLAT ",TEXT(F414,"0.00"))</f>
        <v>USD,FLAT 0.32</v>
      </c>
      <c r="H414" s="108">
        <f>K414/J414</f>
        <v>0.32</v>
      </c>
      <c r="I414" s="107"/>
      <c r="J414" s="109">
        <v>1</v>
      </c>
      <c r="K414" s="110">
        <f>J414*F414</f>
        <v>0.32</v>
      </c>
      <c r="L414" s="107" t="str">
        <f>TEXT(IFERROR(((K414-K412)/K412*100),"0.00"),"0.00")</f>
        <v>0.00</v>
      </c>
      <c r="M414" s="44"/>
      <c r="N414" s="44"/>
      <c r="O414" s="44"/>
      <c r="P414" s="44"/>
      <c r="Q414" s="44"/>
      <c r="R414" s="44"/>
    </row>
    <row r="415" spans="1:18" hidden="1" x14ac:dyDescent="0.35">
      <c r="A415" s="59" t="s">
        <v>109</v>
      </c>
      <c r="B415" s="8"/>
      <c r="C415" s="30" t="s">
        <v>201</v>
      </c>
      <c r="D415" s="30"/>
      <c r="E415" s="30"/>
      <c r="F415" s="39">
        <v>0.6</v>
      </c>
      <c r="G415" s="30" t="str">
        <f>CONCATENATE("USD,FLAT ",TEXT(F415,"0.00"))</f>
        <v>USD,FLAT 0.60</v>
      </c>
      <c r="H415" s="36">
        <f>K415/J415</f>
        <v>0.6</v>
      </c>
      <c r="I415" s="30" t="s">
        <v>22</v>
      </c>
      <c r="J415" s="32">
        <v>1</v>
      </c>
      <c r="K415" s="39">
        <f>J415*F415</f>
        <v>0.6</v>
      </c>
      <c r="L415" s="30" t="str">
        <f>TEXT(IFERROR(((K415-K416)/K416*100),"0.00"),"0.00")</f>
        <v>0.00</v>
      </c>
      <c r="M415" s="36">
        <f>(10+J415*3)</f>
        <v>13</v>
      </c>
      <c r="N415" s="30"/>
      <c r="O415" s="30"/>
      <c r="P415" s="30"/>
      <c r="Q415" s="30"/>
      <c r="R415" s="30"/>
    </row>
    <row r="416" spans="1:18" hidden="1" x14ac:dyDescent="0.35">
      <c r="A416" s="8"/>
      <c r="B416" s="8"/>
      <c r="C416" s="33" t="s">
        <v>196</v>
      </c>
      <c r="D416" s="33"/>
      <c r="E416" s="33"/>
      <c r="F416" s="33"/>
      <c r="G416" s="33"/>
      <c r="H416" s="38" t="str">
        <f>IFERROR(K416/J416,"0")</f>
        <v>0</v>
      </c>
      <c r="I416" s="33"/>
      <c r="J416" s="34"/>
      <c r="K416" s="40"/>
      <c r="L416" s="33"/>
      <c r="M416" s="33"/>
      <c r="N416" s="33"/>
      <c r="O416" s="33"/>
      <c r="P416" s="33"/>
      <c r="Q416" s="33"/>
      <c r="R416" s="33"/>
    </row>
    <row r="417" spans="1:18" hidden="1" x14ac:dyDescent="0.35">
      <c r="A417" s="8"/>
      <c r="B417" s="8"/>
      <c r="C417" s="43" t="s">
        <v>197</v>
      </c>
      <c r="D417" s="43"/>
      <c r="E417" s="43"/>
      <c r="F417" s="43"/>
      <c r="G417" s="43"/>
      <c r="H417" s="43"/>
      <c r="I417" s="43"/>
      <c r="J417" s="43"/>
      <c r="K417" s="45"/>
      <c r="L417" s="43"/>
      <c r="M417" s="43"/>
      <c r="N417" s="43"/>
      <c r="O417" s="43"/>
      <c r="P417" s="43"/>
      <c r="Q417" s="43"/>
      <c r="R417" s="43"/>
    </row>
    <row r="418" spans="1:18" hidden="1" x14ac:dyDescent="0.35">
      <c r="A418" s="8"/>
      <c r="B418" s="8"/>
      <c r="C418" s="44" t="s">
        <v>198</v>
      </c>
      <c r="D418" s="44"/>
      <c r="E418" s="44"/>
      <c r="F418" s="107"/>
      <c r="G418" s="107"/>
      <c r="H418" s="108"/>
      <c r="I418" s="107"/>
      <c r="J418" s="109"/>
      <c r="K418" s="108"/>
      <c r="L418" s="107"/>
      <c r="M418" s="108"/>
      <c r="N418" s="44"/>
      <c r="O418" s="44"/>
      <c r="P418" s="44"/>
      <c r="Q418" s="44"/>
      <c r="R418" s="44"/>
    </row>
    <row r="419" spans="1:18" hidden="1" x14ac:dyDescent="0.35">
      <c r="A419" s="62" t="s">
        <v>110</v>
      </c>
      <c r="B419" s="47"/>
      <c r="C419" s="30" t="s">
        <v>201</v>
      </c>
      <c r="D419" s="30"/>
      <c r="E419" s="30"/>
      <c r="F419" s="63">
        <v>16.670000000000002</v>
      </c>
      <c r="G419" s="30" t="str">
        <f>CONCATENATE("USD,FLAT ",TEXT(F419,"0.00"))</f>
        <v>USD,FLAT 16.67</v>
      </c>
      <c r="H419" s="36">
        <f>K419/J419</f>
        <v>16.670000000000002</v>
      </c>
      <c r="I419" s="30" t="s">
        <v>22</v>
      </c>
      <c r="J419" s="32">
        <v>1</v>
      </c>
      <c r="K419" s="39">
        <f>J419*F419</f>
        <v>16.670000000000002</v>
      </c>
      <c r="L419" s="30" t="str">
        <f>TEXT(IFERROR(((K419-K420)/K420*100),"0.00"),"0.00")</f>
        <v>0.00</v>
      </c>
      <c r="M419" s="36">
        <f>(10+J419*3)</f>
        <v>13</v>
      </c>
      <c r="N419" s="30"/>
      <c r="O419" s="30"/>
      <c r="P419" s="30"/>
      <c r="Q419" s="30"/>
      <c r="R419" s="30"/>
    </row>
    <row r="420" spans="1:18" hidden="1" x14ac:dyDescent="0.35">
      <c r="A420" s="8"/>
      <c r="B420" s="47"/>
      <c r="C420" s="33" t="s">
        <v>196</v>
      </c>
      <c r="D420" s="33"/>
      <c r="E420" s="33"/>
      <c r="F420" s="33"/>
      <c r="G420" s="33"/>
      <c r="H420" s="38" t="str">
        <f>IFERROR(K420/J420,"0")</f>
        <v>0</v>
      </c>
      <c r="I420" s="33"/>
      <c r="J420" s="34"/>
      <c r="K420" s="40"/>
      <c r="L420" s="33"/>
      <c r="M420" s="33"/>
      <c r="N420" s="33"/>
      <c r="O420" s="33"/>
      <c r="P420" s="33"/>
      <c r="Q420" s="33"/>
      <c r="R420" s="33"/>
    </row>
    <row r="421" spans="1:18" hidden="1" x14ac:dyDescent="0.35">
      <c r="A421" s="8"/>
      <c r="B421" s="47"/>
      <c r="C421" s="43" t="s">
        <v>197</v>
      </c>
      <c r="D421" s="43"/>
      <c r="E421" s="43"/>
      <c r="F421" s="43"/>
      <c r="G421" s="43"/>
      <c r="H421" s="43"/>
      <c r="I421" s="43"/>
      <c r="J421" s="43"/>
      <c r="K421" s="45"/>
      <c r="L421" s="43"/>
      <c r="M421" s="43"/>
      <c r="N421" s="43"/>
      <c r="O421" s="43"/>
      <c r="P421" s="43"/>
      <c r="Q421" s="43"/>
      <c r="R421" s="43"/>
    </row>
    <row r="422" spans="1:18" x14ac:dyDescent="0.35">
      <c r="A422" s="8"/>
      <c r="B422" s="47"/>
      <c r="C422" s="44" t="s">
        <v>198</v>
      </c>
      <c r="D422" s="44"/>
      <c r="E422" s="44"/>
      <c r="F422" s="44"/>
      <c r="G422" s="44"/>
      <c r="H422" s="44"/>
      <c r="I422" s="44"/>
      <c r="J422" s="44"/>
      <c r="K422" s="46"/>
      <c r="L422" s="44"/>
      <c r="M422" s="44"/>
      <c r="N422" s="44"/>
      <c r="O422" s="44"/>
      <c r="P422" s="44"/>
      <c r="Q422" s="44"/>
      <c r="R422" s="44"/>
    </row>
    <row r="423" spans="1:18" x14ac:dyDescent="0.35">
      <c r="J423" s="48"/>
    </row>
    <row r="424" spans="1:18" x14ac:dyDescent="0.35">
      <c r="A424" s="251" t="s">
        <v>220</v>
      </c>
      <c r="B424" s="252"/>
      <c r="C424" s="252"/>
      <c r="D424" s="252"/>
      <c r="E424" s="252"/>
      <c r="F424" s="252"/>
      <c r="G424" s="252"/>
      <c r="H424" s="252"/>
      <c r="I424" s="252"/>
      <c r="J424" s="252"/>
    </row>
    <row r="425" spans="1:18" x14ac:dyDescent="0.35">
      <c r="A425" s="253" t="s">
        <v>222</v>
      </c>
      <c r="B425" s="255" t="s">
        <v>225</v>
      </c>
      <c r="C425" s="256"/>
      <c r="D425" s="256"/>
      <c r="E425" s="257"/>
      <c r="F425" s="270" t="s">
        <v>358</v>
      </c>
      <c r="G425" s="271"/>
      <c r="H425" s="272"/>
      <c r="I425" s="267" t="s">
        <v>226</v>
      </c>
      <c r="J425" s="268"/>
      <c r="K425" s="268"/>
      <c r="L425" s="269"/>
      <c r="M425" s="79" t="s">
        <v>224</v>
      </c>
    </row>
    <row r="426" spans="1:18" x14ac:dyDescent="0.35">
      <c r="A426" s="254"/>
      <c r="B426" s="111" t="s">
        <v>187</v>
      </c>
      <c r="C426" s="111" t="s">
        <v>189</v>
      </c>
      <c r="D426" s="111" t="s">
        <v>223</v>
      </c>
      <c r="E426" s="111" t="s">
        <v>229</v>
      </c>
      <c r="F426" s="112" t="s">
        <v>187</v>
      </c>
      <c r="G426" s="112" t="s">
        <v>223</v>
      </c>
      <c r="H426" s="112" t="s">
        <v>229</v>
      </c>
      <c r="I426" s="113" t="s">
        <v>187</v>
      </c>
      <c r="J426" s="113" t="s">
        <v>189</v>
      </c>
      <c r="K426" s="113" t="s">
        <v>223</v>
      </c>
      <c r="L426" s="113" t="s">
        <v>229</v>
      </c>
      <c r="M426" s="80"/>
    </row>
    <row r="427" spans="1:18" x14ac:dyDescent="0.35">
      <c r="A427" s="21"/>
      <c r="B427" s="56" t="e">
        <f>"$"&amp;(K355+C204+C205)</f>
        <v>#VALUE!</v>
      </c>
      <c r="C427" s="56" t="e">
        <f>"$"&amp;(M355+C206+C207)</f>
        <v>#VALUE!</v>
      </c>
      <c r="D427" s="55" t="e">
        <f>"$"&amp;(B427-C427)</f>
        <v>#VALUE!</v>
      </c>
      <c r="E427" s="55" t="e">
        <f>((B427-C427)/B427*100)</f>
        <v>#VALUE!</v>
      </c>
      <c r="F427" s="56" t="str">
        <f>N427</f>
        <v>$6755622.43</v>
      </c>
      <c r="G427" s="55" t="e">
        <f>"$"&amp;(F427-C427)</f>
        <v>#VALUE!</v>
      </c>
      <c r="H427" s="55" t="e">
        <f>(F427-C427)/F427*100</f>
        <v>#VALUE!</v>
      </c>
      <c r="I427" s="56" t="str">
        <f>K356</f>
        <v>$648000</v>
      </c>
      <c r="J427" s="56" t="str">
        <f>M356</f>
        <v>$144010</v>
      </c>
      <c r="K427" s="56" t="e">
        <f>"$"&amp;(I427-J427)</f>
        <v>#VALUE!</v>
      </c>
      <c r="L427" s="55" t="e">
        <f>((I427-J427)/I427*100)</f>
        <v>#VALUE!</v>
      </c>
      <c r="M427" s="55" t="e">
        <f>((B427-I427)/I427*100)</f>
        <v>#VALUE!</v>
      </c>
      <c r="N427" s="227" t="str">
        <f>"$"&amp;((K359+K363+K367+K371+K377+K381+K385+K394+K395+K399+K403+K407+K414+K415+K419)+C204+C205)</f>
        <v>$6755622.43</v>
      </c>
    </row>
    <row r="428" spans="1:18" x14ac:dyDescent="0.35">
      <c r="A428" s="251" t="s">
        <v>221</v>
      </c>
      <c r="B428" s="252"/>
      <c r="C428" s="252"/>
      <c r="D428" s="252"/>
      <c r="E428" s="252"/>
      <c r="F428" s="252"/>
      <c r="G428" s="252"/>
      <c r="H428" s="252"/>
    </row>
    <row r="429" spans="1:18" x14ac:dyDescent="0.35">
      <c r="A429" s="24" t="s">
        <v>1</v>
      </c>
      <c r="B429" s="24" t="s">
        <v>0</v>
      </c>
      <c r="C429" s="24" t="s">
        <v>204</v>
      </c>
      <c r="D429" s="24" t="s">
        <v>216</v>
      </c>
      <c r="E429" s="24" t="s">
        <v>227</v>
      </c>
      <c r="F429" s="24" t="s">
        <v>228</v>
      </c>
      <c r="G429" s="24" t="s">
        <v>217</v>
      </c>
      <c r="H429" s="24" t="s">
        <v>218</v>
      </c>
    </row>
    <row r="430" spans="1:18" x14ac:dyDescent="0.35">
      <c r="A430" s="21"/>
      <c r="B430" s="23"/>
      <c r="C430" s="21" t="s">
        <v>219</v>
      </c>
      <c r="D430" s="55" t="e">
        <f>(E430-G430)/G430*100</f>
        <v>#VALUE!</v>
      </c>
      <c r="E430" s="56" t="e">
        <f>"$"&amp;(K355+C204+C205)</f>
        <v>#VALUE!</v>
      </c>
      <c r="F430" s="56" t="e">
        <f>"$"&amp;(M355+C206+C207)</f>
        <v>#VALUE!</v>
      </c>
      <c r="G430" s="56" t="str">
        <f>K356</f>
        <v>$648000</v>
      </c>
      <c r="H430" s="56" t="str">
        <f>M356</f>
        <v>$144010</v>
      </c>
    </row>
    <row r="431" spans="1:18" x14ac:dyDescent="0.35">
      <c r="A431" s="74"/>
      <c r="B431" s="75"/>
      <c r="C431" s="75"/>
      <c r="D431" s="75"/>
      <c r="E431" s="76"/>
      <c r="F431" s="75"/>
      <c r="G431" s="75"/>
      <c r="H431" s="75"/>
      <c r="I431" s="76"/>
      <c r="J431" s="76"/>
    </row>
    <row r="432" spans="1:18" x14ac:dyDescent="0.35">
      <c r="A432" s="57" t="s">
        <v>153</v>
      </c>
      <c r="B432" s="58"/>
      <c r="C432" s="58"/>
    </row>
    <row r="433" spans="1:20" x14ac:dyDescent="0.35">
      <c r="A433" s="24" t="s">
        <v>153</v>
      </c>
      <c r="B433" s="24" t="s">
        <v>162</v>
      </c>
      <c r="C433" s="24" t="s">
        <v>163</v>
      </c>
    </row>
    <row r="434" spans="1:20" ht="58" x14ac:dyDescent="0.35">
      <c r="A434" s="26" t="s">
        <v>657</v>
      </c>
      <c r="B434" s="61" t="s">
        <v>555</v>
      </c>
      <c r="C434" s="61" t="s">
        <v>659</v>
      </c>
      <c r="F434" s="178"/>
      <c r="G434" s="178"/>
    </row>
    <row r="435" spans="1:20" x14ac:dyDescent="0.35">
      <c r="A435" s="259" t="s">
        <v>646</v>
      </c>
      <c r="B435" s="260"/>
      <c r="C435" s="261"/>
      <c r="F435" s="178"/>
      <c r="G435" s="178"/>
    </row>
    <row r="436" spans="1:20" ht="43.5" x14ac:dyDescent="0.35">
      <c r="A436" s="60" t="s">
        <v>643</v>
      </c>
      <c r="B436" s="60" t="s">
        <v>644</v>
      </c>
      <c r="C436" s="60" t="s">
        <v>645</v>
      </c>
      <c r="F436" s="178"/>
      <c r="G436" s="178"/>
    </row>
    <row r="437" spans="1:20" x14ac:dyDescent="0.35">
      <c r="A437" s="259" t="s">
        <v>647</v>
      </c>
      <c r="B437" s="260"/>
      <c r="C437" s="261"/>
      <c r="F437" s="178"/>
      <c r="G437" s="178"/>
    </row>
    <row r="438" spans="1:20" ht="58" x14ac:dyDescent="0.35">
      <c r="A438" s="60" t="s">
        <v>648</v>
      </c>
      <c r="B438" s="60" t="s">
        <v>649</v>
      </c>
      <c r="C438" s="60"/>
      <c r="F438" s="178"/>
      <c r="G438" s="178"/>
    </row>
    <row r="439" spans="1:20" x14ac:dyDescent="0.35">
      <c r="G439" s="48"/>
    </row>
    <row r="440" spans="1:20" x14ac:dyDescent="0.35">
      <c r="A440" s="258" t="s">
        <v>571</v>
      </c>
      <c r="B440" s="258"/>
      <c r="C440" s="258"/>
      <c r="D440" s="258"/>
      <c r="E440" s="258"/>
    </row>
    <row r="441" spans="1:20" x14ac:dyDescent="0.35">
      <c r="A441" s="249" t="s">
        <v>182</v>
      </c>
      <c r="B441" s="250"/>
      <c r="C441" s="250"/>
      <c r="D441" s="250"/>
      <c r="E441" s="250"/>
    </row>
    <row r="442" spans="1:20" x14ac:dyDescent="0.35">
      <c r="A442" s="170" t="s">
        <v>183</v>
      </c>
      <c r="B442" s="170" t="s">
        <v>44</v>
      </c>
      <c r="C442" s="170" t="s">
        <v>191</v>
      </c>
      <c r="D442" s="42" t="s">
        <v>199</v>
      </c>
      <c r="E442" s="42" t="s">
        <v>200</v>
      </c>
      <c r="F442" s="42" t="s">
        <v>57</v>
      </c>
      <c r="G442" s="170" t="s">
        <v>184</v>
      </c>
      <c r="H442" s="170" t="s">
        <v>185</v>
      </c>
      <c r="I442" s="42" t="s">
        <v>18</v>
      </c>
      <c r="J442" s="42" t="s">
        <v>186</v>
      </c>
      <c r="K442" s="42" t="s">
        <v>187</v>
      </c>
      <c r="L442" s="42" t="s">
        <v>188</v>
      </c>
      <c r="M442" s="42" t="s">
        <v>189</v>
      </c>
      <c r="N442" s="42" t="s">
        <v>206</v>
      </c>
      <c r="O442" s="42" t="s">
        <v>203</v>
      </c>
      <c r="P442" s="42" t="s">
        <v>204</v>
      </c>
      <c r="Q442" s="42" t="s">
        <v>205</v>
      </c>
      <c r="R442" s="42" t="s">
        <v>190</v>
      </c>
    </row>
    <row r="443" spans="1:20" x14ac:dyDescent="0.35">
      <c r="A443" s="49" t="s">
        <v>192</v>
      </c>
      <c r="B443" s="49"/>
      <c r="C443" s="49" t="s">
        <v>201</v>
      </c>
      <c r="D443" s="49"/>
      <c r="E443" s="49"/>
      <c r="F443" s="49"/>
      <c r="G443" s="49"/>
      <c r="H443" s="49"/>
      <c r="I443" s="49"/>
      <c r="J443" s="221">
        <f>J445+J463+J477</f>
        <v>336013</v>
      </c>
      <c r="K443" s="51" t="str">
        <f>S443</f>
        <v>$6753622.43</v>
      </c>
      <c r="L443" s="49"/>
      <c r="M443" s="51" t="str">
        <f>T443</f>
        <v>$1008169</v>
      </c>
      <c r="N443" s="49"/>
      <c r="O443" s="49"/>
      <c r="P443" s="49"/>
      <c r="Q443" s="49"/>
      <c r="R443" s="49" t="s">
        <v>552</v>
      </c>
      <c r="S443" t="str">
        <f>"$"&amp;SUMIFS(K445:K510,C445:C510,C443,A445:A510,"*"&amp;"DE_"&amp;"*")</f>
        <v>$6753622.43</v>
      </c>
      <c r="T443" t="str">
        <f>"$"&amp;SUMIFS(M445:M510,C445:C510,C443,A445:A510,"*"&amp;"DE_"&amp;"*")</f>
        <v>$1008169</v>
      </c>
    </row>
    <row r="444" spans="1:20" x14ac:dyDescent="0.35">
      <c r="A444" s="49" t="s">
        <v>192</v>
      </c>
      <c r="B444" s="49"/>
      <c r="C444" s="49" t="s">
        <v>196</v>
      </c>
      <c r="D444" s="49"/>
      <c r="E444" s="49"/>
      <c r="F444" s="49"/>
      <c r="G444" s="49"/>
      <c r="H444" s="49"/>
      <c r="I444" s="49"/>
      <c r="J444" s="221">
        <f>(J446+J464+J478)</f>
        <v>336000</v>
      </c>
      <c r="K444" s="51" t="str">
        <f>S444</f>
        <v>$648000</v>
      </c>
      <c r="L444" s="49"/>
      <c r="M444" s="51" t="str">
        <f>T444</f>
        <v>$144010</v>
      </c>
      <c r="N444" s="49"/>
      <c r="O444" s="49"/>
      <c r="P444" s="49"/>
      <c r="Q444" s="49"/>
      <c r="R444" s="49"/>
      <c r="S444" t="str">
        <f>"$"&amp;SUMIFS(K445:K510,C445:C510,C444,A445:A510,"*"&amp;"DE_"&amp;"*")</f>
        <v>$648000</v>
      </c>
      <c r="T444" t="str">
        <f>"$"&amp;SUMIFS(M445:M510,C445:C510,C444,A445:A510,"*"&amp;"DE_"&amp;"*")</f>
        <v>$144010</v>
      </c>
    </row>
    <row r="445" spans="1:20" hidden="1" x14ac:dyDescent="0.35">
      <c r="A445" s="52" t="s">
        <v>193</v>
      </c>
      <c r="B445" s="52"/>
      <c r="C445" s="52" t="s">
        <v>201</v>
      </c>
      <c r="D445" s="52"/>
      <c r="E445" s="52"/>
      <c r="F445" s="52"/>
      <c r="G445" s="52"/>
      <c r="H445" s="52"/>
      <c r="I445" s="52"/>
      <c r="J445" s="53">
        <f>SUMIFS(J447:J460,C447:C460,C445)</f>
        <v>48003</v>
      </c>
      <c r="K445" s="54">
        <f>SUMIFS(K447:K462,C447:C462,C445)</f>
        <v>657712.92000000004</v>
      </c>
      <c r="L445" s="52"/>
      <c r="M445" s="54">
        <f>SUMIFS(M447:M462,C447:C462,C445)</f>
        <v>144029</v>
      </c>
      <c r="N445" s="52"/>
      <c r="O445" s="52"/>
      <c r="P445" s="52"/>
      <c r="Q445" s="52"/>
      <c r="R445" s="52" t="s">
        <v>551</v>
      </c>
    </row>
    <row r="446" spans="1:20" hidden="1" x14ac:dyDescent="0.35">
      <c r="A446" s="52" t="s">
        <v>193</v>
      </c>
      <c r="B446" s="52"/>
      <c r="C446" s="52" t="s">
        <v>196</v>
      </c>
      <c r="D446" s="52"/>
      <c r="E446" s="52"/>
      <c r="F446" s="52"/>
      <c r="G446" s="52"/>
      <c r="H446" s="52"/>
      <c r="I446" s="52"/>
      <c r="J446" s="53">
        <f>SUMIFS(J447:J460,C447:C460,C446)</f>
        <v>48000</v>
      </c>
      <c r="K446" s="54">
        <f>SUMIFS(K447:K462,C447:C462,C446)</f>
        <v>648000</v>
      </c>
      <c r="L446" s="52"/>
      <c r="M446" s="54">
        <f>SUMIFS(M447:M462,C447:C462,C446)</f>
        <v>144010</v>
      </c>
      <c r="N446" s="52"/>
      <c r="O446" s="52"/>
      <c r="P446" s="52"/>
      <c r="Q446" s="52"/>
      <c r="R446" s="52"/>
    </row>
    <row r="447" spans="1:20" hidden="1" x14ac:dyDescent="0.35">
      <c r="A447" s="59" t="s">
        <v>100</v>
      </c>
      <c r="B447" s="8"/>
      <c r="C447" s="30" t="s">
        <v>201</v>
      </c>
      <c r="D447" s="30"/>
      <c r="E447" s="30"/>
      <c r="F447" s="30">
        <v>13.5</v>
      </c>
      <c r="G447" s="30" t="str">
        <f>CONCATENATE("USD,FLAT ",TEXT(F447,"0.00"))</f>
        <v>USD,FLAT 13.50</v>
      </c>
      <c r="H447" s="36">
        <f>K447/J447</f>
        <v>13.5</v>
      </c>
      <c r="I447" s="30" t="s">
        <v>22</v>
      </c>
      <c r="J447" s="32">
        <v>48000</v>
      </c>
      <c r="K447" s="36">
        <f>J447*F447</f>
        <v>648000</v>
      </c>
      <c r="L447" s="30" t="str">
        <f>TEXT(IFERROR(((K447-K448)/K448*100),"0.00"),"0.00")</f>
        <v>0.00</v>
      </c>
      <c r="M447" s="36">
        <f>(10+J447*3)</f>
        <v>144010</v>
      </c>
      <c r="N447" s="30"/>
      <c r="O447" s="30" t="s">
        <v>171</v>
      </c>
      <c r="P447" s="30" t="s">
        <v>546</v>
      </c>
      <c r="Q447" s="30" t="s">
        <v>547</v>
      </c>
      <c r="R447" s="30" t="s">
        <v>550</v>
      </c>
    </row>
    <row r="448" spans="1:20" hidden="1" x14ac:dyDescent="0.35">
      <c r="A448" s="8"/>
      <c r="B448" s="8"/>
      <c r="C448" s="33" t="s">
        <v>196</v>
      </c>
      <c r="D448" s="33"/>
      <c r="E448" s="33"/>
      <c r="F448" s="33">
        <v>13.5</v>
      </c>
      <c r="G448" s="33" t="str">
        <f>CONCATENATE("USD,FLAT ",TEXT(F448,"0.00"))</f>
        <v>USD,FLAT 13.50</v>
      </c>
      <c r="H448" s="38">
        <f>IFERROR(K448/J448,"0")</f>
        <v>13.5</v>
      </c>
      <c r="I448" s="33" t="s">
        <v>22</v>
      </c>
      <c r="J448" s="34">
        <v>48000</v>
      </c>
      <c r="K448" s="38">
        <f>J448*F448</f>
        <v>648000</v>
      </c>
      <c r="L448" s="33"/>
      <c r="M448" s="38">
        <f>(10+J448*3)</f>
        <v>144010</v>
      </c>
      <c r="N448" s="33"/>
      <c r="O448" s="33"/>
      <c r="P448" s="33"/>
      <c r="Q448" s="33"/>
      <c r="R448" s="33"/>
    </row>
    <row r="449" spans="1:18" hidden="1" x14ac:dyDescent="0.35">
      <c r="A449" s="8"/>
      <c r="B449" s="8"/>
      <c r="C449" s="43" t="s">
        <v>197</v>
      </c>
      <c r="D449" s="43"/>
      <c r="E449" s="43"/>
      <c r="F449" s="43"/>
      <c r="G449" s="43"/>
      <c r="H449" s="43"/>
      <c r="I449" s="43"/>
      <c r="J449" s="43"/>
      <c r="K449" s="43"/>
      <c r="L449" s="43"/>
      <c r="M449" s="43"/>
      <c r="N449" s="43"/>
      <c r="O449" s="43"/>
      <c r="P449" s="43"/>
      <c r="Q449" s="43"/>
      <c r="R449" s="43"/>
    </row>
    <row r="450" spans="1:18" hidden="1" x14ac:dyDescent="0.35">
      <c r="A450" s="8"/>
      <c r="B450" s="8"/>
      <c r="C450" s="44" t="s">
        <v>198</v>
      </c>
      <c r="D450" s="44"/>
      <c r="E450" s="44"/>
      <c r="F450" s="44"/>
      <c r="G450" s="44"/>
      <c r="H450" s="44"/>
      <c r="I450" s="44"/>
      <c r="J450" s="44"/>
      <c r="K450" s="44"/>
      <c r="L450" s="44"/>
      <c r="M450" s="44"/>
      <c r="N450" s="44"/>
      <c r="O450" s="44"/>
      <c r="P450" s="44"/>
      <c r="Q450" s="44"/>
      <c r="R450" s="44"/>
    </row>
    <row r="451" spans="1:18" hidden="1" x14ac:dyDescent="0.35">
      <c r="A451" s="59" t="s">
        <v>101</v>
      </c>
      <c r="B451" s="8"/>
      <c r="C451" s="30" t="s">
        <v>201</v>
      </c>
      <c r="D451" s="30"/>
      <c r="E451" s="30"/>
      <c r="F451" s="30">
        <v>9.89</v>
      </c>
      <c r="G451" s="30" t="str">
        <f>CONCATENATE("USD,FLAT ",TEXT(F451,"0.00"))</f>
        <v>USD,FLAT 9.89</v>
      </c>
      <c r="H451" s="36">
        <f>K451/J451</f>
        <v>9.89</v>
      </c>
      <c r="I451" s="30" t="s">
        <v>22</v>
      </c>
      <c r="J451" s="32">
        <v>3</v>
      </c>
      <c r="K451" s="36">
        <f>J451*F451</f>
        <v>29.67</v>
      </c>
      <c r="L451" s="30" t="str">
        <f>TEXT(IFERROR(((K451-K452)/K452*100),"0.00"),"0.00")</f>
        <v>0.00</v>
      </c>
      <c r="M451" s="36">
        <f>(10+J451*3)</f>
        <v>19</v>
      </c>
      <c r="N451" s="30"/>
      <c r="O451" s="30" t="s">
        <v>171</v>
      </c>
      <c r="P451" s="30" t="s">
        <v>546</v>
      </c>
      <c r="Q451" s="30" t="s">
        <v>547</v>
      </c>
      <c r="R451" s="30"/>
    </row>
    <row r="452" spans="1:18" hidden="1" x14ac:dyDescent="0.35">
      <c r="A452" s="8"/>
      <c r="B452" s="8"/>
      <c r="C452" s="33" t="s">
        <v>196</v>
      </c>
      <c r="D452" s="33"/>
      <c r="E452" s="33"/>
      <c r="F452" s="33">
        <v>9.9499999999999993</v>
      </c>
      <c r="G452" s="33" t="str">
        <f>CONCATENATE("USD,FLAT ",TEXT(F452,"0.00"))</f>
        <v>USD,FLAT 9.95</v>
      </c>
      <c r="H452" s="38" t="str">
        <f>IFERROR(K452/J452,"0")</f>
        <v>0</v>
      </c>
      <c r="I452" s="33"/>
      <c r="J452" s="34"/>
      <c r="K452" s="38">
        <f>J452*F452</f>
        <v>0</v>
      </c>
      <c r="L452" s="33"/>
      <c r="M452" s="38"/>
      <c r="N452" s="33"/>
      <c r="O452" s="33"/>
      <c r="P452" s="33"/>
      <c r="Q452" s="33"/>
      <c r="R452" s="33"/>
    </row>
    <row r="453" spans="1:18" hidden="1" x14ac:dyDescent="0.35">
      <c r="A453" s="8"/>
      <c r="B453" s="8"/>
      <c r="C453" s="43" t="s">
        <v>197</v>
      </c>
      <c r="D453" s="43"/>
      <c r="E453" s="43"/>
      <c r="F453" s="43"/>
      <c r="G453" s="43"/>
      <c r="H453" s="43"/>
      <c r="I453" s="43"/>
      <c r="J453" s="43"/>
      <c r="K453" s="43"/>
      <c r="L453" s="43"/>
      <c r="M453" s="43"/>
      <c r="N453" s="43"/>
      <c r="O453" s="43"/>
      <c r="P453" s="43"/>
      <c r="Q453" s="43"/>
      <c r="R453" s="43"/>
    </row>
    <row r="454" spans="1:18" hidden="1" x14ac:dyDescent="0.35">
      <c r="A454" s="8"/>
      <c r="B454" s="8"/>
      <c r="C454" s="44" t="s">
        <v>198</v>
      </c>
      <c r="D454" s="44"/>
      <c r="E454" s="44"/>
      <c r="F454" s="44"/>
      <c r="G454" s="44"/>
      <c r="H454" s="44"/>
      <c r="I454" s="44"/>
      <c r="J454" s="44"/>
      <c r="K454" s="44"/>
      <c r="L454" s="44"/>
      <c r="M454" s="44"/>
      <c r="N454" s="44"/>
      <c r="O454" s="44"/>
      <c r="P454" s="44"/>
      <c r="Q454" s="44"/>
      <c r="R454" s="44"/>
    </row>
    <row r="455" spans="1:18" hidden="1" x14ac:dyDescent="0.35">
      <c r="A455" s="59" t="s">
        <v>207</v>
      </c>
      <c r="B455" s="8"/>
      <c r="C455" s="30" t="s">
        <v>201</v>
      </c>
      <c r="D455" s="30"/>
      <c r="E455" s="30"/>
      <c r="F455" s="30">
        <v>111.08</v>
      </c>
      <c r="G455" s="30" t="str">
        <f>CONCATENATE("USD,FLAT ",TEXT(F455,"0.00"))</f>
        <v>USD,FLAT 111.08</v>
      </c>
      <c r="H455" s="36">
        <f>F455</f>
        <v>111.08</v>
      </c>
      <c r="I455" s="30"/>
      <c r="J455" s="32"/>
      <c r="K455" s="36">
        <f>(F455*5*5)</f>
        <v>2777</v>
      </c>
      <c r="L455" s="30" t="str">
        <f>TEXT(IFERROR(((K455-K456)/K456*100),"0.00"),"0.00")</f>
        <v>0.00</v>
      </c>
      <c r="M455" s="36">
        <v>0</v>
      </c>
      <c r="N455" s="35" t="s">
        <v>54</v>
      </c>
      <c r="O455" s="30" t="s">
        <v>213</v>
      </c>
      <c r="P455" s="30" t="s">
        <v>548</v>
      </c>
      <c r="Q455" s="30"/>
      <c r="R455" s="30"/>
    </row>
    <row r="456" spans="1:18" hidden="1" x14ac:dyDescent="0.35">
      <c r="A456" s="8"/>
      <c r="B456" s="8"/>
      <c r="C456" s="33" t="s">
        <v>196</v>
      </c>
      <c r="D456" s="33"/>
      <c r="E456" s="33"/>
      <c r="F456" s="33"/>
      <c r="G456" s="33"/>
      <c r="H456" s="38"/>
      <c r="I456" s="33"/>
      <c r="J456" s="34"/>
      <c r="K456" s="38"/>
      <c r="L456" s="33"/>
      <c r="M456" s="38"/>
      <c r="N456" s="33"/>
      <c r="O456" s="33"/>
      <c r="P456" s="33"/>
      <c r="Q456" s="33"/>
      <c r="R456" s="33"/>
    </row>
    <row r="457" spans="1:18" hidden="1" x14ac:dyDescent="0.35">
      <c r="A457" s="8"/>
      <c r="B457" s="8"/>
      <c r="C457" s="43" t="s">
        <v>197</v>
      </c>
      <c r="D457" s="43"/>
      <c r="E457" s="43"/>
      <c r="F457" s="43"/>
      <c r="G457" s="43"/>
      <c r="H457" s="43"/>
      <c r="I457" s="43"/>
      <c r="J457" s="43"/>
      <c r="K457" s="43"/>
      <c r="L457" s="43"/>
      <c r="M457" s="43"/>
      <c r="N457" s="43"/>
      <c r="O457" s="43"/>
      <c r="P457" s="43"/>
      <c r="Q457" s="43"/>
      <c r="R457" s="43"/>
    </row>
    <row r="458" spans="1:18" hidden="1" x14ac:dyDescent="0.35">
      <c r="A458" s="8"/>
      <c r="B458" s="8"/>
      <c r="C458" s="44" t="s">
        <v>198</v>
      </c>
      <c r="D458" s="44"/>
      <c r="E458" s="44"/>
      <c r="F458" s="44"/>
      <c r="G458" s="44"/>
      <c r="H458" s="44"/>
      <c r="I458" s="44"/>
      <c r="J458" s="44"/>
      <c r="K458" s="44"/>
      <c r="L458" s="44"/>
      <c r="M458" s="44"/>
      <c r="N458" s="44"/>
      <c r="O458" s="44"/>
      <c r="P458" s="44"/>
      <c r="Q458" s="44"/>
      <c r="R458" s="44"/>
    </row>
    <row r="459" spans="1:18" hidden="1" x14ac:dyDescent="0.35">
      <c r="A459" s="59" t="s">
        <v>102</v>
      </c>
      <c r="B459" s="8"/>
      <c r="C459" s="30" t="s">
        <v>201</v>
      </c>
      <c r="D459" s="30"/>
      <c r="E459" s="30"/>
      <c r="F459" s="30">
        <v>276.25</v>
      </c>
      <c r="G459" s="30" t="str">
        <f>CONCATENATE("USD,FLAT ",TEXT(F459,"0.00"))</f>
        <v>USD,FLAT 276.25</v>
      </c>
      <c r="H459" s="36">
        <f>F459</f>
        <v>276.25</v>
      </c>
      <c r="I459" s="30"/>
      <c r="J459" s="32"/>
      <c r="K459" s="36">
        <f>(F459*5*5)</f>
        <v>6906.25</v>
      </c>
      <c r="L459" s="30" t="str">
        <f>TEXT(IFERROR(((K459-K460)/K460*100),"0.00"),"0.00")</f>
        <v>0.00</v>
      </c>
      <c r="M459" s="36">
        <v>0</v>
      </c>
      <c r="N459" s="35" t="s">
        <v>54</v>
      </c>
      <c r="O459" s="30" t="s">
        <v>213</v>
      </c>
      <c r="P459" s="30" t="s">
        <v>548</v>
      </c>
      <c r="Q459" s="30"/>
      <c r="R459" s="30"/>
    </row>
    <row r="460" spans="1:18" hidden="1" x14ac:dyDescent="0.35">
      <c r="A460" s="8"/>
      <c r="B460" s="8"/>
      <c r="C460" s="33" t="s">
        <v>196</v>
      </c>
      <c r="D460" s="33"/>
      <c r="E460" s="33"/>
      <c r="F460" s="33"/>
      <c r="G460" s="33"/>
      <c r="H460" s="38"/>
      <c r="I460" s="33"/>
      <c r="J460" s="34"/>
      <c r="K460" s="38"/>
      <c r="L460" s="33"/>
      <c r="M460" s="38"/>
      <c r="N460" s="33"/>
      <c r="O460" s="33"/>
      <c r="P460" s="33"/>
      <c r="Q460" s="33"/>
      <c r="R460" s="33"/>
    </row>
    <row r="461" spans="1:18" hidden="1" x14ac:dyDescent="0.35">
      <c r="A461" s="8"/>
      <c r="B461" s="8"/>
      <c r="C461" s="43" t="s">
        <v>197</v>
      </c>
      <c r="D461" s="43"/>
      <c r="E461" s="43"/>
      <c r="F461" s="43"/>
      <c r="G461" s="43"/>
      <c r="H461" s="43"/>
      <c r="I461" s="43"/>
      <c r="J461" s="43"/>
      <c r="K461" s="43"/>
      <c r="L461" s="43"/>
      <c r="M461" s="43"/>
      <c r="N461" s="43"/>
      <c r="O461" s="43"/>
      <c r="P461" s="43"/>
      <c r="Q461" s="43"/>
      <c r="R461" s="43"/>
    </row>
    <row r="462" spans="1:18" hidden="1" x14ac:dyDescent="0.35">
      <c r="A462" s="8"/>
      <c r="B462" s="8"/>
      <c r="C462" s="44" t="s">
        <v>198</v>
      </c>
      <c r="D462" s="44"/>
      <c r="E462" s="44"/>
      <c r="F462" s="44"/>
      <c r="G462" s="44"/>
      <c r="H462" s="44"/>
      <c r="I462" s="44"/>
      <c r="J462" s="44"/>
      <c r="K462" s="44"/>
      <c r="L462" s="44"/>
      <c r="M462" s="44"/>
      <c r="N462" s="44"/>
      <c r="O462" s="44"/>
      <c r="P462" s="44"/>
      <c r="Q462" s="44"/>
      <c r="R462" s="44"/>
    </row>
    <row r="463" spans="1:18" hidden="1" x14ac:dyDescent="0.35">
      <c r="A463" s="52" t="s">
        <v>194</v>
      </c>
      <c r="B463" s="52"/>
      <c r="C463" s="52" t="s">
        <v>201</v>
      </c>
      <c r="D463" s="52"/>
      <c r="E463" s="52"/>
      <c r="F463" s="52"/>
      <c r="G463" s="52"/>
      <c r="H463" s="52"/>
      <c r="I463" s="52"/>
      <c r="J463" s="53">
        <f>SUMIFS(J465:J474,C465:C474,C463)</f>
        <v>288000</v>
      </c>
      <c r="K463" s="54">
        <f>SUMIFS(K465:K476,C465:C476,C463)</f>
        <v>6092880</v>
      </c>
      <c r="L463" s="52"/>
      <c r="M463" s="54">
        <f>SUMIFS(M465:M476,C465:C476,C463)</f>
        <v>864030</v>
      </c>
      <c r="N463" s="52"/>
      <c r="O463" s="52"/>
      <c r="P463" s="52"/>
      <c r="Q463" s="52"/>
      <c r="R463" s="52"/>
    </row>
    <row r="464" spans="1:18" hidden="1" x14ac:dyDescent="0.35">
      <c r="A464" s="52" t="s">
        <v>194</v>
      </c>
      <c r="B464" s="52"/>
      <c r="C464" s="52" t="s">
        <v>196</v>
      </c>
      <c r="D464" s="52"/>
      <c r="E464" s="52"/>
      <c r="F464" s="52"/>
      <c r="G464" s="52"/>
      <c r="H464" s="52"/>
      <c r="I464" s="52"/>
      <c r="J464" s="53">
        <f>SUMIFS(J465:J474,C465:C474,C464)</f>
        <v>288000</v>
      </c>
      <c r="K464" s="54">
        <f>SUMIFS(K465:K474,C465:C474,C464)</f>
        <v>0</v>
      </c>
      <c r="L464" s="52"/>
      <c r="M464" s="54">
        <f>SUMIFS(M465:M474,C465:C474,C464)</f>
        <v>0</v>
      </c>
      <c r="N464" s="52"/>
      <c r="O464" s="52"/>
      <c r="P464" s="52"/>
      <c r="Q464" s="52"/>
      <c r="R464" s="52"/>
    </row>
    <row r="465" spans="1:18" hidden="1" x14ac:dyDescent="0.35">
      <c r="A465" s="59" t="s">
        <v>103</v>
      </c>
      <c r="B465" s="8"/>
      <c r="C465" s="30" t="s">
        <v>201</v>
      </c>
      <c r="D465" s="30"/>
      <c r="E465" s="30"/>
      <c r="F465" s="31" t="s">
        <v>211</v>
      </c>
      <c r="G465" s="30" t="s">
        <v>208</v>
      </c>
      <c r="H465" s="36">
        <f>K465/J465</f>
        <v>12.25</v>
      </c>
      <c r="I465" s="30" t="s">
        <v>22</v>
      </c>
      <c r="J465" s="32">
        <v>72000</v>
      </c>
      <c r="K465" s="36">
        <f>(1000*12.95+4000*12.15+1000*11.95)*12</f>
        <v>882000</v>
      </c>
      <c r="L465" s="30" t="str">
        <f>TEXT(IFERROR(((K465-K466)/K466*100),"0.00"),"0.00")</f>
        <v>0.00</v>
      </c>
      <c r="M465" s="36">
        <f>(10+J465*3)</f>
        <v>216010</v>
      </c>
      <c r="N465" s="35" t="s">
        <v>54</v>
      </c>
      <c r="O465" s="30" t="s">
        <v>213</v>
      </c>
      <c r="P465" s="30" t="s">
        <v>549</v>
      </c>
      <c r="Q465" s="30"/>
      <c r="R465" s="30"/>
    </row>
    <row r="466" spans="1:18" hidden="1" x14ac:dyDescent="0.35">
      <c r="A466" s="8"/>
      <c r="B466" s="8"/>
      <c r="C466" s="33" t="s">
        <v>196</v>
      </c>
      <c r="D466" s="33"/>
      <c r="E466" s="33"/>
      <c r="F466" s="33"/>
      <c r="G466" s="33"/>
      <c r="H466" s="38">
        <f>IFERROR(K466/J466,"0")</f>
        <v>0</v>
      </c>
      <c r="I466" s="33" t="s">
        <v>22</v>
      </c>
      <c r="J466" s="34">
        <v>72000</v>
      </c>
      <c r="K466" s="40">
        <v>0</v>
      </c>
      <c r="L466" s="33"/>
      <c r="M466" s="38"/>
      <c r="N466" s="33"/>
      <c r="O466" s="33"/>
      <c r="P466" s="33"/>
      <c r="Q466" s="33"/>
      <c r="R466" s="33"/>
    </row>
    <row r="467" spans="1:18" hidden="1" x14ac:dyDescent="0.35">
      <c r="A467" s="8"/>
      <c r="B467" s="8"/>
      <c r="C467" s="43" t="s">
        <v>197</v>
      </c>
      <c r="D467" s="43"/>
      <c r="E467" s="43"/>
      <c r="F467" s="43"/>
      <c r="G467" s="43"/>
      <c r="H467" s="43"/>
      <c r="I467" s="43"/>
      <c r="J467" s="43"/>
      <c r="K467" s="45"/>
      <c r="L467" s="43"/>
      <c r="M467" s="43"/>
      <c r="N467" s="43"/>
      <c r="O467" s="43"/>
      <c r="P467" s="43"/>
      <c r="Q467" s="43"/>
      <c r="R467" s="43"/>
    </row>
    <row r="468" spans="1:18" hidden="1" x14ac:dyDescent="0.35">
      <c r="A468" s="8"/>
      <c r="B468" s="8"/>
      <c r="C468" s="44" t="s">
        <v>198</v>
      </c>
      <c r="D468" s="44"/>
      <c r="E468" s="44"/>
      <c r="F468" s="44"/>
      <c r="G468" s="44"/>
      <c r="H468" s="44"/>
      <c r="I468" s="44"/>
      <c r="J468" s="44"/>
      <c r="K468" s="46"/>
      <c r="L468" s="44"/>
      <c r="M468" s="44"/>
      <c r="N468" s="44"/>
      <c r="O468" s="44"/>
      <c r="P468" s="44"/>
      <c r="Q468" s="44"/>
      <c r="R468" s="44"/>
    </row>
    <row r="469" spans="1:18" hidden="1" x14ac:dyDescent="0.35">
      <c r="A469" s="59" t="s">
        <v>104</v>
      </c>
      <c r="B469" s="8"/>
      <c r="C469" s="30" t="s">
        <v>201</v>
      </c>
      <c r="D469" s="30"/>
      <c r="E469" s="30"/>
      <c r="F469" s="31" t="s">
        <v>211</v>
      </c>
      <c r="G469" s="30" t="s">
        <v>209</v>
      </c>
      <c r="H469" s="36">
        <f>K469/J469</f>
        <v>11.95</v>
      </c>
      <c r="I469" s="30" t="s">
        <v>22</v>
      </c>
      <c r="J469" s="32">
        <v>96000</v>
      </c>
      <c r="K469" s="36">
        <f>J469*11.95</f>
        <v>1147200</v>
      </c>
      <c r="L469" s="30" t="str">
        <f>TEXT(IFERROR(((K469-K470)/K470*100),"0.00"),"0.00")</f>
        <v>0.00</v>
      </c>
      <c r="M469" s="36">
        <f>(10+J469*3)</f>
        <v>288010</v>
      </c>
      <c r="N469" s="35" t="s">
        <v>54</v>
      </c>
      <c r="O469" s="30" t="s">
        <v>213</v>
      </c>
      <c r="P469" s="30" t="s">
        <v>549</v>
      </c>
      <c r="Q469" s="30"/>
      <c r="R469" s="30"/>
    </row>
    <row r="470" spans="1:18" hidden="1" x14ac:dyDescent="0.35">
      <c r="A470" s="8"/>
      <c r="B470" s="8"/>
      <c r="C470" s="33" t="s">
        <v>196</v>
      </c>
      <c r="D470" s="33"/>
      <c r="E470" s="33"/>
      <c r="F470" s="33"/>
      <c r="G470" s="33"/>
      <c r="H470" s="38">
        <f>IFERROR(K470/J470,"0")</f>
        <v>0</v>
      </c>
      <c r="I470" s="33" t="s">
        <v>22</v>
      </c>
      <c r="J470" s="34">
        <v>96000</v>
      </c>
      <c r="K470" s="40">
        <v>0</v>
      </c>
      <c r="L470" s="33"/>
      <c r="M470" s="33"/>
      <c r="N470" s="33"/>
      <c r="O470" s="33"/>
      <c r="P470" s="33"/>
      <c r="Q470" s="33"/>
      <c r="R470" s="33"/>
    </row>
    <row r="471" spans="1:18" hidden="1" x14ac:dyDescent="0.35">
      <c r="A471" s="8"/>
      <c r="B471" s="8"/>
      <c r="C471" s="43" t="s">
        <v>197</v>
      </c>
      <c r="D471" s="43"/>
      <c r="E471" s="43"/>
      <c r="F471" s="43"/>
      <c r="G471" s="43"/>
      <c r="H471" s="43"/>
      <c r="I471" s="43"/>
      <c r="J471" s="43"/>
      <c r="K471" s="45"/>
      <c r="L471" s="43"/>
      <c r="M471" s="43"/>
      <c r="N471" s="43"/>
      <c r="O471" s="43"/>
      <c r="P471" s="43"/>
      <c r="Q471" s="43"/>
      <c r="R471" s="43"/>
    </row>
    <row r="472" spans="1:18" hidden="1" x14ac:dyDescent="0.35">
      <c r="A472" s="8"/>
      <c r="B472" s="8"/>
      <c r="C472" s="44" t="s">
        <v>198</v>
      </c>
      <c r="D472" s="44"/>
      <c r="E472" s="44"/>
      <c r="F472" s="44"/>
      <c r="G472" s="44"/>
      <c r="H472" s="44"/>
      <c r="I472" s="44"/>
      <c r="J472" s="44"/>
      <c r="K472" s="46"/>
      <c r="L472" s="44"/>
      <c r="M472" s="44"/>
      <c r="N472" s="44"/>
      <c r="O472" s="44"/>
      <c r="P472" s="44"/>
      <c r="Q472" s="44"/>
      <c r="R472" s="44"/>
    </row>
    <row r="473" spans="1:18" ht="29" hidden="1" x14ac:dyDescent="0.35">
      <c r="A473" s="59" t="s">
        <v>105</v>
      </c>
      <c r="B473" s="8"/>
      <c r="C473" s="30" t="s">
        <v>201</v>
      </c>
      <c r="D473" s="30"/>
      <c r="E473" s="30"/>
      <c r="F473" s="31" t="s">
        <v>212</v>
      </c>
      <c r="G473" s="30" t="s">
        <v>210</v>
      </c>
      <c r="H473" s="36">
        <f>K473/J473</f>
        <v>33.863999999999997</v>
      </c>
      <c r="I473" s="30" t="s">
        <v>22</v>
      </c>
      <c r="J473" s="32">
        <v>120000</v>
      </c>
      <c r="K473" s="36">
        <f>'UC01 - CALCULATOIN'!C13</f>
        <v>4063680</v>
      </c>
      <c r="L473" s="30" t="str">
        <f>TEXT(IFERROR(((K473-K474)/K474*100),"0.00"),"0.00")</f>
        <v>0.00</v>
      </c>
      <c r="M473" s="36">
        <f>(10+J473*3)</f>
        <v>360010</v>
      </c>
      <c r="N473" s="35" t="s">
        <v>54</v>
      </c>
      <c r="O473" s="30" t="s">
        <v>213</v>
      </c>
      <c r="P473" s="30" t="s">
        <v>549</v>
      </c>
      <c r="Q473" s="30"/>
      <c r="R473" s="30"/>
    </row>
    <row r="474" spans="1:18" hidden="1" x14ac:dyDescent="0.35">
      <c r="A474" s="8"/>
      <c r="B474" s="8"/>
      <c r="C474" s="33" t="s">
        <v>196</v>
      </c>
      <c r="D474" s="33"/>
      <c r="E474" s="33"/>
      <c r="F474" s="33"/>
      <c r="G474" s="33"/>
      <c r="H474" s="38">
        <f>IFERROR(K474/J474,"0")</f>
        <v>0</v>
      </c>
      <c r="I474" s="33" t="s">
        <v>22</v>
      </c>
      <c r="J474" s="34">
        <v>120000</v>
      </c>
      <c r="K474" s="40">
        <v>0</v>
      </c>
      <c r="L474" s="33"/>
      <c r="M474" s="33"/>
      <c r="N474" s="33"/>
      <c r="O474" s="33"/>
      <c r="P474" s="33"/>
      <c r="Q474" s="33"/>
      <c r="R474" s="33"/>
    </row>
    <row r="475" spans="1:18" hidden="1" x14ac:dyDescent="0.35">
      <c r="A475" s="8"/>
      <c r="B475" s="8"/>
      <c r="C475" s="43" t="s">
        <v>197</v>
      </c>
      <c r="D475" s="43"/>
      <c r="E475" s="43"/>
      <c r="F475" s="43"/>
      <c r="G475" s="43"/>
      <c r="H475" s="43"/>
      <c r="I475" s="43"/>
      <c r="J475" s="43"/>
      <c r="K475" s="45"/>
      <c r="L475" s="43"/>
      <c r="M475" s="43"/>
      <c r="N475" s="43"/>
      <c r="O475" s="43"/>
      <c r="P475" s="43"/>
      <c r="Q475" s="43"/>
      <c r="R475" s="43"/>
    </row>
    <row r="476" spans="1:18" hidden="1" x14ac:dyDescent="0.35">
      <c r="A476" s="8"/>
      <c r="B476" s="8"/>
      <c r="C476" s="44" t="s">
        <v>198</v>
      </c>
      <c r="D476" s="44"/>
      <c r="E476" s="44"/>
      <c r="F476" s="44"/>
      <c r="G476" s="44"/>
      <c r="H476" s="44"/>
      <c r="I476" s="44"/>
      <c r="J476" s="44"/>
      <c r="K476" s="46"/>
      <c r="L476" s="44"/>
      <c r="M476" s="44"/>
      <c r="N476" s="44"/>
      <c r="O476" s="44"/>
      <c r="P476" s="44"/>
      <c r="Q476" s="44"/>
      <c r="R476" s="44"/>
    </row>
    <row r="477" spans="1:18" x14ac:dyDescent="0.35">
      <c r="A477" s="52" t="s">
        <v>195</v>
      </c>
      <c r="B477" s="52"/>
      <c r="C477" s="52" t="s">
        <v>201</v>
      </c>
      <c r="D477" s="52"/>
      <c r="E477" s="52"/>
      <c r="F477" s="52"/>
      <c r="G477" s="52"/>
      <c r="H477" s="52"/>
      <c r="I477" s="52"/>
      <c r="J477" s="53">
        <f>SUMIFS(J479:J508,C479:C508,C477)</f>
        <v>10</v>
      </c>
      <c r="K477" s="54">
        <f>SUMIFS(K479:K510,C479:C510,C477)</f>
        <v>3029.51</v>
      </c>
      <c r="L477" s="52"/>
      <c r="M477" s="54">
        <f>SUMIFS(M479:M510,C479:C510,C477)</f>
        <v>110</v>
      </c>
      <c r="N477" s="52"/>
      <c r="O477" s="52"/>
      <c r="P477" s="52"/>
      <c r="Q477" s="52"/>
      <c r="R477" s="52"/>
    </row>
    <row r="478" spans="1:18" x14ac:dyDescent="0.35">
      <c r="A478" s="52" t="s">
        <v>195</v>
      </c>
      <c r="B478" s="52"/>
      <c r="C478" s="52" t="s">
        <v>196</v>
      </c>
      <c r="D478" s="52"/>
      <c r="E478" s="52"/>
      <c r="F478" s="52"/>
      <c r="G478" s="52"/>
      <c r="H478" s="52"/>
      <c r="I478" s="52"/>
      <c r="J478" s="53">
        <f>SUMIFS(J479:J508,C479:C508,C478)</f>
        <v>0</v>
      </c>
      <c r="K478" s="54">
        <f>SUMIFS(K479:K510,C479:C510,C478)</f>
        <v>0</v>
      </c>
      <c r="L478" s="52"/>
      <c r="M478" s="54">
        <f>SUMIFS(M479:M510,C479:C510,C478)</f>
        <v>0</v>
      </c>
      <c r="N478" s="52"/>
      <c r="O478" s="52"/>
      <c r="P478" s="52"/>
      <c r="Q478" s="52"/>
      <c r="R478" s="52"/>
    </row>
    <row r="479" spans="1:18" x14ac:dyDescent="0.35">
      <c r="A479" s="59" t="s">
        <v>106</v>
      </c>
      <c r="B479" s="8"/>
      <c r="C479" s="30" t="s">
        <v>201</v>
      </c>
      <c r="D479" s="30"/>
      <c r="E479" s="30"/>
      <c r="F479" s="39">
        <v>0.11</v>
      </c>
      <c r="G479" s="30" t="str">
        <f>CONCATENATE("USD,FLAT ",TEXT(F479,"0.00"))</f>
        <v>USD,FLAT 0.11</v>
      </c>
      <c r="H479" s="36">
        <f>(K479/J479)</f>
        <v>1500.11</v>
      </c>
      <c r="I479" s="30" t="s">
        <v>22</v>
      </c>
      <c r="J479" s="32">
        <v>2</v>
      </c>
      <c r="K479" s="39">
        <f>J479*F479+3000</f>
        <v>3000.22</v>
      </c>
      <c r="L479" s="30" t="str">
        <f>TEXT(IFERROR(((K479-K480)/K480*100),"0.00"),"0.00")</f>
        <v>0.00</v>
      </c>
      <c r="M479" s="36">
        <f>(10+J479*3)</f>
        <v>16</v>
      </c>
      <c r="N479" s="35" t="s">
        <v>54</v>
      </c>
      <c r="O479" s="30" t="s">
        <v>213</v>
      </c>
      <c r="P479" s="30" t="s">
        <v>549</v>
      </c>
      <c r="Q479" s="30"/>
      <c r="R479" s="30"/>
    </row>
    <row r="480" spans="1:18" x14ac:dyDescent="0.35">
      <c r="A480" s="8"/>
      <c r="B480" s="8"/>
      <c r="C480" s="33" t="s">
        <v>196</v>
      </c>
      <c r="D480" s="33"/>
      <c r="E480" s="33"/>
      <c r="F480" s="33"/>
      <c r="G480" s="33"/>
      <c r="H480" s="38" t="str">
        <f>IFERROR(K480/J480,"0")</f>
        <v>0</v>
      </c>
      <c r="I480" s="33"/>
      <c r="J480" s="34"/>
      <c r="K480" s="40"/>
      <c r="L480" s="33"/>
      <c r="M480" s="33"/>
      <c r="N480" s="33"/>
      <c r="O480" s="33"/>
      <c r="P480" s="33"/>
      <c r="Q480" s="33"/>
      <c r="R480" s="33"/>
    </row>
    <row r="481" spans="1:18" x14ac:dyDescent="0.35">
      <c r="A481" s="8"/>
      <c r="B481" s="8"/>
      <c r="C481" s="43" t="s">
        <v>197</v>
      </c>
      <c r="D481" s="43"/>
      <c r="E481" s="43"/>
      <c r="F481" s="43"/>
      <c r="G481" s="43"/>
      <c r="H481" s="43"/>
      <c r="I481" s="43"/>
      <c r="J481" s="43"/>
      <c r="K481" s="45"/>
      <c r="L481" s="43"/>
      <c r="M481" s="43"/>
      <c r="N481" s="43"/>
      <c r="O481" s="43"/>
      <c r="P481" s="43"/>
      <c r="Q481" s="43"/>
      <c r="R481" s="43"/>
    </row>
    <row r="482" spans="1:18" x14ac:dyDescent="0.35">
      <c r="A482" s="8"/>
      <c r="B482" s="8"/>
      <c r="C482" s="44" t="s">
        <v>198</v>
      </c>
      <c r="D482" s="44"/>
      <c r="E482" s="44"/>
      <c r="F482" s="44"/>
      <c r="G482" s="44"/>
      <c r="H482" s="44"/>
      <c r="I482" s="44"/>
      <c r="J482" s="44"/>
      <c r="K482" s="46"/>
      <c r="L482" s="44"/>
      <c r="M482" s="44"/>
      <c r="N482" s="44"/>
      <c r="O482" s="44"/>
      <c r="P482" s="44"/>
      <c r="Q482" s="44"/>
      <c r="R482" s="44"/>
    </row>
    <row r="483" spans="1:18" hidden="1" x14ac:dyDescent="0.35">
      <c r="A483" s="59" t="s">
        <v>107</v>
      </c>
      <c r="B483" s="8"/>
      <c r="C483" s="30" t="s">
        <v>201</v>
      </c>
      <c r="D483" s="30"/>
      <c r="E483" s="30"/>
      <c r="F483" s="39">
        <v>1.99</v>
      </c>
      <c r="G483" s="30" t="str">
        <f>CONCATENATE("USD,FLAT ",TEXT(F483,"0.00"))</f>
        <v>USD,FLAT 1.99</v>
      </c>
      <c r="H483" s="36">
        <f>K483/J483</f>
        <v>1.99</v>
      </c>
      <c r="I483" s="30" t="s">
        <v>22</v>
      </c>
      <c r="J483" s="32">
        <v>2</v>
      </c>
      <c r="K483" s="39">
        <f>J483*F483</f>
        <v>3.98</v>
      </c>
      <c r="L483" s="30" t="str">
        <f>TEXT(IFERROR(((K483-K484)/K484*100),"0.00"),"0.00")</f>
        <v>0.00</v>
      </c>
      <c r="M483" s="36">
        <f>(10+J483*3)</f>
        <v>16</v>
      </c>
      <c r="N483" s="35" t="s">
        <v>54</v>
      </c>
      <c r="O483" s="30" t="s">
        <v>213</v>
      </c>
      <c r="P483" s="30" t="s">
        <v>549</v>
      </c>
      <c r="Q483" s="30"/>
      <c r="R483" s="30"/>
    </row>
    <row r="484" spans="1:18" hidden="1" x14ac:dyDescent="0.35">
      <c r="A484" s="8"/>
      <c r="B484" s="8"/>
      <c r="C484" s="33" t="s">
        <v>196</v>
      </c>
      <c r="D484" s="33"/>
      <c r="E484" s="33"/>
      <c r="F484" s="33"/>
      <c r="G484" s="33"/>
      <c r="H484" s="38" t="str">
        <f>IFERROR(K484/J484,"0")</f>
        <v>0</v>
      </c>
      <c r="I484" s="33"/>
      <c r="J484" s="34"/>
      <c r="K484" s="40"/>
      <c r="L484" s="33"/>
      <c r="M484" s="33"/>
      <c r="N484" s="33"/>
      <c r="O484" s="33"/>
      <c r="P484" s="33"/>
      <c r="Q484" s="33"/>
      <c r="R484" s="33"/>
    </row>
    <row r="485" spans="1:18" hidden="1" x14ac:dyDescent="0.35">
      <c r="A485" s="8"/>
      <c r="B485" s="8"/>
      <c r="C485" s="43" t="s">
        <v>197</v>
      </c>
      <c r="D485" s="43"/>
      <c r="E485" s="43"/>
      <c r="F485" s="43"/>
      <c r="G485" s="43"/>
      <c r="H485" s="43"/>
      <c r="I485" s="43"/>
      <c r="J485" s="43"/>
      <c r="K485" s="45"/>
      <c r="L485" s="43"/>
      <c r="M485" s="43"/>
      <c r="N485" s="43"/>
      <c r="O485" s="43"/>
      <c r="P485" s="43"/>
      <c r="Q485" s="43"/>
      <c r="R485" s="43"/>
    </row>
    <row r="486" spans="1:18" hidden="1" x14ac:dyDescent="0.35">
      <c r="A486" s="8"/>
      <c r="B486" s="8"/>
      <c r="C486" s="44" t="s">
        <v>198</v>
      </c>
      <c r="D486" s="44"/>
      <c r="E486" s="44"/>
      <c r="F486" s="44"/>
      <c r="G486" s="44"/>
      <c r="H486" s="44"/>
      <c r="I486" s="44"/>
      <c r="J486" s="44"/>
      <c r="K486" s="46"/>
      <c r="L486" s="44"/>
      <c r="M486" s="44"/>
      <c r="N486" s="44"/>
      <c r="O486" s="44"/>
      <c r="P486" s="44"/>
      <c r="Q486" s="44"/>
      <c r="R486" s="44"/>
    </row>
    <row r="487" spans="1:18" hidden="1" x14ac:dyDescent="0.35">
      <c r="A487" s="59" t="s">
        <v>107</v>
      </c>
      <c r="B487" s="8" t="s">
        <v>51</v>
      </c>
      <c r="C487" s="30" t="s">
        <v>201</v>
      </c>
      <c r="D487" s="30"/>
      <c r="E487" s="30"/>
      <c r="F487" s="39">
        <v>0.75</v>
      </c>
      <c r="G487" s="30" t="str">
        <f>CONCATENATE("USD,FLAT ",TEXT(F487,"0.00"))</f>
        <v>USD,FLAT 0.75</v>
      </c>
      <c r="H487" s="36">
        <f>K487/J487</f>
        <v>0.75</v>
      </c>
      <c r="I487" s="30" t="s">
        <v>22</v>
      </c>
      <c r="J487" s="32">
        <v>1</v>
      </c>
      <c r="K487" s="39">
        <f>J487*F487</f>
        <v>0.75</v>
      </c>
      <c r="L487" s="30" t="str">
        <f>TEXT(IFERROR(((K487-K488)/K488*100),"0.00"),"0.00")</f>
        <v>0.00</v>
      </c>
      <c r="M487" s="36">
        <f>(10+J487*3)</f>
        <v>13</v>
      </c>
      <c r="N487" s="35" t="s">
        <v>54</v>
      </c>
      <c r="O487" s="30" t="s">
        <v>213</v>
      </c>
      <c r="P487" s="30" t="s">
        <v>549</v>
      </c>
      <c r="Q487" s="30"/>
      <c r="R487" s="30"/>
    </row>
    <row r="488" spans="1:18" hidden="1" x14ac:dyDescent="0.35">
      <c r="A488" s="8"/>
      <c r="B488" s="8"/>
      <c r="C488" s="33" t="s">
        <v>196</v>
      </c>
      <c r="D488" s="33"/>
      <c r="E488" s="33"/>
      <c r="F488" s="33"/>
      <c r="G488" s="33"/>
      <c r="H488" s="38" t="str">
        <f>IFERROR(K488/J488,"0")</f>
        <v>0</v>
      </c>
      <c r="I488" s="33"/>
      <c r="J488" s="34"/>
      <c r="K488" s="40"/>
      <c r="L488" s="33"/>
      <c r="M488" s="33"/>
      <c r="N488" s="33"/>
      <c r="O488" s="33"/>
      <c r="P488" s="33"/>
      <c r="Q488" s="33"/>
      <c r="R488" s="33"/>
    </row>
    <row r="489" spans="1:18" hidden="1" x14ac:dyDescent="0.35">
      <c r="A489" s="8"/>
      <c r="B489" s="8"/>
      <c r="C489" s="43" t="s">
        <v>197</v>
      </c>
      <c r="D489" s="43"/>
      <c r="E489" s="43"/>
      <c r="F489" s="43"/>
      <c r="G489" s="43"/>
      <c r="H489" s="43"/>
      <c r="I489" s="43"/>
      <c r="J489" s="43"/>
      <c r="K489" s="45"/>
      <c r="L489" s="43"/>
      <c r="M489" s="43"/>
      <c r="N489" s="43"/>
      <c r="O489" s="43"/>
      <c r="P489" s="43"/>
      <c r="Q489" s="43"/>
      <c r="R489" s="43"/>
    </row>
    <row r="490" spans="1:18" hidden="1" x14ac:dyDescent="0.35">
      <c r="A490" s="8"/>
      <c r="B490" s="8"/>
      <c r="C490" s="44" t="s">
        <v>198</v>
      </c>
      <c r="D490" s="44"/>
      <c r="E490" s="44"/>
      <c r="F490" s="44"/>
      <c r="G490" s="44"/>
      <c r="H490" s="44"/>
      <c r="I490" s="44"/>
      <c r="J490" s="44"/>
      <c r="K490" s="46"/>
      <c r="L490" s="44"/>
      <c r="M490" s="44"/>
      <c r="N490" s="44"/>
      <c r="O490" s="44"/>
      <c r="P490" s="44"/>
      <c r="Q490" s="44"/>
      <c r="R490" s="44"/>
    </row>
    <row r="491" spans="1:18" hidden="1" x14ac:dyDescent="0.35">
      <c r="A491" s="59" t="s">
        <v>107</v>
      </c>
      <c r="B491" s="8" t="s">
        <v>202</v>
      </c>
      <c r="C491" s="30" t="s">
        <v>201</v>
      </c>
      <c r="D491" s="30"/>
      <c r="E491" s="30"/>
      <c r="F491" s="39">
        <v>0.3</v>
      </c>
      <c r="G491" s="30" t="str">
        <f>CONCATENATE("USD,FLAT ",TEXT(F491,"0.00"))</f>
        <v>USD,FLAT 0.30</v>
      </c>
      <c r="H491" s="36">
        <f>K491/J491</f>
        <v>0.3</v>
      </c>
      <c r="I491" s="30" t="s">
        <v>22</v>
      </c>
      <c r="J491" s="32">
        <v>1</v>
      </c>
      <c r="K491" s="39">
        <f>J491*F491</f>
        <v>0.3</v>
      </c>
      <c r="L491" s="30" t="str">
        <f>TEXT(IFERROR(((K491-K492)/K492*100),"0.00"),"0.00")</f>
        <v>0.00</v>
      </c>
      <c r="M491" s="36">
        <f>(10+J491*3)</f>
        <v>13</v>
      </c>
      <c r="N491" s="35" t="s">
        <v>54</v>
      </c>
      <c r="O491" s="30" t="s">
        <v>213</v>
      </c>
      <c r="P491" s="30" t="s">
        <v>549</v>
      </c>
      <c r="Q491" s="30"/>
      <c r="R491" s="30"/>
    </row>
    <row r="492" spans="1:18" hidden="1" x14ac:dyDescent="0.35">
      <c r="A492" s="8"/>
      <c r="B492" s="8"/>
      <c r="C492" s="33" t="s">
        <v>196</v>
      </c>
      <c r="D492" s="33"/>
      <c r="E492" s="33"/>
      <c r="F492" s="33"/>
      <c r="G492" s="33"/>
      <c r="H492" s="38" t="str">
        <f>IFERROR(K492/J492,"0")</f>
        <v>0</v>
      </c>
      <c r="I492" s="33"/>
      <c r="J492" s="34"/>
      <c r="K492" s="40"/>
      <c r="L492" s="33"/>
      <c r="M492" s="33"/>
      <c r="N492" s="33"/>
      <c r="O492" s="33"/>
      <c r="P492" s="33"/>
      <c r="Q492" s="33"/>
      <c r="R492" s="33"/>
    </row>
    <row r="493" spans="1:18" hidden="1" x14ac:dyDescent="0.35">
      <c r="A493" s="8"/>
      <c r="B493" s="8"/>
      <c r="C493" s="43" t="s">
        <v>197</v>
      </c>
      <c r="D493" s="43"/>
      <c r="E493" s="43"/>
      <c r="F493" s="43"/>
      <c r="G493" s="43"/>
      <c r="H493" s="43"/>
      <c r="I493" s="43"/>
      <c r="J493" s="43"/>
      <c r="K493" s="45"/>
      <c r="L493" s="43"/>
      <c r="M493" s="43"/>
      <c r="N493" s="43"/>
      <c r="O493" s="43"/>
      <c r="P493" s="43"/>
      <c r="Q493" s="43"/>
      <c r="R493" s="43"/>
    </row>
    <row r="494" spans="1:18" hidden="1" x14ac:dyDescent="0.35">
      <c r="A494" s="8"/>
      <c r="B494" s="8"/>
      <c r="C494" s="44" t="s">
        <v>198</v>
      </c>
      <c r="D494" s="44"/>
      <c r="E494" s="44"/>
      <c r="F494" s="44"/>
      <c r="G494" s="44"/>
      <c r="H494" s="44"/>
      <c r="I494" s="44"/>
      <c r="J494" s="44"/>
      <c r="K494" s="46"/>
      <c r="L494" s="44"/>
      <c r="M494" s="44"/>
      <c r="N494" s="44"/>
      <c r="O494" s="44"/>
      <c r="P494" s="44"/>
      <c r="Q494" s="44"/>
      <c r="R494" s="44"/>
    </row>
    <row r="495" spans="1:18" hidden="1" x14ac:dyDescent="0.35">
      <c r="A495" s="59" t="s">
        <v>107</v>
      </c>
      <c r="B495" s="8" t="s">
        <v>4</v>
      </c>
      <c r="C495" s="30" t="s">
        <v>201</v>
      </c>
      <c r="D495" s="30"/>
      <c r="E495" s="30"/>
      <c r="F495" s="39">
        <v>6.67</v>
      </c>
      <c r="G495" s="30" t="str">
        <f>CONCATENATE("USD,FLAT ",TEXT(F495,"0.00"))</f>
        <v>USD,FLAT 6.67</v>
      </c>
      <c r="H495" s="36">
        <f>K495/J495</f>
        <v>6.67</v>
      </c>
      <c r="I495" s="30" t="s">
        <v>22</v>
      </c>
      <c r="J495" s="32">
        <v>1</v>
      </c>
      <c r="K495" s="39">
        <f>J495*F495</f>
        <v>6.67</v>
      </c>
      <c r="L495" s="39" t="str">
        <f>IFERROR(((K495-K496)/K496*100),"0.00")</f>
        <v>0.00</v>
      </c>
      <c r="M495" s="36">
        <f>(10+J495*3)</f>
        <v>13</v>
      </c>
      <c r="N495" s="35" t="s">
        <v>54</v>
      </c>
      <c r="O495" s="30" t="s">
        <v>213</v>
      </c>
      <c r="P495" s="30" t="s">
        <v>549</v>
      </c>
      <c r="Q495" s="30"/>
      <c r="R495" s="30"/>
    </row>
    <row r="496" spans="1:18" hidden="1" x14ac:dyDescent="0.35">
      <c r="A496" s="8"/>
      <c r="B496" s="8"/>
      <c r="C496" s="33" t="s">
        <v>196</v>
      </c>
      <c r="D496" s="33"/>
      <c r="E496" s="33"/>
      <c r="F496" s="33"/>
      <c r="G496" s="33"/>
      <c r="H496" s="38" t="str">
        <f>IFERROR(K496/J496,"0")</f>
        <v>0</v>
      </c>
      <c r="I496" s="33"/>
      <c r="J496" s="34"/>
      <c r="K496" s="40"/>
      <c r="L496" s="33"/>
      <c r="M496" s="33"/>
      <c r="N496" s="33"/>
      <c r="O496" s="33"/>
      <c r="P496" s="33"/>
      <c r="Q496" s="33"/>
      <c r="R496" s="33"/>
    </row>
    <row r="497" spans="1:18" hidden="1" x14ac:dyDescent="0.35">
      <c r="A497" s="8"/>
      <c r="B497" s="8"/>
      <c r="C497" s="43" t="s">
        <v>197</v>
      </c>
      <c r="D497" s="43"/>
      <c r="E497" s="43"/>
      <c r="F497" s="43"/>
      <c r="G497" s="43"/>
      <c r="H497" s="43"/>
      <c r="I497" s="43"/>
      <c r="J497" s="43"/>
      <c r="K497" s="45"/>
      <c r="L497" s="43"/>
      <c r="M497" s="43"/>
      <c r="N497" s="43"/>
      <c r="O497" s="43"/>
      <c r="P497" s="43"/>
      <c r="Q497" s="43"/>
      <c r="R497" s="43"/>
    </row>
    <row r="498" spans="1:18" hidden="1" x14ac:dyDescent="0.35">
      <c r="A498" s="8"/>
      <c r="B498" s="8"/>
      <c r="C498" s="44" t="s">
        <v>198</v>
      </c>
      <c r="D498" s="44"/>
      <c r="E498" s="44"/>
      <c r="F498" s="44"/>
      <c r="G498" s="44"/>
      <c r="H498" s="44"/>
      <c r="I498" s="44"/>
      <c r="J498" s="44"/>
      <c r="K498" s="46"/>
      <c r="L498" s="44"/>
      <c r="M498" s="44"/>
      <c r="N498" s="44"/>
      <c r="O498" s="44"/>
      <c r="P498" s="44"/>
      <c r="Q498" s="44"/>
      <c r="R498" s="44"/>
    </row>
    <row r="499" spans="1:18" x14ac:dyDescent="0.35">
      <c r="A499" s="59" t="s">
        <v>108</v>
      </c>
      <c r="B499" s="8"/>
      <c r="C499" s="30" t="s">
        <v>201</v>
      </c>
      <c r="D499" s="30"/>
      <c r="E499" s="30"/>
      <c r="F499" s="39">
        <v>0.32</v>
      </c>
      <c r="G499" s="30" t="str">
        <f>CONCATENATE("USD,FLAT ",TEXT(F499,"0.00"))</f>
        <v>USD,FLAT 0.32</v>
      </c>
      <c r="H499" s="36">
        <f>K499/J499</f>
        <v>0.32</v>
      </c>
      <c r="I499" s="30" t="s">
        <v>22</v>
      </c>
      <c r="J499" s="32">
        <v>1</v>
      </c>
      <c r="K499" s="39">
        <f>J499*F499</f>
        <v>0.32</v>
      </c>
      <c r="L499" s="30" t="str">
        <f>TEXT(IFERROR(((K499-K500)/K500*100),"0.00"),"0.00")</f>
        <v>0.00</v>
      </c>
      <c r="M499" s="36">
        <f>(10+J499*3)</f>
        <v>13</v>
      </c>
      <c r="N499" s="35" t="s">
        <v>54</v>
      </c>
      <c r="O499" s="30" t="s">
        <v>213</v>
      </c>
      <c r="P499" s="30" t="s">
        <v>549</v>
      </c>
      <c r="Q499" s="30"/>
      <c r="R499" s="30"/>
    </row>
    <row r="500" spans="1:18" x14ac:dyDescent="0.35">
      <c r="A500" s="8"/>
      <c r="B500" s="8"/>
      <c r="C500" s="33" t="s">
        <v>196</v>
      </c>
      <c r="D500" s="33"/>
      <c r="E500" s="33"/>
      <c r="F500" s="33"/>
      <c r="G500" s="33"/>
      <c r="H500" s="38" t="str">
        <f>IFERROR(K500/J500,"0")</f>
        <v>0</v>
      </c>
      <c r="I500" s="33"/>
      <c r="J500" s="34"/>
      <c r="K500" s="40"/>
      <c r="L500" s="33"/>
      <c r="M500" s="33"/>
      <c r="N500" s="33"/>
      <c r="O500" s="33"/>
      <c r="P500" s="33"/>
      <c r="Q500" s="33"/>
      <c r="R500" s="33"/>
    </row>
    <row r="501" spans="1:18" x14ac:dyDescent="0.35">
      <c r="A501" s="8"/>
      <c r="B501" s="8"/>
      <c r="C501" s="43" t="s">
        <v>197</v>
      </c>
      <c r="D501" s="43"/>
      <c r="E501" s="43"/>
      <c r="F501" s="43"/>
      <c r="G501" s="43"/>
      <c r="H501" s="43"/>
      <c r="I501" s="43"/>
      <c r="J501" s="43"/>
      <c r="K501" s="45"/>
      <c r="L501" s="43"/>
      <c r="M501" s="43"/>
      <c r="N501" s="43"/>
      <c r="O501" s="43"/>
      <c r="P501" s="43"/>
      <c r="Q501" s="43"/>
      <c r="R501" s="43"/>
    </row>
    <row r="502" spans="1:18" x14ac:dyDescent="0.35">
      <c r="A502" s="8"/>
      <c r="B502" s="8"/>
      <c r="C502" s="44" t="s">
        <v>198</v>
      </c>
      <c r="D502" s="44"/>
      <c r="E502" s="44"/>
      <c r="F502" s="44"/>
      <c r="G502" s="44"/>
      <c r="H502" s="44"/>
      <c r="I502" s="44"/>
      <c r="J502" s="44"/>
      <c r="K502" s="46"/>
      <c r="L502" s="44"/>
      <c r="M502" s="44"/>
      <c r="N502" s="44"/>
      <c r="O502" s="44"/>
      <c r="P502" s="44"/>
      <c r="Q502" s="44"/>
      <c r="R502" s="44"/>
    </row>
    <row r="503" spans="1:18" hidden="1" x14ac:dyDescent="0.35">
      <c r="A503" s="59" t="s">
        <v>109</v>
      </c>
      <c r="B503" s="8"/>
      <c r="C503" s="30" t="s">
        <v>201</v>
      </c>
      <c r="D503" s="30"/>
      <c r="E503" s="30"/>
      <c r="F503" s="39">
        <v>0.6</v>
      </c>
      <c r="G503" s="30" t="str">
        <f>CONCATENATE("USD,FLAT ",TEXT(F503,"0.00"))</f>
        <v>USD,FLAT 0.60</v>
      </c>
      <c r="H503" s="36">
        <f>K503/J503</f>
        <v>0.6</v>
      </c>
      <c r="I503" s="30" t="s">
        <v>22</v>
      </c>
      <c r="J503" s="32">
        <v>1</v>
      </c>
      <c r="K503" s="39">
        <f>J503*F503</f>
        <v>0.6</v>
      </c>
      <c r="L503" s="30" t="str">
        <f>TEXT(IFERROR(((K503-K504)/K504*100),"0.00"),"0.00")</f>
        <v>0.00</v>
      </c>
      <c r="M503" s="36">
        <f>(10+J503*3)</f>
        <v>13</v>
      </c>
      <c r="N503" s="35" t="s">
        <v>54</v>
      </c>
      <c r="O503" s="30" t="s">
        <v>213</v>
      </c>
      <c r="P503" s="30" t="s">
        <v>549</v>
      </c>
      <c r="Q503" s="30"/>
      <c r="R503" s="30"/>
    </row>
    <row r="504" spans="1:18" hidden="1" x14ac:dyDescent="0.35">
      <c r="A504" s="8"/>
      <c r="B504" s="8"/>
      <c r="C504" s="33" t="s">
        <v>196</v>
      </c>
      <c r="D504" s="33"/>
      <c r="E504" s="33"/>
      <c r="F504" s="33"/>
      <c r="G504" s="33"/>
      <c r="H504" s="38" t="str">
        <f>IFERROR(K504/J504,"0")</f>
        <v>0</v>
      </c>
      <c r="I504" s="33"/>
      <c r="J504" s="34"/>
      <c r="K504" s="40"/>
      <c r="L504" s="33"/>
      <c r="M504" s="33"/>
      <c r="N504" s="33"/>
      <c r="O504" s="33"/>
      <c r="P504" s="33"/>
      <c r="Q504" s="33"/>
      <c r="R504" s="33"/>
    </row>
    <row r="505" spans="1:18" hidden="1" x14ac:dyDescent="0.35">
      <c r="A505" s="8"/>
      <c r="B505" s="8"/>
      <c r="C505" s="43" t="s">
        <v>197</v>
      </c>
      <c r="D505" s="43"/>
      <c r="E505" s="43"/>
      <c r="F505" s="43"/>
      <c r="G505" s="43"/>
      <c r="H505" s="43"/>
      <c r="I505" s="43"/>
      <c r="J505" s="43"/>
      <c r="K505" s="45"/>
      <c r="L505" s="43"/>
      <c r="M505" s="43"/>
      <c r="N505" s="43"/>
      <c r="O505" s="43"/>
      <c r="P505" s="43"/>
      <c r="Q505" s="43"/>
      <c r="R505" s="43"/>
    </row>
    <row r="506" spans="1:18" hidden="1" x14ac:dyDescent="0.35">
      <c r="A506" s="8"/>
      <c r="B506" s="8"/>
      <c r="C506" s="44" t="s">
        <v>198</v>
      </c>
      <c r="D506" s="44"/>
      <c r="E506" s="44"/>
      <c r="F506" s="44"/>
      <c r="G506" s="44"/>
      <c r="H506" s="44"/>
      <c r="I506" s="44"/>
      <c r="J506" s="44"/>
      <c r="K506" s="46"/>
      <c r="L506" s="44"/>
      <c r="M506" s="44"/>
      <c r="N506" s="44"/>
      <c r="O506" s="44"/>
      <c r="P506" s="44"/>
      <c r="Q506" s="44"/>
      <c r="R506" s="44"/>
    </row>
    <row r="507" spans="1:18" hidden="1" x14ac:dyDescent="0.35">
      <c r="A507" s="59" t="s">
        <v>110</v>
      </c>
      <c r="B507" s="47"/>
      <c r="C507" s="30" t="s">
        <v>201</v>
      </c>
      <c r="D507" s="30"/>
      <c r="E507" s="30"/>
      <c r="F507" s="30">
        <v>16.670000000000002</v>
      </c>
      <c r="G507" s="30" t="str">
        <f>CONCATENATE("USD,FLAT ",TEXT(F507,"0.00"))</f>
        <v>USD,FLAT 16.67</v>
      </c>
      <c r="H507" s="36">
        <f>K507/J507</f>
        <v>16.670000000000002</v>
      </c>
      <c r="I507" s="30" t="s">
        <v>22</v>
      </c>
      <c r="J507" s="32">
        <v>1</v>
      </c>
      <c r="K507" s="39">
        <f>J507*F507</f>
        <v>16.670000000000002</v>
      </c>
      <c r="L507" s="30" t="str">
        <f>TEXT(IFERROR(((K507-K508)/K508*100),"0.00"),"0.00")</f>
        <v>0.00</v>
      </c>
      <c r="M507" s="36">
        <f>(10+J507*3)</f>
        <v>13</v>
      </c>
      <c r="N507" s="35" t="s">
        <v>54</v>
      </c>
      <c r="O507" s="30" t="s">
        <v>213</v>
      </c>
      <c r="P507" s="30" t="s">
        <v>549</v>
      </c>
      <c r="Q507" s="30"/>
      <c r="R507" s="30"/>
    </row>
    <row r="508" spans="1:18" hidden="1" x14ac:dyDescent="0.35">
      <c r="A508" s="8"/>
      <c r="B508" s="47"/>
      <c r="C508" s="33" t="s">
        <v>196</v>
      </c>
      <c r="D508" s="33"/>
      <c r="E508" s="33"/>
      <c r="F508" s="33"/>
      <c r="G508" s="33"/>
      <c r="H508" s="38" t="str">
        <f>IFERROR(K508/J508,"0")</f>
        <v>0</v>
      </c>
      <c r="I508" s="33"/>
      <c r="J508" s="34"/>
      <c r="K508" s="40"/>
      <c r="L508" s="33"/>
      <c r="M508" s="33"/>
      <c r="N508" s="33"/>
      <c r="O508" s="33"/>
      <c r="P508" s="33"/>
      <c r="Q508" s="33"/>
      <c r="R508" s="33"/>
    </row>
    <row r="509" spans="1:18" hidden="1" x14ac:dyDescent="0.35">
      <c r="A509" s="8"/>
      <c r="B509" s="47"/>
      <c r="C509" s="43" t="s">
        <v>197</v>
      </c>
      <c r="D509" s="43"/>
      <c r="E509" s="43"/>
      <c r="F509" s="43"/>
      <c r="G509" s="43"/>
      <c r="H509" s="43"/>
      <c r="I509" s="43"/>
      <c r="J509" s="43"/>
      <c r="K509" s="45"/>
      <c r="L509" s="43"/>
      <c r="M509" s="43"/>
      <c r="N509" s="43"/>
      <c r="O509" s="43"/>
      <c r="P509" s="43"/>
      <c r="Q509" s="43"/>
      <c r="R509" s="43"/>
    </row>
    <row r="510" spans="1:18" hidden="1" x14ac:dyDescent="0.35">
      <c r="A510" s="8"/>
      <c r="B510" s="47"/>
      <c r="C510" s="44" t="s">
        <v>198</v>
      </c>
      <c r="D510" s="44"/>
      <c r="E510" s="44"/>
      <c r="F510" s="44"/>
      <c r="G510" s="44"/>
      <c r="H510" s="44"/>
      <c r="I510" s="44"/>
      <c r="J510" s="44"/>
      <c r="K510" s="46"/>
      <c r="L510" s="44"/>
      <c r="M510" s="44"/>
      <c r="N510" s="44"/>
      <c r="O510" s="44"/>
      <c r="P510" s="44"/>
      <c r="Q510" s="44"/>
      <c r="R510" s="44"/>
    </row>
    <row r="512" spans="1:18" x14ac:dyDescent="0.35">
      <c r="A512" s="251" t="s">
        <v>221</v>
      </c>
      <c r="B512" s="252"/>
      <c r="C512" s="252"/>
      <c r="D512" s="252"/>
      <c r="E512" s="252"/>
      <c r="F512" s="252"/>
      <c r="G512" s="252"/>
      <c r="H512" s="252"/>
    </row>
    <row r="513" spans="1:12" x14ac:dyDescent="0.35">
      <c r="A513" s="24" t="s">
        <v>1</v>
      </c>
      <c r="B513" s="24" t="s">
        <v>0</v>
      </c>
      <c r="C513" s="24" t="s">
        <v>204</v>
      </c>
      <c r="D513" s="24" t="s">
        <v>216</v>
      </c>
      <c r="E513" s="24" t="s">
        <v>227</v>
      </c>
      <c r="F513" s="24" t="s">
        <v>228</v>
      </c>
      <c r="G513" s="24" t="s">
        <v>217</v>
      </c>
      <c r="H513" s="24" t="s">
        <v>218</v>
      </c>
    </row>
    <row r="514" spans="1:12" x14ac:dyDescent="0.35">
      <c r="A514" s="21"/>
      <c r="B514" s="22" t="s">
        <v>13</v>
      </c>
      <c r="C514" s="21" t="s">
        <v>219</v>
      </c>
      <c r="D514" s="55" t="e">
        <f>((E514-G514)/G514*100)</f>
        <v>#VALUE!</v>
      </c>
      <c r="E514" s="56" t="e">
        <f>I514</f>
        <v>#VALUE!</v>
      </c>
      <c r="F514" s="56" t="e">
        <f>J514</f>
        <v>#VALUE!</v>
      </c>
      <c r="G514" s="56" t="str">
        <f>K444</f>
        <v>$648000</v>
      </c>
      <c r="H514" s="56" t="str">
        <f>M444</f>
        <v>$144010</v>
      </c>
      <c r="I514" s="48" t="e">
        <f>"$"&amp;(K443+(C204+C205))</f>
        <v>#VALUE!</v>
      </c>
      <c r="J514" s="48" t="e">
        <f>"$"&amp;(M443+(C206+C207))</f>
        <v>#VALUE!</v>
      </c>
    </row>
    <row r="516" spans="1:12" x14ac:dyDescent="0.35">
      <c r="A516" s="251" t="s">
        <v>220</v>
      </c>
      <c r="B516" s="252"/>
      <c r="C516" s="252"/>
      <c r="D516" s="252"/>
      <c r="E516" s="252"/>
      <c r="F516" s="252"/>
      <c r="G516" s="252"/>
      <c r="H516" s="252"/>
      <c r="I516" s="252"/>
      <c r="J516" s="252"/>
    </row>
    <row r="517" spans="1:12" x14ac:dyDescent="0.35">
      <c r="A517" s="253" t="s">
        <v>222</v>
      </c>
      <c r="B517" s="262" t="s">
        <v>225</v>
      </c>
      <c r="C517" s="263"/>
      <c r="D517" s="263"/>
      <c r="E517" s="264"/>
      <c r="F517" s="262" t="s">
        <v>226</v>
      </c>
      <c r="G517" s="263"/>
      <c r="H517" s="263"/>
      <c r="I517" s="264"/>
      <c r="J517" s="265" t="s">
        <v>224</v>
      </c>
    </row>
    <row r="518" spans="1:12" x14ac:dyDescent="0.35">
      <c r="A518" s="254"/>
      <c r="B518" s="24" t="s">
        <v>187</v>
      </c>
      <c r="C518" s="24" t="s">
        <v>189</v>
      </c>
      <c r="D518" s="24" t="s">
        <v>223</v>
      </c>
      <c r="E518" s="24" t="s">
        <v>229</v>
      </c>
      <c r="F518" s="24" t="s">
        <v>187</v>
      </c>
      <c r="G518" s="24" t="s">
        <v>189</v>
      </c>
      <c r="H518" s="24" t="s">
        <v>223</v>
      </c>
      <c r="I518" s="24" t="s">
        <v>229</v>
      </c>
      <c r="J518" s="266"/>
    </row>
    <row r="519" spans="1:12" x14ac:dyDescent="0.35">
      <c r="A519" s="21"/>
      <c r="B519" s="56" t="e">
        <f>E514</f>
        <v>#VALUE!</v>
      </c>
      <c r="C519" s="56" t="e">
        <f>F514</f>
        <v>#VALUE!</v>
      </c>
      <c r="D519" s="55" t="e">
        <f>"$"&amp;(B519-C519)</f>
        <v>#VALUE!</v>
      </c>
      <c r="E519" s="55" t="e">
        <f>((B519-C519)/B519*100)</f>
        <v>#VALUE!</v>
      </c>
      <c r="F519" s="56" t="str">
        <f>G514</f>
        <v>$648000</v>
      </c>
      <c r="G519" s="56" t="str">
        <f>H514</f>
        <v>$144010</v>
      </c>
      <c r="H519" s="55" t="e">
        <f>"$"&amp;(F519-G519)</f>
        <v>#VALUE!</v>
      </c>
      <c r="I519" s="55" t="e">
        <f>((F519-G519)/F519*100)</f>
        <v>#VALUE!</v>
      </c>
      <c r="J519" s="55" t="e">
        <f>((B519-F519)/F519*100)</f>
        <v>#VALUE!</v>
      </c>
    </row>
    <row r="521" spans="1:12" x14ac:dyDescent="0.35">
      <c r="A521" s="57" t="s">
        <v>153</v>
      </c>
      <c r="B521" s="58"/>
      <c r="C521" s="58"/>
    </row>
    <row r="522" spans="1:12" x14ac:dyDescent="0.35">
      <c r="A522" s="24" t="s">
        <v>153</v>
      </c>
      <c r="B522" s="24" t="s">
        <v>162</v>
      </c>
      <c r="C522" s="24" t="s">
        <v>163</v>
      </c>
      <c r="D522" s="24" t="s">
        <v>542</v>
      </c>
      <c r="E522" s="24" t="s">
        <v>137</v>
      </c>
      <c r="F522" s="24" t="s">
        <v>55</v>
      </c>
      <c r="G522" s="24" t="s">
        <v>56</v>
      </c>
      <c r="H522" s="24" t="s">
        <v>543</v>
      </c>
      <c r="I522" s="24" t="s">
        <v>544</v>
      </c>
      <c r="J522" s="24" t="s">
        <v>158</v>
      </c>
      <c r="K522" s="24" t="s">
        <v>134</v>
      </c>
      <c r="L522" s="24" t="s">
        <v>132</v>
      </c>
    </row>
    <row r="523" spans="1:12" ht="58" x14ac:dyDescent="0.35">
      <c r="A523" s="26" t="s">
        <v>657</v>
      </c>
      <c r="B523" s="27" t="s">
        <v>240</v>
      </c>
      <c r="C523" s="27" t="s">
        <v>240</v>
      </c>
      <c r="D523" s="27" t="s">
        <v>148</v>
      </c>
      <c r="E523" s="27" t="s">
        <v>148</v>
      </c>
      <c r="F523" s="27"/>
      <c r="G523" s="27"/>
      <c r="H523" s="27"/>
      <c r="I523" s="27"/>
      <c r="J523" s="165">
        <f ca="1">TODAY()</f>
        <v>44676</v>
      </c>
      <c r="K523" s="165" t="str">
        <f ca="1">E102</f>
        <v>04-25-2022</v>
      </c>
      <c r="L523" s="27" t="s">
        <v>155</v>
      </c>
    </row>
    <row r="525" spans="1:12" x14ac:dyDescent="0.35">
      <c r="A525" s="57" t="s">
        <v>153</v>
      </c>
      <c r="B525" s="58"/>
      <c r="C525" s="58"/>
    </row>
    <row r="526" spans="1:12" x14ac:dyDescent="0.35">
      <c r="A526" s="24" t="s">
        <v>153</v>
      </c>
      <c r="B526" s="24" t="s">
        <v>162</v>
      </c>
      <c r="C526" s="24" t="s">
        <v>163</v>
      </c>
      <c r="D526" s="24" t="s">
        <v>542</v>
      </c>
      <c r="E526" s="24" t="s">
        <v>137</v>
      </c>
      <c r="F526" s="24" t="s">
        <v>55</v>
      </c>
      <c r="G526" s="24" t="s">
        <v>56</v>
      </c>
      <c r="H526" s="24" t="s">
        <v>543</v>
      </c>
      <c r="I526" s="24" t="s">
        <v>544</v>
      </c>
      <c r="J526" s="24" t="s">
        <v>158</v>
      </c>
      <c r="K526" s="24" t="s">
        <v>134</v>
      </c>
      <c r="L526" s="24" t="s">
        <v>132</v>
      </c>
    </row>
    <row r="527" spans="1:12" ht="58" x14ac:dyDescent="0.35">
      <c r="A527" s="26" t="s">
        <v>657</v>
      </c>
      <c r="B527" s="27" t="s">
        <v>659</v>
      </c>
      <c r="C527" s="27" t="s">
        <v>659</v>
      </c>
      <c r="D527" s="27" t="s">
        <v>148</v>
      </c>
      <c r="E527" s="27" t="s">
        <v>148</v>
      </c>
      <c r="F527" s="27"/>
      <c r="G527" s="27"/>
      <c r="H527" s="27"/>
      <c r="I527" s="165">
        <f ca="1">TODAY()</f>
        <v>44676</v>
      </c>
      <c r="J527" s="165">
        <f ca="1">TODAY()</f>
        <v>44676</v>
      </c>
      <c r="K527" s="165" t="str">
        <f>E106</f>
        <v>United States Dollars</v>
      </c>
      <c r="L527" s="27" t="s">
        <v>155</v>
      </c>
    </row>
    <row r="529" spans="1:13" x14ac:dyDescent="0.35">
      <c r="A529" s="57" t="s">
        <v>650</v>
      </c>
      <c r="B529" s="58"/>
      <c r="C529" s="58"/>
    </row>
    <row r="530" spans="1:13" x14ac:dyDescent="0.35">
      <c r="A530" s="24" t="s">
        <v>55</v>
      </c>
      <c r="B530" s="24" t="s">
        <v>651</v>
      </c>
      <c r="C530" s="24" t="s">
        <v>652</v>
      </c>
    </row>
    <row r="531" spans="1:13" x14ac:dyDescent="0.35">
      <c r="A531" s="165" t="str">
        <f ca="1">E102</f>
        <v>04-25-2022</v>
      </c>
      <c r="B531" s="27"/>
      <c r="C531" s="27" t="s">
        <v>653</v>
      </c>
    </row>
    <row r="532" spans="1:13" x14ac:dyDescent="0.35">
      <c r="A532" s="57" t="s">
        <v>153</v>
      </c>
      <c r="B532" s="58"/>
      <c r="C532" s="58"/>
    </row>
    <row r="533" spans="1:13" x14ac:dyDescent="0.35">
      <c r="A533" s="24" t="s">
        <v>153</v>
      </c>
      <c r="B533" s="24" t="s">
        <v>162</v>
      </c>
      <c r="C533" s="24" t="s">
        <v>163</v>
      </c>
      <c r="D533" s="24" t="s">
        <v>542</v>
      </c>
      <c r="E533" s="24" t="s">
        <v>137</v>
      </c>
      <c r="F533" s="24" t="s">
        <v>55</v>
      </c>
      <c r="G533" s="24" t="s">
        <v>56</v>
      </c>
      <c r="H533" s="24" t="s">
        <v>543</v>
      </c>
      <c r="I533" s="24" t="s">
        <v>544</v>
      </c>
      <c r="J533" s="24" t="s">
        <v>158</v>
      </c>
      <c r="K533" s="24" t="s">
        <v>134</v>
      </c>
      <c r="L533" s="24" t="s">
        <v>132</v>
      </c>
    </row>
    <row r="534" spans="1:13" ht="58" x14ac:dyDescent="0.35">
      <c r="A534" s="26" t="s">
        <v>657</v>
      </c>
      <c r="B534" s="27" t="s">
        <v>654</v>
      </c>
      <c r="C534" s="27" t="s">
        <v>659</v>
      </c>
      <c r="D534" s="27" t="s">
        <v>148</v>
      </c>
      <c r="E534" s="27" t="s">
        <v>148</v>
      </c>
      <c r="F534" s="165" t="str">
        <f ca="1">A531</f>
        <v>04-25-2022</v>
      </c>
      <c r="G534" s="27"/>
      <c r="H534" s="165">
        <f ca="1">TODAY()</f>
        <v>44676</v>
      </c>
      <c r="I534" s="165">
        <f ca="1">TODAY()</f>
        <v>44676</v>
      </c>
      <c r="J534" s="165">
        <f ca="1">TODAY()</f>
        <v>44676</v>
      </c>
      <c r="K534" s="165" t="str">
        <f ca="1">E102</f>
        <v>04-25-2022</v>
      </c>
      <c r="L534" s="27" t="s">
        <v>155</v>
      </c>
    </row>
    <row r="536" spans="1:13" x14ac:dyDescent="0.35">
      <c r="A536" s="57" t="s">
        <v>655</v>
      </c>
      <c r="B536" s="58"/>
      <c r="C536" s="58"/>
    </row>
    <row r="537" spans="1:13" x14ac:dyDescent="0.35">
      <c r="A537" s="24" t="s">
        <v>55</v>
      </c>
      <c r="B537" s="24" t="s">
        <v>651</v>
      </c>
      <c r="C537" s="24" t="s">
        <v>652</v>
      </c>
    </row>
    <row r="538" spans="1:13" x14ac:dyDescent="0.35">
      <c r="A538" s="165" t="str">
        <f ca="1">E102</f>
        <v>04-25-2022</v>
      </c>
      <c r="B538" s="27"/>
      <c r="C538" s="27" t="s">
        <v>653</v>
      </c>
    </row>
    <row r="539" spans="1:13" x14ac:dyDescent="0.35">
      <c r="A539" s="57" t="s">
        <v>153</v>
      </c>
      <c r="B539" s="58"/>
      <c r="C539" s="58"/>
    </row>
    <row r="540" spans="1:13" x14ac:dyDescent="0.35">
      <c r="A540" s="24" t="s">
        <v>153</v>
      </c>
      <c r="B540" s="24" t="s">
        <v>162</v>
      </c>
      <c r="C540" s="24" t="s">
        <v>163</v>
      </c>
      <c r="D540" s="24" t="s">
        <v>542</v>
      </c>
      <c r="E540" s="24" t="s">
        <v>137</v>
      </c>
      <c r="F540" s="24" t="s">
        <v>55</v>
      </c>
      <c r="G540" s="24" t="s">
        <v>56</v>
      </c>
      <c r="H540" s="24" t="s">
        <v>543</v>
      </c>
      <c r="I540" s="24" t="s">
        <v>544</v>
      </c>
      <c r="J540" s="24" t="s">
        <v>158</v>
      </c>
      <c r="K540" s="24" t="s">
        <v>134</v>
      </c>
      <c r="L540" s="24" t="s">
        <v>132</v>
      </c>
      <c r="M540" s="24" t="s">
        <v>159</v>
      </c>
    </row>
    <row r="541" spans="1:13" ht="58" x14ac:dyDescent="0.35">
      <c r="A541" s="26" t="s">
        <v>657</v>
      </c>
      <c r="B541" s="27" t="s">
        <v>660</v>
      </c>
      <c r="C541" s="27" t="s">
        <v>659</v>
      </c>
      <c r="D541" s="27" t="s">
        <v>148</v>
      </c>
      <c r="E541" s="27" t="s">
        <v>148</v>
      </c>
      <c r="F541" s="165" t="str">
        <f ca="1">E102</f>
        <v>04-25-2022</v>
      </c>
      <c r="G541" s="27"/>
      <c r="H541" s="165" t="str">
        <f ca="1">E102</f>
        <v>04-25-2022</v>
      </c>
      <c r="I541" s="165" t="str">
        <f ca="1">E102</f>
        <v>04-25-2022</v>
      </c>
      <c r="J541" s="165" t="str">
        <f ca="1">E102</f>
        <v>04-25-2022</v>
      </c>
      <c r="K541" s="165" t="str">
        <f ca="1">E102</f>
        <v>04-25-2022</v>
      </c>
      <c r="L541" s="27" t="s">
        <v>155</v>
      </c>
      <c r="M541" s="242">
        <f ca="1">EDATE(TODAY(),12)</f>
        <v>45041</v>
      </c>
    </row>
    <row r="543" spans="1:13" x14ac:dyDescent="0.35">
      <c r="A543" s="249" t="s">
        <v>661</v>
      </c>
      <c r="B543" s="250"/>
      <c r="C543" s="250"/>
      <c r="D543" s="250"/>
      <c r="E543" s="250"/>
      <c r="F543" s="250"/>
      <c r="G543" s="250"/>
      <c r="H543" s="250"/>
      <c r="I543" s="250"/>
      <c r="J543" s="250"/>
      <c r="K543" s="250"/>
      <c r="L543" s="250"/>
    </row>
    <row r="544" spans="1:13" x14ac:dyDescent="0.35">
      <c r="A544" s="24" t="s">
        <v>662</v>
      </c>
      <c r="B544" s="24" t="s">
        <v>663</v>
      </c>
      <c r="C544" s="24" t="s">
        <v>55</v>
      </c>
      <c r="D544" s="24" t="s">
        <v>651</v>
      </c>
      <c r="E544" s="24" t="s">
        <v>664</v>
      </c>
    </row>
    <row r="545" spans="1:9" x14ac:dyDescent="0.35">
      <c r="A545" s="26">
        <v>3353104474</v>
      </c>
      <c r="B545" s="27" t="s">
        <v>54</v>
      </c>
      <c r="C545" s="229">
        <f ca="1">H534</f>
        <v>44676</v>
      </c>
      <c r="D545" s="27"/>
      <c r="E545" s="26" t="s">
        <v>665</v>
      </c>
    </row>
    <row r="547" spans="1:9" x14ac:dyDescent="0.35">
      <c r="A547" s="24" t="s">
        <v>59</v>
      </c>
      <c r="B547" s="24" t="s">
        <v>124</v>
      </c>
      <c r="C547" s="24" t="s">
        <v>666</v>
      </c>
      <c r="D547" s="24" t="s">
        <v>667</v>
      </c>
      <c r="E547" s="24" t="s">
        <v>319</v>
      </c>
      <c r="F547" s="24" t="s">
        <v>673</v>
      </c>
      <c r="G547" s="24" t="s">
        <v>55</v>
      </c>
      <c r="H547" s="24" t="s">
        <v>651</v>
      </c>
      <c r="I547" s="24" t="s">
        <v>668</v>
      </c>
    </row>
    <row r="548" spans="1:9" x14ac:dyDescent="0.35">
      <c r="A548" s="1" t="s">
        <v>100</v>
      </c>
      <c r="B548" s="232" t="str">
        <f>B98</f>
        <v>3077354705</v>
      </c>
      <c r="C548" s="230" t="s">
        <v>171</v>
      </c>
      <c r="D548" s="240" t="s">
        <v>685</v>
      </c>
      <c r="E548" s="1" t="s">
        <v>4</v>
      </c>
      <c r="F548" s="231" t="s">
        <v>325</v>
      </c>
      <c r="G548" s="233" t="s">
        <v>674</v>
      </c>
      <c r="H548" s="234" t="str">
        <f ca="1">TEXT((TODAY()+2),"YYYY-MM-DD")</f>
        <v>2022-04-27</v>
      </c>
      <c r="I548" s="1" t="s">
        <v>669</v>
      </c>
    </row>
    <row r="549" spans="1:9" x14ac:dyDescent="0.35">
      <c r="A549" s="1" t="s">
        <v>100</v>
      </c>
      <c r="B549" s="232" t="str">
        <f>B98</f>
        <v>3077354705</v>
      </c>
      <c r="C549" s="230" t="s">
        <v>171</v>
      </c>
      <c r="D549" s="240" t="s">
        <v>675</v>
      </c>
      <c r="E549" s="1" t="s">
        <v>4</v>
      </c>
      <c r="F549" s="231" t="s">
        <v>325</v>
      </c>
      <c r="G549" s="234" t="str">
        <f ca="1">TEXT((TODAY()+3),"YYYY-MM-DD")</f>
        <v>2022-04-28</v>
      </c>
      <c r="H549" s="233"/>
      <c r="I549" s="1" t="s">
        <v>669</v>
      </c>
    </row>
    <row r="550" spans="1:9" x14ac:dyDescent="0.35">
      <c r="A550" s="1" t="s">
        <v>101</v>
      </c>
      <c r="B550" s="232" t="str">
        <f>B98</f>
        <v>3077354705</v>
      </c>
      <c r="C550" s="230" t="s">
        <v>171</v>
      </c>
      <c r="D550" s="241" t="s">
        <v>121</v>
      </c>
      <c r="E550" s="1" t="s">
        <v>4</v>
      </c>
      <c r="F550" s="231" t="s">
        <v>325</v>
      </c>
      <c r="G550" s="233" t="s">
        <v>674</v>
      </c>
      <c r="H550" s="233" t="str">
        <f ca="1">TEXT((TODAY()-1),"YYYY-MM-DD")</f>
        <v>2022-04-24</v>
      </c>
      <c r="I550" s="1" t="s">
        <v>669</v>
      </c>
    </row>
    <row r="551" spans="1:9" x14ac:dyDescent="0.35">
      <c r="A551" s="1" t="s">
        <v>101</v>
      </c>
      <c r="B551" s="232" t="str">
        <f>B98</f>
        <v>3077354705</v>
      </c>
      <c r="C551" s="230" t="s">
        <v>171</v>
      </c>
      <c r="D551" s="240" t="s">
        <v>676</v>
      </c>
      <c r="E551" s="1" t="s">
        <v>4</v>
      </c>
      <c r="F551" s="231" t="s">
        <v>325</v>
      </c>
      <c r="G551" s="233" t="str">
        <f ca="1">TEXT((TODAY()),"YYYY-MM-DD")</f>
        <v>2022-04-25</v>
      </c>
      <c r="H551" s="233" t="str">
        <f ca="1">TEXT((TODAY()+2),"YYYY-MM-DD")</f>
        <v>2022-04-27</v>
      </c>
      <c r="I551" s="1" t="s">
        <v>669</v>
      </c>
    </row>
    <row r="552" spans="1:9" x14ac:dyDescent="0.35">
      <c r="A552" s="1" t="s">
        <v>101</v>
      </c>
      <c r="B552" s="235" t="str">
        <f>B98</f>
        <v>3077354705</v>
      </c>
      <c r="C552" s="230" t="s">
        <v>171</v>
      </c>
      <c r="D552" s="240" t="s">
        <v>677</v>
      </c>
      <c r="E552" s="1" t="s">
        <v>4</v>
      </c>
      <c r="F552" s="231" t="s">
        <v>325</v>
      </c>
      <c r="G552" s="233" t="str">
        <f ca="1">TEXT((TODAY()+3),"YYYY-MM-DD")</f>
        <v>2022-04-28</v>
      </c>
      <c r="H552" s="233"/>
      <c r="I552" s="1" t="s">
        <v>669</v>
      </c>
    </row>
    <row r="553" spans="1:9" x14ac:dyDescent="0.35">
      <c r="A553" s="1" t="s">
        <v>207</v>
      </c>
      <c r="B553" s="232" t="str">
        <f>B98</f>
        <v>3077354705</v>
      </c>
      <c r="C553" s="230" t="s">
        <v>171</v>
      </c>
      <c r="D553" s="241" t="s">
        <v>678</v>
      </c>
      <c r="E553" s="1" t="s">
        <v>4</v>
      </c>
      <c r="F553" s="231" t="s">
        <v>325</v>
      </c>
      <c r="G553" s="233" t="str">
        <f ca="1">TEXT(TODAY(),"YYYY-MM-DD")</f>
        <v>2022-04-25</v>
      </c>
      <c r="H553" s="233" t="str">
        <f ca="1">TEXT((TODAY()+2),"YYYY-MM-DD")</f>
        <v>2022-04-27</v>
      </c>
      <c r="I553" s="1" t="s">
        <v>670</v>
      </c>
    </row>
    <row r="554" spans="1:9" x14ac:dyDescent="0.35">
      <c r="A554" s="1" t="s">
        <v>207</v>
      </c>
      <c r="B554" s="232" t="str">
        <f>B98</f>
        <v>3077354705</v>
      </c>
      <c r="C554" s="230" t="s">
        <v>171</v>
      </c>
      <c r="D554" s="240" t="s">
        <v>679</v>
      </c>
      <c r="E554" s="1" t="s">
        <v>4</v>
      </c>
      <c r="F554" s="231" t="s">
        <v>325</v>
      </c>
      <c r="G554" s="233" t="str">
        <f ca="1">TEXT((TODAY()+3),"YYYY-MM-DD")</f>
        <v>2022-04-28</v>
      </c>
      <c r="H554" s="233"/>
      <c r="I554" s="1" t="s">
        <v>670</v>
      </c>
    </row>
    <row r="555" spans="1:9" x14ac:dyDescent="0.35">
      <c r="A555" s="1" t="s">
        <v>106</v>
      </c>
      <c r="B555" s="232" t="str">
        <f>B98</f>
        <v>3077354705</v>
      </c>
      <c r="C555" s="230" t="s">
        <v>171</v>
      </c>
      <c r="D555" s="240" t="s">
        <v>680</v>
      </c>
      <c r="E555" s="1" t="s">
        <v>4</v>
      </c>
      <c r="F555" s="231" t="s">
        <v>325</v>
      </c>
      <c r="G555" s="233" t="str">
        <f ca="1">TEXT(TODAY(),"YYYY-MM-DD")</f>
        <v>2022-04-25</v>
      </c>
      <c r="H555" s="233"/>
      <c r="I555" s="1" t="s">
        <v>671</v>
      </c>
    </row>
    <row r="556" spans="1:9" x14ac:dyDescent="0.35">
      <c r="A556" s="1" t="s">
        <v>107</v>
      </c>
      <c r="B556" s="232" t="str">
        <f>B98</f>
        <v>3077354705</v>
      </c>
      <c r="C556" s="230" t="s">
        <v>171</v>
      </c>
      <c r="D556" s="241" t="s">
        <v>681</v>
      </c>
      <c r="E556" s="1" t="s">
        <v>4</v>
      </c>
      <c r="F556" s="231" t="s">
        <v>325</v>
      </c>
      <c r="G556" s="233" t="str">
        <f ca="1">TEXT(TODAY(),"YYYY-MM-DD")</f>
        <v>2022-04-25</v>
      </c>
      <c r="H556" s="233"/>
      <c r="I556" s="1" t="s">
        <v>671</v>
      </c>
    </row>
    <row r="557" spans="1:9" x14ac:dyDescent="0.35">
      <c r="A557" s="1" t="s">
        <v>110</v>
      </c>
      <c r="B557" s="232" t="str">
        <f>B98</f>
        <v>3077354705</v>
      </c>
      <c r="C557" s="230" t="s">
        <v>171</v>
      </c>
      <c r="D557" s="240" t="s">
        <v>682</v>
      </c>
      <c r="E557" s="1" t="s">
        <v>4</v>
      </c>
      <c r="F557" s="231" t="s">
        <v>325</v>
      </c>
      <c r="G557" s="233" t="str">
        <f ca="1">TEXT(TODAY(),"YYYY-MM-DD")</f>
        <v>2022-04-25</v>
      </c>
      <c r="H557" s="233"/>
      <c r="I557" s="1" t="s">
        <v>671</v>
      </c>
    </row>
    <row r="558" spans="1:9" x14ac:dyDescent="0.35">
      <c r="A558" s="1" t="s">
        <v>103</v>
      </c>
      <c r="B558" s="232" t="str">
        <f>B98</f>
        <v>3077354705</v>
      </c>
      <c r="C558" s="230" t="s">
        <v>213</v>
      </c>
      <c r="D558" s="240" t="s">
        <v>345</v>
      </c>
      <c r="E558" s="1" t="s">
        <v>4</v>
      </c>
      <c r="F558" s="231" t="s">
        <v>325</v>
      </c>
      <c r="G558" s="234" t="str">
        <f ca="1">TEXT((TODAY()),"YYYY-MM-DD")</f>
        <v>2022-04-25</v>
      </c>
      <c r="H558" s="233"/>
      <c r="I558" s="1" t="s">
        <v>672</v>
      </c>
    </row>
    <row r="559" spans="1:9" x14ac:dyDescent="0.35">
      <c r="A559" s="1"/>
      <c r="B559" s="232" t="str">
        <f>B98</f>
        <v>3077354705</v>
      </c>
      <c r="C559" s="1"/>
      <c r="D559" s="241" t="s">
        <v>346</v>
      </c>
      <c r="E559" s="1" t="s">
        <v>4</v>
      </c>
      <c r="F559" s="231" t="s">
        <v>325</v>
      </c>
      <c r="G559" s="234" t="str">
        <f ca="1">TEXT((TODAY()),"YYYY-MM-DD")</f>
        <v>2022-04-25</v>
      </c>
      <c r="H559" s="233"/>
      <c r="I559" s="1" t="s">
        <v>672</v>
      </c>
    </row>
    <row r="560" spans="1:9" x14ac:dyDescent="0.35">
      <c r="A560" s="1"/>
      <c r="B560" s="232" t="str">
        <f>B98</f>
        <v>3077354705</v>
      </c>
      <c r="C560" s="1"/>
      <c r="D560" s="240" t="s">
        <v>347</v>
      </c>
      <c r="E560" s="1" t="s">
        <v>4</v>
      </c>
      <c r="F560" s="231" t="s">
        <v>325</v>
      </c>
      <c r="G560" s="234" t="str">
        <f ca="1">TEXT((TODAY()),"YYYY-MM-DD")</f>
        <v>2022-04-25</v>
      </c>
      <c r="H560" s="233"/>
      <c r="I560" s="1" t="s">
        <v>672</v>
      </c>
    </row>
    <row r="561" spans="1:9" x14ac:dyDescent="0.35">
      <c r="A561" s="1" t="s">
        <v>103</v>
      </c>
      <c r="B561" s="232" t="str">
        <f>B98</f>
        <v>3077354705</v>
      </c>
      <c r="C561" s="230" t="s">
        <v>171</v>
      </c>
      <c r="D561" s="240" t="s">
        <v>683</v>
      </c>
      <c r="E561" s="1" t="s">
        <v>4</v>
      </c>
      <c r="F561" s="231" t="s">
        <v>325</v>
      </c>
      <c r="G561" s="233" t="str">
        <f ca="1">TEXT((TODAY()+3),"YYYY-MM-DD")</f>
        <v>2022-04-28</v>
      </c>
      <c r="H561" s="233"/>
      <c r="I561" s="1" t="s">
        <v>672</v>
      </c>
    </row>
    <row r="562" spans="1:9" x14ac:dyDescent="0.35">
      <c r="A562" s="1"/>
      <c r="B562" s="232" t="str">
        <f>B98</f>
        <v>3077354705</v>
      </c>
      <c r="C562" s="1"/>
      <c r="D562" s="241" t="s">
        <v>684</v>
      </c>
      <c r="E562" s="1" t="s">
        <v>4</v>
      </c>
      <c r="F562" s="231" t="s">
        <v>325</v>
      </c>
      <c r="G562" s="233" t="str">
        <f ca="1">TEXT((TODAY()+3),"YYYY-MM-DD")</f>
        <v>2022-04-28</v>
      </c>
      <c r="H562" s="233"/>
      <c r="I562" s="1" t="s">
        <v>672</v>
      </c>
    </row>
    <row r="563" spans="1:9" x14ac:dyDescent="0.35">
      <c r="A563" s="1"/>
      <c r="B563" s="232" t="str">
        <f>B98</f>
        <v>3077354705</v>
      </c>
      <c r="C563" s="1"/>
      <c r="D563" s="240" t="s">
        <v>347</v>
      </c>
      <c r="E563" s="1" t="s">
        <v>4</v>
      </c>
      <c r="F563" s="231" t="s">
        <v>325</v>
      </c>
      <c r="G563" s="233" t="str">
        <f ca="1">TEXT((TODAY()+3),"YYYY-MM-DD")</f>
        <v>2022-04-28</v>
      </c>
      <c r="H563" s="233"/>
      <c r="I563" s="1" t="s">
        <v>672</v>
      </c>
    </row>
    <row r="569" spans="1:9" x14ac:dyDescent="0.35">
      <c r="F569" t="e">
        <f ca="1">TEXT((EDATE(E102,3)-1),"YYYY-MM-DD")</f>
        <v>#VALUE!</v>
      </c>
    </row>
  </sheetData>
  <autoFilter ref="A354:R354"/>
  <mergeCells count="73">
    <mergeCell ref="A300:H300"/>
    <mergeCell ref="A94:K94"/>
    <mergeCell ref="A96:D96"/>
    <mergeCell ref="A100:R100"/>
    <mergeCell ref="A31:C31"/>
    <mergeCell ref="A35:J35"/>
    <mergeCell ref="A62:D62"/>
    <mergeCell ref="A67:D67"/>
    <mergeCell ref="A72:I72"/>
    <mergeCell ref="A213:A214"/>
    <mergeCell ref="A226:E226"/>
    <mergeCell ref="A194:J194"/>
    <mergeCell ref="A104:R104"/>
    <mergeCell ref="A202:H202"/>
    <mergeCell ref="A195:A196"/>
    <mergeCell ref="A224:L224"/>
    <mergeCell ref="A296:J296"/>
    <mergeCell ref="A112:E112"/>
    <mergeCell ref="A119:E119"/>
    <mergeCell ref="J297:J298"/>
    <mergeCell ref="A190:H190"/>
    <mergeCell ref="A199:R199"/>
    <mergeCell ref="A208:R208"/>
    <mergeCell ref="A212:J212"/>
    <mergeCell ref="B195:E195"/>
    <mergeCell ref="A211:E211"/>
    <mergeCell ref="A297:A298"/>
    <mergeCell ref="B297:E297"/>
    <mergeCell ref="F297:I297"/>
    <mergeCell ref="A220:R220"/>
    <mergeCell ref="A317:C317"/>
    <mergeCell ref="A1:J1"/>
    <mergeCell ref="B2:E2"/>
    <mergeCell ref="A6:J6"/>
    <mergeCell ref="A11:H11"/>
    <mergeCell ref="A16:G16"/>
    <mergeCell ref="F213:I213"/>
    <mergeCell ref="A108:E108"/>
    <mergeCell ref="B213:E213"/>
    <mergeCell ref="F195:I195"/>
    <mergeCell ref="J213:J214"/>
    <mergeCell ref="A118:E118"/>
    <mergeCell ref="J195:J196"/>
    <mergeCell ref="A82:I82"/>
    <mergeCell ref="A315:C315"/>
    <mergeCell ref="A216:H216"/>
    <mergeCell ref="A342:H342"/>
    <mergeCell ref="A351:E351"/>
    <mergeCell ref="A441:E441"/>
    <mergeCell ref="A428:H428"/>
    <mergeCell ref="F425:H425"/>
    <mergeCell ref="A425:A426"/>
    <mergeCell ref="B425:E425"/>
    <mergeCell ref="A543:L543"/>
    <mergeCell ref="A349:L349"/>
    <mergeCell ref="A353:E353"/>
    <mergeCell ref="A435:C435"/>
    <mergeCell ref="A437:C437"/>
    <mergeCell ref="A516:J516"/>
    <mergeCell ref="A517:A518"/>
    <mergeCell ref="B517:E517"/>
    <mergeCell ref="F517:I517"/>
    <mergeCell ref="J517:J518"/>
    <mergeCell ref="A512:H512"/>
    <mergeCell ref="A440:E440"/>
    <mergeCell ref="I425:L425"/>
    <mergeCell ref="A424:J424"/>
    <mergeCell ref="A322:E322"/>
    <mergeCell ref="A338:J338"/>
    <mergeCell ref="A339:A340"/>
    <mergeCell ref="B339:E339"/>
    <mergeCell ref="A321:L321"/>
    <mergeCell ref="A324:E324"/>
  </mergeCells>
  <dataValidations disablePrompts="1" count="4">
    <dataValidation type="list" allowBlank="1" showInputMessage="1" showErrorMessage="1" sqref="L102:N102 N541 N523 N531 N527 N534 N538">
      <formula1>"Yes,No"</formula1>
    </dataValidation>
    <dataValidation type="list" allowBlank="1" showInputMessage="1" showErrorMessage="1" sqref="C126:C128 C130:C132 C122 C144:C146 C148:C150 C152:C154 C158:C160 C178:C180 C182:C184 C186:C188 C162:C164 C166:C168 C170:C172 C174:C176 C156 C142 C124 C134:C136 C138:C140 C231 C11 C237:C239 C277:C279 C251:C253 C273:C275 C255:C257 C229 C259:C261 C35 C265:C267 C285:C287 C289:C291 C293:C295 C269:C271 C281:C283 C241:C243 C263 C249 C233:C235 C245:C247 C62 C358 C372:C374 C404:C406 C378:C380 C400:C402 C382:C384 C356 C386:C388 C392:C394 C412:C414 C416:C418 C420:C422 C396:C398 C408:C410 C364:C366 C390 C376 C360:C362 C368:C370 C314 C460:C462 C456:C458 C329:C331 C333:C335 C327 C448:C450 C452:C454 C444 C466:C468 C470:C472 C474:C476 C480:C482 C500:C502 C504:C506 C508:C510 C484:C486 C488:C490 C492:C494 C496:C498 C478 C464 C446 C337">
      <formula1>"Proposed,Original,Seasonal,Recommended"</formula1>
    </dataValidation>
    <dataValidation type="list" allowBlank="1" showInputMessage="1" showErrorMessage="1" sqref="C125 C129 C133 C143 C147 C151 C157 C161 C177 C181 C185 C165 C169 C173 C155 C141 C123 C121 C137 C228 C230 C16 C280 C31 C276 C254 C258 C264 C268 C250 C284 C288 C292 C272 C262 C6 C248 C244 C232 C236 C240 C355 C357 C407 C403 C381 C385 C391 C395 C377 C411 C415 C419 C399 C389 C375 C371 C359 C363 C367 C313 C328 C332 C336 C326 C447 C451 C455 C465 C469 C473 C479 C483 C499 C503 C507 C487 C491 C495 C477 C463 C445 C443 C459">
      <formula1>"Projected,Original,Seasonal,Recommended"</formula1>
    </dataValidation>
    <dataValidation type="list" allowBlank="1" showInputMessage="1" showErrorMessage="1" sqref="C192 C218 C302 C430 C514 C344">
      <formula1>"APPROVED, PENDING FOR APPROVAL, ERROR, ,"</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366"/>
  <sheetViews>
    <sheetView zoomScale="70" zoomScaleNormal="70" workbookViewId="0">
      <selection activeCell="A8" sqref="A8"/>
    </sheetView>
  </sheetViews>
  <sheetFormatPr defaultRowHeight="14.5" x14ac:dyDescent="0.35"/>
  <cols>
    <col min="1" max="1" width="28.81640625" bestFit="1" customWidth="1"/>
    <col min="2" max="2" width="20" customWidth="1"/>
    <col min="3" max="3" width="22.81640625" bestFit="1" customWidth="1"/>
    <col min="4" max="4" width="17.1796875" customWidth="1"/>
    <col min="5" max="5" width="18.453125" customWidth="1"/>
    <col min="6" max="6" width="15.81640625" customWidth="1"/>
    <col min="7" max="7" width="17.81640625" customWidth="1"/>
    <col min="8" max="9" width="14.453125" customWidth="1"/>
    <col min="10" max="10" width="14.81640625" customWidth="1"/>
    <col min="11" max="11" width="14.1796875" customWidth="1"/>
    <col min="12" max="12" width="14.81640625" bestFit="1" customWidth="1"/>
    <col min="13" max="13" width="14" customWidth="1"/>
    <col min="14" max="14" width="13.453125" bestFit="1" customWidth="1"/>
    <col min="15" max="15" width="25.1796875" customWidth="1"/>
    <col min="16" max="16" width="34.1796875" customWidth="1"/>
    <col min="17" max="17" width="39.453125" bestFit="1" customWidth="1"/>
    <col min="18" max="18" width="36.453125" customWidth="1"/>
  </cols>
  <sheetData>
    <row r="1" spans="1:118" s="81" customFormat="1" ht="23.5" x14ac:dyDescent="0.35">
      <c r="A1" s="273" t="s">
        <v>247</v>
      </c>
      <c r="B1" s="273"/>
      <c r="C1" s="273"/>
      <c r="D1" s="273"/>
      <c r="E1" s="273"/>
      <c r="F1" s="273"/>
      <c r="G1" s="273"/>
      <c r="H1" s="273"/>
      <c r="I1" s="273"/>
      <c r="J1" s="273"/>
      <c r="L1" s="82"/>
      <c r="N1" s="82"/>
      <c r="O1" s="82"/>
      <c r="P1" s="82"/>
      <c r="Q1" s="82"/>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row>
    <row r="2" spans="1:118" s="85" customFormat="1" ht="18.5" x14ac:dyDescent="0.35">
      <c r="A2" s="84" t="s">
        <v>248</v>
      </c>
      <c r="B2" s="274" t="s">
        <v>249</v>
      </c>
      <c r="C2" s="275"/>
      <c r="D2" s="275"/>
      <c r="E2" s="276"/>
      <c r="F2" s="81"/>
      <c r="G2" s="82"/>
      <c r="H2" s="81"/>
      <c r="I2" s="81"/>
      <c r="L2" s="86"/>
      <c r="V2" s="81"/>
      <c r="AB2" s="81"/>
      <c r="AJ2" s="81"/>
      <c r="BA2" s="81"/>
      <c r="BJ2" s="81"/>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row>
    <row r="3" spans="1:118" ht="15.5" x14ac:dyDescent="0.35">
      <c r="A3" s="88" t="s">
        <v>250</v>
      </c>
      <c r="B3" s="88" t="s">
        <v>0</v>
      </c>
      <c r="C3" s="88" t="s">
        <v>1</v>
      </c>
      <c r="D3" s="5" t="s">
        <v>251</v>
      </c>
      <c r="E3" s="5" t="s">
        <v>252</v>
      </c>
      <c r="F3" s="88" t="s">
        <v>253</v>
      </c>
      <c r="G3" s="88" t="s">
        <v>254</v>
      </c>
    </row>
    <row r="4" spans="1:118" x14ac:dyDescent="0.35">
      <c r="A4" s="89" t="s">
        <v>531</v>
      </c>
      <c r="B4" s="2" t="s">
        <v>6</v>
      </c>
      <c r="C4" s="4" t="s">
        <v>516</v>
      </c>
      <c r="D4" s="4" t="s">
        <v>255</v>
      </c>
      <c r="E4" s="4"/>
      <c r="F4" s="3"/>
      <c r="G4" s="90"/>
    </row>
    <row r="6" spans="1:118" s="81" customFormat="1" ht="18.5" x14ac:dyDescent="0.35">
      <c r="A6" s="277" t="s">
        <v>256</v>
      </c>
      <c r="B6" s="277"/>
      <c r="C6" s="277"/>
      <c r="D6" s="277"/>
      <c r="E6" s="277"/>
      <c r="F6" s="277"/>
      <c r="G6" s="277"/>
      <c r="H6" s="277"/>
      <c r="I6" s="277"/>
      <c r="J6" s="277"/>
      <c r="L6" s="82"/>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row>
    <row r="7" spans="1:118" s="81" customFormat="1" ht="77.5" x14ac:dyDescent="0.35">
      <c r="A7" s="91" t="s">
        <v>250</v>
      </c>
      <c r="B7" s="91" t="s">
        <v>1</v>
      </c>
      <c r="C7" s="91" t="s">
        <v>2</v>
      </c>
      <c r="D7" s="91" t="s">
        <v>3</v>
      </c>
      <c r="E7" s="91" t="s">
        <v>257</v>
      </c>
      <c r="F7" s="91" t="s">
        <v>258</v>
      </c>
      <c r="G7" s="92" t="s">
        <v>259</v>
      </c>
      <c r="H7" s="91" t="s">
        <v>260</v>
      </c>
      <c r="I7" s="92" t="s">
        <v>261</v>
      </c>
      <c r="J7" s="92" t="s">
        <v>262</v>
      </c>
      <c r="L7" s="82"/>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c r="BR7" s="85"/>
      <c r="BS7" s="85"/>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row>
    <row r="8" spans="1:118" ht="33.65" customHeight="1" x14ac:dyDescent="0.35">
      <c r="A8" s="2" t="str">
        <f>A4</f>
        <v>3970846500</v>
      </c>
      <c r="B8" s="2" t="str">
        <f>C4</f>
        <v>PAC_Cust2Auto,IND</v>
      </c>
      <c r="C8" s="2" t="s">
        <v>532</v>
      </c>
      <c r="D8" s="2" t="s">
        <v>5</v>
      </c>
      <c r="E8" s="2" t="s">
        <v>6</v>
      </c>
      <c r="F8" s="2" t="s">
        <v>263</v>
      </c>
      <c r="G8" s="2" t="s">
        <v>4</v>
      </c>
      <c r="H8" s="2" t="s">
        <v>264</v>
      </c>
      <c r="I8" s="2" t="s">
        <v>517</v>
      </c>
      <c r="J8" s="93" t="s">
        <v>265</v>
      </c>
    </row>
    <row r="10" spans="1:118" ht="18.5" x14ac:dyDescent="0.35">
      <c r="A10" s="278" t="s">
        <v>272</v>
      </c>
      <c r="B10" s="279"/>
      <c r="C10" s="279"/>
      <c r="D10" s="279"/>
      <c r="E10" s="279"/>
      <c r="F10" s="279"/>
      <c r="G10" s="279"/>
    </row>
    <row r="11" spans="1:118" ht="15.5" x14ac:dyDescent="0.35">
      <c r="A11" s="95" t="s">
        <v>273</v>
      </c>
      <c r="B11" s="95" t="s">
        <v>274</v>
      </c>
      <c r="C11" s="88" t="s">
        <v>9</v>
      </c>
      <c r="D11" s="88" t="s">
        <v>275</v>
      </c>
      <c r="E11" s="88" t="s">
        <v>7</v>
      </c>
      <c r="F11" s="88" t="s">
        <v>0</v>
      </c>
      <c r="G11" s="88" t="s">
        <v>276</v>
      </c>
      <c r="H11" s="88" t="s">
        <v>277</v>
      </c>
      <c r="I11" s="88" t="s">
        <v>278</v>
      </c>
      <c r="J11" s="88" t="s">
        <v>279</v>
      </c>
      <c r="K11" s="88" t="s">
        <v>271</v>
      </c>
      <c r="L11" s="88" t="s">
        <v>280</v>
      </c>
      <c r="M11" s="88" t="s">
        <v>281</v>
      </c>
      <c r="N11" s="88" t="s">
        <v>282</v>
      </c>
      <c r="O11" s="88" t="s">
        <v>283</v>
      </c>
      <c r="P11" s="88" t="s">
        <v>284</v>
      </c>
      <c r="Q11" s="88" t="s">
        <v>285</v>
      </c>
      <c r="R11" s="88" t="s">
        <v>18</v>
      </c>
      <c r="S11" s="88" t="s">
        <v>286</v>
      </c>
    </row>
    <row r="12" spans="1:118" x14ac:dyDescent="0.35">
      <c r="A12" s="2" t="s">
        <v>287</v>
      </c>
      <c r="B12" s="2" t="s">
        <v>288</v>
      </c>
      <c r="C12" s="2" t="s">
        <v>100</v>
      </c>
      <c r="D12" s="2" t="s">
        <v>289</v>
      </c>
      <c r="E12" s="2" t="s">
        <v>8</v>
      </c>
      <c r="F12" s="2" t="s">
        <v>6</v>
      </c>
      <c r="G12" s="2" t="s">
        <v>290</v>
      </c>
      <c r="H12" s="2">
        <v>10</v>
      </c>
      <c r="I12" s="2" t="s">
        <v>291</v>
      </c>
      <c r="J12" s="2">
        <v>3</v>
      </c>
      <c r="K12" s="2" t="s">
        <v>90</v>
      </c>
      <c r="L12" s="2" t="s">
        <v>91</v>
      </c>
      <c r="M12" s="2">
        <v>0</v>
      </c>
      <c r="N12" s="2">
        <v>10</v>
      </c>
      <c r="O12" s="2" t="s">
        <v>292</v>
      </c>
      <c r="P12" s="2" t="s">
        <v>292</v>
      </c>
      <c r="Q12" s="2" t="s">
        <v>293</v>
      </c>
      <c r="R12" s="2" t="s">
        <v>22</v>
      </c>
      <c r="S12" s="2" t="s">
        <v>4</v>
      </c>
    </row>
    <row r="13" spans="1:118" x14ac:dyDescent="0.35">
      <c r="A13" s="2"/>
      <c r="B13" s="2"/>
      <c r="C13" s="2" t="s">
        <v>101</v>
      </c>
      <c r="D13" s="2" t="s">
        <v>294</v>
      </c>
      <c r="E13" s="2" t="s">
        <v>8</v>
      </c>
      <c r="F13" s="2" t="s">
        <v>6</v>
      </c>
      <c r="G13" s="2" t="s">
        <v>290</v>
      </c>
      <c r="H13" s="2">
        <v>10</v>
      </c>
      <c r="I13" s="2" t="s">
        <v>291</v>
      </c>
      <c r="J13" s="2">
        <v>3</v>
      </c>
      <c r="K13" s="2" t="s">
        <v>90</v>
      </c>
      <c r="L13" s="2" t="s">
        <v>91</v>
      </c>
      <c r="M13" s="2">
        <v>0</v>
      </c>
      <c r="N13" s="2">
        <v>10</v>
      </c>
      <c r="O13" s="2" t="s">
        <v>292</v>
      </c>
      <c r="P13" s="2" t="s">
        <v>292</v>
      </c>
      <c r="Q13" s="2" t="s">
        <v>293</v>
      </c>
      <c r="R13" s="2" t="s">
        <v>22</v>
      </c>
      <c r="S13" s="2" t="s">
        <v>4</v>
      </c>
    </row>
    <row r="14" spans="1:118" x14ac:dyDescent="0.35">
      <c r="A14" s="2"/>
      <c r="B14" s="2"/>
      <c r="C14" s="2" t="s">
        <v>102</v>
      </c>
      <c r="D14" s="2" t="s">
        <v>295</v>
      </c>
      <c r="E14" s="2" t="s">
        <v>8</v>
      </c>
      <c r="F14" s="2" t="s">
        <v>6</v>
      </c>
      <c r="G14" s="2" t="s">
        <v>290</v>
      </c>
      <c r="H14" s="2">
        <v>10</v>
      </c>
      <c r="I14" s="2" t="s">
        <v>291</v>
      </c>
      <c r="J14" s="2">
        <v>3</v>
      </c>
      <c r="K14" s="2" t="s">
        <v>90</v>
      </c>
      <c r="L14" s="2" t="s">
        <v>91</v>
      </c>
      <c r="M14" s="2">
        <v>0</v>
      </c>
      <c r="N14" s="2">
        <v>10</v>
      </c>
      <c r="O14" s="2" t="s">
        <v>292</v>
      </c>
      <c r="P14" s="2" t="s">
        <v>292</v>
      </c>
      <c r="Q14" s="2" t="s">
        <v>293</v>
      </c>
      <c r="R14" s="2" t="s">
        <v>22</v>
      </c>
      <c r="S14" s="2" t="s">
        <v>4</v>
      </c>
    </row>
    <row r="15" spans="1:118" x14ac:dyDescent="0.35">
      <c r="A15" s="2"/>
      <c r="B15" s="2"/>
      <c r="C15" s="2" t="s">
        <v>102</v>
      </c>
      <c r="D15" s="2" t="s">
        <v>295</v>
      </c>
      <c r="E15" s="2" t="s">
        <v>8</v>
      </c>
      <c r="F15" s="2" t="s">
        <v>6</v>
      </c>
      <c r="G15" s="2" t="s">
        <v>290</v>
      </c>
      <c r="H15" s="2">
        <v>10</v>
      </c>
      <c r="I15" s="2" t="s">
        <v>291</v>
      </c>
      <c r="J15" s="2">
        <v>3</v>
      </c>
      <c r="K15" s="2" t="s">
        <v>90</v>
      </c>
      <c r="L15" s="2" t="s">
        <v>91</v>
      </c>
      <c r="M15" s="2">
        <v>0</v>
      </c>
      <c r="N15" s="2">
        <v>10</v>
      </c>
      <c r="O15" s="2" t="s">
        <v>292</v>
      </c>
      <c r="P15" s="2" t="s">
        <v>292</v>
      </c>
      <c r="Q15" s="2" t="s">
        <v>293</v>
      </c>
      <c r="R15" s="2" t="s">
        <v>22</v>
      </c>
      <c r="S15" s="2" t="s">
        <v>4</v>
      </c>
    </row>
    <row r="16" spans="1:118" x14ac:dyDescent="0.35">
      <c r="A16" s="2"/>
      <c r="B16" s="2"/>
      <c r="C16" s="2" t="s">
        <v>207</v>
      </c>
      <c r="D16" s="2" t="s">
        <v>339</v>
      </c>
      <c r="E16" s="2" t="s">
        <v>8</v>
      </c>
      <c r="F16" s="2" t="s">
        <v>6</v>
      </c>
      <c r="G16" s="2" t="s">
        <v>290</v>
      </c>
      <c r="H16" s="2">
        <v>10</v>
      </c>
      <c r="I16" s="2" t="s">
        <v>291</v>
      </c>
      <c r="J16" s="2">
        <v>3</v>
      </c>
      <c r="K16" s="2" t="s">
        <v>90</v>
      </c>
      <c r="L16" s="2" t="s">
        <v>91</v>
      </c>
      <c r="M16" s="2">
        <v>0</v>
      </c>
      <c r="N16" s="2">
        <v>10</v>
      </c>
      <c r="O16" s="2" t="s">
        <v>292</v>
      </c>
      <c r="P16" s="2" t="s">
        <v>292</v>
      </c>
      <c r="Q16" s="2" t="s">
        <v>293</v>
      </c>
      <c r="R16" s="2" t="s">
        <v>22</v>
      </c>
      <c r="S16" s="2" t="s">
        <v>4</v>
      </c>
    </row>
    <row r="17" spans="1:117" x14ac:dyDescent="0.35">
      <c r="A17" s="2"/>
      <c r="B17" s="2" t="s">
        <v>296</v>
      </c>
      <c r="C17" s="2" t="s">
        <v>103</v>
      </c>
      <c r="D17" s="2" t="s">
        <v>297</v>
      </c>
      <c r="E17" s="2" t="s">
        <v>8</v>
      </c>
      <c r="F17" s="2" t="s">
        <v>6</v>
      </c>
      <c r="G17" s="2" t="s">
        <v>290</v>
      </c>
      <c r="H17" s="2">
        <v>10</v>
      </c>
      <c r="I17" s="2" t="s">
        <v>291</v>
      </c>
      <c r="J17" s="2">
        <v>3</v>
      </c>
      <c r="K17" s="2" t="s">
        <v>90</v>
      </c>
      <c r="L17" s="2" t="s">
        <v>92</v>
      </c>
      <c r="M17" s="2">
        <v>10</v>
      </c>
      <c r="N17" s="2">
        <v>20</v>
      </c>
      <c r="O17" s="2" t="s">
        <v>292</v>
      </c>
      <c r="P17" s="2" t="s">
        <v>292</v>
      </c>
      <c r="Q17" s="2" t="s">
        <v>293</v>
      </c>
      <c r="R17" s="2" t="s">
        <v>22</v>
      </c>
      <c r="S17" s="2" t="s">
        <v>4</v>
      </c>
    </row>
    <row r="18" spans="1:117" x14ac:dyDescent="0.35">
      <c r="A18" s="2"/>
      <c r="B18" s="2" t="s">
        <v>298</v>
      </c>
      <c r="C18" s="2" t="s">
        <v>104</v>
      </c>
      <c r="D18" s="2" t="s">
        <v>299</v>
      </c>
      <c r="E18" s="2" t="s">
        <v>8</v>
      </c>
      <c r="F18" s="2" t="s">
        <v>6</v>
      </c>
      <c r="G18" s="2" t="s">
        <v>290</v>
      </c>
      <c r="H18" s="2">
        <v>10</v>
      </c>
      <c r="I18" s="2" t="s">
        <v>291</v>
      </c>
      <c r="J18" s="2">
        <v>3</v>
      </c>
      <c r="K18" s="2" t="s">
        <v>90</v>
      </c>
      <c r="L18" s="2" t="s">
        <v>92</v>
      </c>
      <c r="M18" s="2">
        <v>10</v>
      </c>
      <c r="N18" s="2">
        <v>20</v>
      </c>
      <c r="O18" s="2" t="s">
        <v>292</v>
      </c>
      <c r="P18" s="2" t="s">
        <v>292</v>
      </c>
      <c r="Q18" s="2" t="s">
        <v>293</v>
      </c>
      <c r="R18" s="2" t="s">
        <v>22</v>
      </c>
      <c r="S18" s="2" t="s">
        <v>4</v>
      </c>
    </row>
    <row r="19" spans="1:117" x14ac:dyDescent="0.35">
      <c r="A19" s="2"/>
      <c r="B19" s="2"/>
      <c r="C19" s="2" t="s">
        <v>105</v>
      </c>
      <c r="D19" s="2" t="s">
        <v>300</v>
      </c>
      <c r="E19" s="2" t="s">
        <v>8</v>
      </c>
      <c r="F19" s="2" t="s">
        <v>6</v>
      </c>
      <c r="G19" s="2" t="s">
        <v>290</v>
      </c>
      <c r="H19" s="2">
        <v>10</v>
      </c>
      <c r="I19" s="2" t="s">
        <v>291</v>
      </c>
      <c r="J19" s="2">
        <v>3</v>
      </c>
      <c r="K19" s="2" t="s">
        <v>90</v>
      </c>
      <c r="L19" s="2" t="s">
        <v>92</v>
      </c>
      <c r="M19" s="2">
        <v>10</v>
      </c>
      <c r="N19" s="2">
        <v>20</v>
      </c>
      <c r="O19" s="2" t="s">
        <v>292</v>
      </c>
      <c r="P19" s="2" t="s">
        <v>292</v>
      </c>
      <c r="Q19" s="2" t="s">
        <v>293</v>
      </c>
      <c r="R19" s="2" t="s">
        <v>22</v>
      </c>
      <c r="S19" s="2" t="s">
        <v>4</v>
      </c>
    </row>
    <row r="20" spans="1:117" x14ac:dyDescent="0.35">
      <c r="A20" s="2"/>
      <c r="B20" s="2"/>
      <c r="C20" s="2" t="s">
        <v>106</v>
      </c>
      <c r="D20" s="2" t="s">
        <v>301</v>
      </c>
      <c r="E20" s="2" t="s">
        <v>8</v>
      </c>
      <c r="F20" s="2" t="s">
        <v>6</v>
      </c>
      <c r="G20" s="2" t="s">
        <v>290</v>
      </c>
      <c r="H20" s="2">
        <v>10</v>
      </c>
      <c r="I20" s="2" t="s">
        <v>291</v>
      </c>
      <c r="J20" s="2">
        <v>3</v>
      </c>
      <c r="K20" s="2" t="s">
        <v>90</v>
      </c>
      <c r="L20" s="2" t="s">
        <v>93</v>
      </c>
      <c r="M20" s="2">
        <v>20</v>
      </c>
      <c r="N20" s="2">
        <v>30</v>
      </c>
      <c r="O20" s="2" t="s">
        <v>292</v>
      </c>
      <c r="P20" s="2" t="s">
        <v>292</v>
      </c>
      <c r="Q20" s="2" t="s">
        <v>293</v>
      </c>
      <c r="R20" s="2" t="s">
        <v>22</v>
      </c>
      <c r="S20" s="2" t="s">
        <v>4</v>
      </c>
    </row>
    <row r="21" spans="1:117" x14ac:dyDescent="0.35">
      <c r="A21" s="2"/>
      <c r="B21" s="2"/>
      <c r="C21" s="2" t="s">
        <v>107</v>
      </c>
      <c r="D21" s="2" t="s">
        <v>302</v>
      </c>
      <c r="E21" s="2" t="s">
        <v>8</v>
      </c>
      <c r="F21" s="2" t="s">
        <v>6</v>
      </c>
      <c r="G21" s="2" t="s">
        <v>290</v>
      </c>
      <c r="H21" s="2">
        <v>10</v>
      </c>
      <c r="I21" s="2" t="s">
        <v>291</v>
      </c>
      <c r="J21" s="2">
        <v>3</v>
      </c>
      <c r="K21" s="2" t="s">
        <v>90</v>
      </c>
      <c r="L21" s="2" t="s">
        <v>93</v>
      </c>
      <c r="M21" s="2">
        <v>20</v>
      </c>
      <c r="N21" s="2">
        <v>30</v>
      </c>
      <c r="O21" s="2" t="s">
        <v>292</v>
      </c>
      <c r="P21" s="2" t="s">
        <v>292</v>
      </c>
      <c r="Q21" s="2" t="s">
        <v>293</v>
      </c>
      <c r="R21" s="2" t="s">
        <v>22</v>
      </c>
      <c r="S21" s="2" t="s">
        <v>4</v>
      </c>
    </row>
    <row r="22" spans="1:117" x14ac:dyDescent="0.35">
      <c r="A22" s="2"/>
      <c r="B22" s="2"/>
      <c r="C22" s="2" t="s">
        <v>108</v>
      </c>
      <c r="D22" s="2" t="s">
        <v>303</v>
      </c>
      <c r="E22" s="2" t="s">
        <v>8</v>
      </c>
      <c r="F22" s="2" t="s">
        <v>6</v>
      </c>
      <c r="G22" s="2" t="s">
        <v>290</v>
      </c>
      <c r="H22" s="2">
        <v>10</v>
      </c>
      <c r="I22" s="2" t="s">
        <v>291</v>
      </c>
      <c r="J22" s="2">
        <v>3</v>
      </c>
      <c r="K22" s="2" t="s">
        <v>90</v>
      </c>
      <c r="L22" s="2" t="s">
        <v>93</v>
      </c>
      <c r="M22" s="2">
        <v>20</v>
      </c>
      <c r="N22" s="2">
        <v>30</v>
      </c>
      <c r="O22" s="2" t="s">
        <v>292</v>
      </c>
      <c r="P22" s="2" t="s">
        <v>292</v>
      </c>
      <c r="Q22" s="2" t="s">
        <v>293</v>
      </c>
      <c r="R22" s="2" t="s">
        <v>22</v>
      </c>
      <c r="S22" s="2" t="s">
        <v>4</v>
      </c>
    </row>
    <row r="23" spans="1:117" x14ac:dyDescent="0.35">
      <c r="A23" s="2"/>
      <c r="B23" s="2"/>
      <c r="C23" s="2" t="s">
        <v>109</v>
      </c>
      <c r="D23" s="2" t="s">
        <v>304</v>
      </c>
      <c r="E23" s="2" t="s">
        <v>8</v>
      </c>
      <c r="F23" s="2" t="s">
        <v>6</v>
      </c>
      <c r="G23" s="2" t="s">
        <v>290</v>
      </c>
      <c r="H23" s="2">
        <v>10</v>
      </c>
      <c r="I23" s="2" t="s">
        <v>291</v>
      </c>
      <c r="J23" s="2">
        <v>3</v>
      </c>
      <c r="K23" s="2" t="s">
        <v>90</v>
      </c>
      <c r="L23" s="2" t="s">
        <v>94</v>
      </c>
      <c r="M23" s="2">
        <v>0</v>
      </c>
      <c r="N23" s="2">
        <v>30</v>
      </c>
      <c r="O23" s="2" t="s">
        <v>292</v>
      </c>
      <c r="P23" s="2" t="s">
        <v>292</v>
      </c>
      <c r="Q23" s="2" t="s">
        <v>293</v>
      </c>
      <c r="R23" s="2" t="s">
        <v>22</v>
      </c>
      <c r="S23" s="2" t="s">
        <v>4</v>
      </c>
    </row>
    <row r="24" spans="1:117" x14ac:dyDescent="0.35">
      <c r="A24" s="2"/>
      <c r="B24" s="2"/>
      <c r="C24" s="2" t="s">
        <v>110</v>
      </c>
      <c r="D24" s="2" t="s">
        <v>305</v>
      </c>
      <c r="E24" s="2" t="s">
        <v>8</v>
      </c>
      <c r="F24" s="2" t="s">
        <v>6</v>
      </c>
      <c r="G24" s="2" t="s">
        <v>290</v>
      </c>
      <c r="H24" s="2">
        <v>10</v>
      </c>
      <c r="I24" s="2" t="s">
        <v>291</v>
      </c>
      <c r="J24" s="2">
        <v>3</v>
      </c>
      <c r="K24" s="2" t="s">
        <v>90</v>
      </c>
      <c r="L24" s="2" t="s">
        <v>93</v>
      </c>
      <c r="M24" s="2">
        <v>20</v>
      </c>
      <c r="N24" s="2">
        <v>30</v>
      </c>
      <c r="O24" s="2" t="s">
        <v>292</v>
      </c>
      <c r="P24" s="2" t="s">
        <v>292</v>
      </c>
      <c r="Q24" s="2" t="s">
        <v>293</v>
      </c>
      <c r="R24" s="2" t="s">
        <v>22</v>
      </c>
      <c r="S24" s="2" t="s">
        <v>4</v>
      </c>
    </row>
    <row r="25" spans="1:117" x14ac:dyDescent="0.35">
      <c r="A25" s="2" t="s">
        <v>306</v>
      </c>
      <c r="B25" s="2" t="s">
        <v>306</v>
      </c>
      <c r="C25" s="2" t="s">
        <v>111</v>
      </c>
      <c r="D25" s="2" t="s">
        <v>307</v>
      </c>
      <c r="E25" s="2" t="s">
        <v>8</v>
      </c>
      <c r="F25" s="2" t="s">
        <v>6</v>
      </c>
      <c r="G25" s="2" t="s">
        <v>290</v>
      </c>
      <c r="H25" s="2">
        <v>10</v>
      </c>
      <c r="I25" s="2" t="s">
        <v>291</v>
      </c>
      <c r="J25" s="2">
        <v>3</v>
      </c>
      <c r="K25" s="2" t="s">
        <v>308</v>
      </c>
      <c r="L25" s="2" t="s">
        <v>91</v>
      </c>
      <c r="M25" s="2">
        <v>20</v>
      </c>
      <c r="N25" s="2">
        <v>30</v>
      </c>
      <c r="O25" s="2" t="s">
        <v>292</v>
      </c>
      <c r="P25" s="2" t="s">
        <v>292</v>
      </c>
      <c r="Q25" s="2" t="s">
        <v>293</v>
      </c>
      <c r="R25" s="2" t="s">
        <v>22</v>
      </c>
      <c r="S25" s="2" t="s">
        <v>4</v>
      </c>
    </row>
    <row r="26" spans="1:117" ht="18.5" x14ac:dyDescent="0.35">
      <c r="A26" s="282" t="s">
        <v>309</v>
      </c>
      <c r="B26" s="282"/>
      <c r="C26" s="282"/>
    </row>
    <row r="27" spans="1:117" ht="15.5" x14ac:dyDescent="0.35">
      <c r="A27" s="91" t="s">
        <v>310</v>
      </c>
      <c r="B27" s="91" t="s">
        <v>311</v>
      </c>
      <c r="C27" s="92" t="s">
        <v>312</v>
      </c>
      <c r="D27" s="88" t="s">
        <v>0</v>
      </c>
    </row>
    <row r="28" spans="1:117" x14ac:dyDescent="0.35">
      <c r="A28" s="2" t="s">
        <v>313</v>
      </c>
      <c r="B28" s="2" t="s">
        <v>314</v>
      </c>
      <c r="C28" s="2" t="s">
        <v>315</v>
      </c>
      <c r="D28" s="2" t="s">
        <v>316</v>
      </c>
    </row>
    <row r="29" spans="1:117" x14ac:dyDescent="0.35">
      <c r="A29" s="96" t="s">
        <v>341</v>
      </c>
      <c r="B29" s="2" t="s">
        <v>54</v>
      </c>
      <c r="C29" s="2" t="s">
        <v>315</v>
      </c>
      <c r="D29" s="2" t="s">
        <v>316</v>
      </c>
    </row>
    <row r="31" spans="1:117" s="81" customFormat="1" ht="18" customHeight="1" x14ac:dyDescent="0.35">
      <c r="A31" s="277" t="s">
        <v>317</v>
      </c>
      <c r="B31" s="277"/>
      <c r="C31" s="277"/>
      <c r="D31" s="277"/>
      <c r="E31" s="277"/>
      <c r="F31" s="277"/>
      <c r="G31" s="277"/>
      <c r="H31" s="277"/>
      <c r="I31" s="277"/>
      <c r="J31" s="277"/>
      <c r="O31" s="82"/>
      <c r="P31" s="82"/>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row>
    <row r="32" spans="1:117" s="81" customFormat="1" ht="21" x14ac:dyDescent="0.35">
      <c r="A32" s="91" t="s">
        <v>310</v>
      </c>
      <c r="B32" s="91" t="s">
        <v>311</v>
      </c>
      <c r="C32" s="91" t="s">
        <v>318</v>
      </c>
      <c r="D32" s="97" t="s">
        <v>17</v>
      </c>
      <c r="E32" s="97" t="s">
        <v>55</v>
      </c>
      <c r="F32" s="97" t="s">
        <v>56</v>
      </c>
      <c r="G32" s="97" t="s">
        <v>319</v>
      </c>
      <c r="H32" s="97" t="s">
        <v>320</v>
      </c>
      <c r="I32" s="98" t="s">
        <v>57</v>
      </c>
      <c r="J32" s="99" t="s">
        <v>321</v>
      </c>
      <c r="K32" s="100" t="s">
        <v>322</v>
      </c>
      <c r="L32" s="104" t="s">
        <v>323</v>
      </c>
      <c r="M32" s="105" t="s">
        <v>18</v>
      </c>
      <c r="N32" s="105" t="s">
        <v>324</v>
      </c>
      <c r="O32" s="106" t="s">
        <v>353</v>
      </c>
      <c r="P32" s="106" t="s">
        <v>354</v>
      </c>
      <c r="Q32" s="82"/>
      <c r="R32" s="82"/>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row>
    <row r="33" spans="1:117" s="81" customFormat="1" x14ac:dyDescent="0.35">
      <c r="A33" s="2" t="s">
        <v>313</v>
      </c>
      <c r="B33" s="2" t="s">
        <v>314</v>
      </c>
      <c r="C33" s="2" t="s">
        <v>110</v>
      </c>
      <c r="D33" s="2" t="s">
        <v>21</v>
      </c>
      <c r="E33" s="2" t="s">
        <v>315</v>
      </c>
      <c r="F33" s="2"/>
      <c r="G33" s="2" t="s">
        <v>4</v>
      </c>
      <c r="H33" s="2" t="s">
        <v>325</v>
      </c>
      <c r="I33" s="2" t="s">
        <v>340</v>
      </c>
      <c r="J33" s="2"/>
      <c r="K33" s="2"/>
      <c r="L33" s="101"/>
      <c r="M33" s="2"/>
      <c r="N33" s="105" t="s">
        <v>326</v>
      </c>
      <c r="O33" s="106"/>
      <c r="P33" s="106"/>
      <c r="Q33" s="82"/>
      <c r="R33" s="82"/>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row>
    <row r="34" spans="1:117" s="81" customFormat="1" x14ac:dyDescent="0.35">
      <c r="A34" s="96" t="s">
        <v>341</v>
      </c>
      <c r="B34" s="2" t="s">
        <v>54</v>
      </c>
      <c r="C34" s="2" t="s">
        <v>100</v>
      </c>
      <c r="D34" s="2" t="s">
        <v>21</v>
      </c>
      <c r="E34" s="2" t="s">
        <v>315</v>
      </c>
      <c r="F34" s="2"/>
      <c r="G34" s="2" t="s">
        <v>4</v>
      </c>
      <c r="H34" s="2" t="s">
        <v>325</v>
      </c>
      <c r="I34" s="96" t="s">
        <v>342</v>
      </c>
      <c r="J34" s="2"/>
      <c r="K34" s="2"/>
      <c r="L34" s="101"/>
      <c r="M34" s="2"/>
      <c r="N34" s="105" t="s">
        <v>326</v>
      </c>
      <c r="O34" s="106"/>
      <c r="P34" s="106"/>
      <c r="Q34" s="82"/>
      <c r="R34" s="82"/>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row>
    <row r="35" spans="1:117" s="81" customFormat="1" x14ac:dyDescent="0.35">
      <c r="A35" s="2"/>
      <c r="B35" s="2"/>
      <c r="C35" s="2" t="s">
        <v>101</v>
      </c>
      <c r="D35" s="2" t="s">
        <v>21</v>
      </c>
      <c r="E35" s="2" t="s">
        <v>315</v>
      </c>
      <c r="F35" s="2"/>
      <c r="G35" s="2" t="s">
        <v>4</v>
      </c>
      <c r="H35" s="2" t="s">
        <v>325</v>
      </c>
      <c r="I35" s="96" t="s">
        <v>343</v>
      </c>
      <c r="J35" s="2"/>
      <c r="K35" s="2"/>
      <c r="L35" s="101"/>
      <c r="M35" s="2"/>
      <c r="N35" s="105" t="s">
        <v>328</v>
      </c>
      <c r="O35" s="106"/>
      <c r="P35" s="106"/>
      <c r="Q35" s="82"/>
      <c r="R35" s="82"/>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row>
    <row r="36" spans="1:117" s="81" customFormat="1" x14ac:dyDescent="0.35">
      <c r="A36" s="2"/>
      <c r="B36" s="2"/>
      <c r="C36" s="2" t="s">
        <v>102</v>
      </c>
      <c r="D36" s="2" t="s">
        <v>327</v>
      </c>
      <c r="E36" s="2" t="s">
        <v>315</v>
      </c>
      <c r="F36" s="2"/>
      <c r="G36" s="2" t="s">
        <v>4</v>
      </c>
      <c r="H36" s="2" t="s">
        <v>325</v>
      </c>
      <c r="I36" s="2" t="s">
        <v>344</v>
      </c>
      <c r="J36" s="2"/>
      <c r="K36" s="2"/>
      <c r="L36" s="101"/>
      <c r="M36" s="2"/>
      <c r="N36" s="105" t="s">
        <v>328</v>
      </c>
      <c r="O36" s="106"/>
      <c r="P36" s="106"/>
      <c r="Q36" s="82"/>
      <c r="R36" s="82"/>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row>
    <row r="37" spans="1:117" s="81" customFormat="1" x14ac:dyDescent="0.35">
      <c r="A37" s="2"/>
      <c r="B37" s="2"/>
      <c r="C37" s="2" t="s">
        <v>207</v>
      </c>
      <c r="D37" s="2" t="s">
        <v>327</v>
      </c>
      <c r="E37" s="2" t="s">
        <v>315</v>
      </c>
      <c r="F37" s="2"/>
      <c r="G37" s="2" t="s">
        <v>4</v>
      </c>
      <c r="H37" s="2" t="s">
        <v>325</v>
      </c>
      <c r="I37" s="96" t="s">
        <v>343</v>
      </c>
      <c r="J37" s="2"/>
      <c r="K37" s="2"/>
      <c r="L37" s="101"/>
      <c r="M37" s="2"/>
      <c r="N37" s="105" t="s">
        <v>328</v>
      </c>
      <c r="O37" s="106"/>
      <c r="P37" s="106"/>
      <c r="Q37" s="82"/>
      <c r="R37" s="82"/>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row>
    <row r="38" spans="1:117" s="81" customFormat="1" x14ac:dyDescent="0.35">
      <c r="A38" s="2"/>
      <c r="B38" s="2"/>
      <c r="C38" s="2" t="s">
        <v>103</v>
      </c>
      <c r="D38" s="2" t="s">
        <v>329</v>
      </c>
      <c r="E38" s="2" t="s">
        <v>315</v>
      </c>
      <c r="F38" s="2"/>
      <c r="G38" s="2" t="s">
        <v>4</v>
      </c>
      <c r="H38" s="2" t="s">
        <v>330</v>
      </c>
      <c r="I38" s="2" t="s">
        <v>345</v>
      </c>
      <c r="J38" s="2" t="s">
        <v>331</v>
      </c>
      <c r="K38" s="2">
        <v>0</v>
      </c>
      <c r="L38" s="101">
        <v>1000</v>
      </c>
      <c r="M38" s="2"/>
      <c r="N38" s="105" t="s">
        <v>326</v>
      </c>
      <c r="O38" s="106"/>
      <c r="P38" s="106"/>
      <c r="Q38" s="82"/>
      <c r="R38" s="82"/>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row>
    <row r="39" spans="1:117" s="81" customFormat="1" x14ac:dyDescent="0.35">
      <c r="A39" s="2"/>
      <c r="B39" s="2"/>
      <c r="C39" s="2"/>
      <c r="D39" s="2"/>
      <c r="E39" s="2"/>
      <c r="F39" s="2"/>
      <c r="G39" s="2"/>
      <c r="H39" s="2" t="s">
        <v>330</v>
      </c>
      <c r="I39" s="2" t="s">
        <v>346</v>
      </c>
      <c r="J39" s="2" t="s">
        <v>331</v>
      </c>
      <c r="K39" s="2">
        <v>1000</v>
      </c>
      <c r="L39" s="101">
        <v>5000</v>
      </c>
      <c r="M39" s="2"/>
      <c r="N39" s="105" t="s">
        <v>326</v>
      </c>
      <c r="O39" s="106"/>
      <c r="P39" s="106"/>
      <c r="Q39" s="82"/>
      <c r="R39" s="82"/>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row>
    <row r="40" spans="1:117" s="81" customFormat="1" x14ac:dyDescent="0.35">
      <c r="A40" s="2"/>
      <c r="B40" s="2"/>
      <c r="C40" s="2"/>
      <c r="D40" s="2"/>
      <c r="E40" s="2"/>
      <c r="F40" s="2"/>
      <c r="G40" s="2"/>
      <c r="H40" s="2" t="s">
        <v>330</v>
      </c>
      <c r="I40" s="2" t="s">
        <v>347</v>
      </c>
      <c r="J40" s="2" t="s">
        <v>331</v>
      </c>
      <c r="K40" s="2">
        <v>5000</v>
      </c>
      <c r="L40" s="101"/>
      <c r="M40" s="2"/>
      <c r="N40" s="105" t="s">
        <v>326</v>
      </c>
      <c r="O40" s="106"/>
      <c r="P40" s="106"/>
      <c r="Q40" s="82"/>
      <c r="R40" s="82"/>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row>
    <row r="41" spans="1:117" s="81" customFormat="1" x14ac:dyDescent="0.35">
      <c r="A41" s="2"/>
      <c r="B41" s="2"/>
      <c r="C41" s="2" t="s">
        <v>104</v>
      </c>
      <c r="D41" s="2" t="s">
        <v>332</v>
      </c>
      <c r="E41" s="2" t="s">
        <v>315</v>
      </c>
      <c r="F41" s="2"/>
      <c r="G41" s="2" t="s">
        <v>4</v>
      </c>
      <c r="H41" s="2" t="s">
        <v>330</v>
      </c>
      <c r="I41" s="2" t="s">
        <v>345</v>
      </c>
      <c r="J41" s="2" t="s">
        <v>331</v>
      </c>
      <c r="K41" s="2">
        <v>0</v>
      </c>
      <c r="L41" s="101">
        <v>1000</v>
      </c>
      <c r="M41" s="2"/>
      <c r="N41" s="105" t="s">
        <v>326</v>
      </c>
      <c r="O41" s="106"/>
      <c r="P41" s="106"/>
      <c r="Q41" s="82"/>
      <c r="R41" s="82"/>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row>
    <row r="42" spans="1:117" s="81" customFormat="1" x14ac:dyDescent="0.35">
      <c r="A42" s="2"/>
      <c r="B42" s="2"/>
      <c r="C42" s="2"/>
      <c r="D42" s="2"/>
      <c r="E42" s="2"/>
      <c r="F42" s="2"/>
      <c r="G42" s="2"/>
      <c r="H42" s="2" t="s">
        <v>330</v>
      </c>
      <c r="I42" s="2" t="s">
        <v>346</v>
      </c>
      <c r="J42" s="2" t="s">
        <v>331</v>
      </c>
      <c r="K42" s="2">
        <v>1000</v>
      </c>
      <c r="L42" s="101">
        <v>5000</v>
      </c>
      <c r="M42" s="2"/>
      <c r="N42" s="105" t="s">
        <v>326</v>
      </c>
      <c r="O42" s="106"/>
      <c r="P42" s="106"/>
      <c r="Q42" s="82"/>
      <c r="R42" s="82"/>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row>
    <row r="43" spans="1:117" s="81" customFormat="1" x14ac:dyDescent="0.35">
      <c r="A43" s="2"/>
      <c r="B43" s="2"/>
      <c r="C43" s="2"/>
      <c r="D43" s="2"/>
      <c r="E43" s="2"/>
      <c r="F43" s="2"/>
      <c r="G43" s="2"/>
      <c r="H43" s="2" t="s">
        <v>330</v>
      </c>
      <c r="I43" s="2" t="s">
        <v>347</v>
      </c>
      <c r="J43" s="2" t="s">
        <v>331</v>
      </c>
      <c r="K43" s="2">
        <v>5000</v>
      </c>
      <c r="L43" s="101"/>
      <c r="M43" s="2"/>
      <c r="N43" s="105" t="s">
        <v>326</v>
      </c>
      <c r="O43" s="106"/>
      <c r="P43" s="106"/>
      <c r="Q43" s="82"/>
      <c r="R43" s="82"/>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row>
    <row r="44" spans="1:117" s="81" customFormat="1" x14ac:dyDescent="0.35">
      <c r="A44" s="2"/>
      <c r="B44" s="2"/>
      <c r="C44" s="2" t="s">
        <v>105</v>
      </c>
      <c r="D44" s="2" t="s">
        <v>31</v>
      </c>
      <c r="E44" s="2"/>
      <c r="F44" s="2"/>
      <c r="G44" s="2"/>
      <c r="H44" s="2" t="s">
        <v>325</v>
      </c>
      <c r="I44" s="2">
        <v>20</v>
      </c>
      <c r="J44" s="2"/>
      <c r="K44" s="2"/>
      <c r="L44" s="101"/>
      <c r="M44" s="2"/>
      <c r="N44" s="105" t="s">
        <v>326</v>
      </c>
      <c r="O44" s="106"/>
      <c r="P44" s="106"/>
      <c r="Q44" s="82"/>
      <c r="R44" s="82"/>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row>
    <row r="45" spans="1:117" s="81" customFormat="1" x14ac:dyDescent="0.35">
      <c r="A45" s="2"/>
      <c r="B45" s="2"/>
      <c r="C45" s="2"/>
      <c r="D45" s="2"/>
      <c r="E45" s="2"/>
      <c r="F45" s="2"/>
      <c r="G45" s="2"/>
      <c r="H45" s="2" t="s">
        <v>333</v>
      </c>
      <c r="I45" s="2">
        <v>10</v>
      </c>
      <c r="J45" s="2" t="s">
        <v>331</v>
      </c>
      <c r="K45" s="2">
        <v>0</v>
      </c>
      <c r="L45" s="101">
        <v>1000</v>
      </c>
      <c r="M45" s="2"/>
      <c r="N45" s="105" t="s">
        <v>326</v>
      </c>
      <c r="O45" s="106"/>
      <c r="P45" s="106"/>
      <c r="Q45" s="82"/>
      <c r="R45" s="82"/>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row>
    <row r="46" spans="1:117" s="81" customFormat="1" x14ac:dyDescent="0.35">
      <c r="A46" s="2"/>
      <c r="B46" s="2"/>
      <c r="C46" s="2"/>
      <c r="D46" s="2"/>
      <c r="E46" s="2"/>
      <c r="F46" s="2"/>
      <c r="G46" s="2"/>
      <c r="H46" s="2" t="s">
        <v>333</v>
      </c>
      <c r="I46" s="2">
        <v>8</v>
      </c>
      <c r="J46" s="2" t="s">
        <v>331</v>
      </c>
      <c r="K46" s="2">
        <v>1000</v>
      </c>
      <c r="L46" s="101">
        <v>5000</v>
      </c>
      <c r="M46" s="2"/>
      <c r="N46" s="105" t="s">
        <v>326</v>
      </c>
      <c r="O46" s="106"/>
      <c r="P46" s="106"/>
      <c r="Q46" s="82"/>
      <c r="R46" s="82"/>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row>
    <row r="47" spans="1:117" s="81" customFormat="1" x14ac:dyDescent="0.35">
      <c r="A47" s="2"/>
      <c r="B47" s="2"/>
      <c r="C47" s="2"/>
      <c r="D47" s="2"/>
      <c r="E47" s="2"/>
      <c r="F47" s="2"/>
      <c r="G47" s="2"/>
      <c r="H47" s="2" t="s">
        <v>333</v>
      </c>
      <c r="I47" s="2">
        <v>6</v>
      </c>
      <c r="J47" s="2" t="s">
        <v>331</v>
      </c>
      <c r="K47" s="2">
        <v>5000</v>
      </c>
      <c r="L47" s="101"/>
      <c r="M47" s="2"/>
      <c r="N47" s="105" t="s">
        <v>326</v>
      </c>
      <c r="O47" s="106"/>
      <c r="P47" s="106"/>
      <c r="Q47" s="82"/>
      <c r="R47" s="82"/>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row>
    <row r="48" spans="1:117" s="81" customFormat="1" x14ac:dyDescent="0.35">
      <c r="A48" s="2"/>
      <c r="B48" s="2"/>
      <c r="C48" s="2"/>
      <c r="D48" s="2"/>
      <c r="E48" s="2"/>
      <c r="F48" s="2"/>
      <c r="G48" s="2"/>
      <c r="H48" s="2" t="s">
        <v>330</v>
      </c>
      <c r="I48" s="2">
        <v>5</v>
      </c>
      <c r="J48" s="2" t="s">
        <v>331</v>
      </c>
      <c r="K48" s="2">
        <v>0</v>
      </c>
      <c r="L48" s="101">
        <v>1000</v>
      </c>
      <c r="M48" s="2"/>
      <c r="N48" s="105" t="s">
        <v>326</v>
      </c>
      <c r="O48" s="106"/>
      <c r="P48" s="106"/>
      <c r="Q48" s="82"/>
      <c r="R48" s="82"/>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row>
    <row r="49" spans="1:117" s="81" customFormat="1" x14ac:dyDescent="0.35">
      <c r="A49" s="2"/>
      <c r="B49" s="2"/>
      <c r="C49" s="2"/>
      <c r="D49" s="2"/>
      <c r="E49" s="2"/>
      <c r="F49" s="2"/>
      <c r="G49" s="2"/>
      <c r="H49" s="2" t="s">
        <v>330</v>
      </c>
      <c r="I49" s="2">
        <v>4</v>
      </c>
      <c r="J49" s="2" t="s">
        <v>331</v>
      </c>
      <c r="K49" s="2">
        <v>1000</v>
      </c>
      <c r="L49" s="101">
        <v>5000</v>
      </c>
      <c r="M49" s="2"/>
      <c r="N49" s="105" t="s">
        <v>326</v>
      </c>
      <c r="O49" s="106"/>
      <c r="P49" s="106"/>
      <c r="Q49" s="82"/>
      <c r="R49" s="82"/>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row>
    <row r="50" spans="1:117" s="81" customFormat="1" x14ac:dyDescent="0.35">
      <c r="A50" s="2"/>
      <c r="B50" s="2"/>
      <c r="C50" s="2" t="s">
        <v>106</v>
      </c>
      <c r="D50" s="2" t="s">
        <v>25</v>
      </c>
      <c r="E50" s="2" t="s">
        <v>315</v>
      </c>
      <c r="F50" s="2"/>
      <c r="G50" s="2" t="s">
        <v>4</v>
      </c>
      <c r="H50" s="2" t="s">
        <v>325</v>
      </c>
      <c r="I50" s="96" t="s">
        <v>348</v>
      </c>
      <c r="J50" s="2"/>
      <c r="K50" s="2"/>
      <c r="L50" s="101"/>
      <c r="M50" s="2"/>
      <c r="N50" s="105" t="s">
        <v>326</v>
      </c>
      <c r="O50" s="106"/>
      <c r="P50" s="106"/>
      <c r="Q50" s="82"/>
      <c r="R50" s="82"/>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row>
    <row r="51" spans="1:117" s="81" customFormat="1" x14ac:dyDescent="0.35">
      <c r="A51" s="2"/>
      <c r="B51" s="2"/>
      <c r="C51" s="2" t="s">
        <v>107</v>
      </c>
      <c r="D51" s="2" t="s">
        <v>21</v>
      </c>
      <c r="E51" s="2" t="s">
        <v>315</v>
      </c>
      <c r="F51" s="2"/>
      <c r="G51" s="2" t="s">
        <v>4</v>
      </c>
      <c r="H51" s="2" t="s">
        <v>325</v>
      </c>
      <c r="I51" s="96" t="s">
        <v>349</v>
      </c>
      <c r="J51" s="2"/>
      <c r="K51" s="2"/>
      <c r="L51" s="101"/>
      <c r="M51" s="2"/>
      <c r="N51" s="105" t="s">
        <v>326</v>
      </c>
      <c r="O51" s="106" t="s">
        <v>51</v>
      </c>
      <c r="P51" s="106"/>
      <c r="Q51" s="82"/>
      <c r="R51" s="82"/>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row>
    <row r="52" spans="1:117" s="81" customFormat="1" x14ac:dyDescent="0.35">
      <c r="A52" s="2"/>
      <c r="B52" s="2"/>
      <c r="C52" s="2" t="s">
        <v>107</v>
      </c>
      <c r="D52" s="2" t="s">
        <v>21</v>
      </c>
      <c r="E52" s="2" t="s">
        <v>315</v>
      </c>
      <c r="F52" s="2"/>
      <c r="G52" s="2" t="s">
        <v>4</v>
      </c>
      <c r="H52" s="2" t="s">
        <v>325</v>
      </c>
      <c r="I52" s="2" t="s">
        <v>350</v>
      </c>
      <c r="J52" s="2"/>
      <c r="K52" s="2"/>
      <c r="L52" s="101"/>
      <c r="M52" s="2"/>
      <c r="N52" s="105" t="s">
        <v>326</v>
      </c>
      <c r="O52" s="106" t="s">
        <v>4</v>
      </c>
      <c r="P52" s="106"/>
      <c r="Q52" s="82"/>
      <c r="R52" s="82"/>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row>
    <row r="53" spans="1:117" s="81" customFormat="1" x14ac:dyDescent="0.35">
      <c r="A53" s="2"/>
      <c r="B53" s="2"/>
      <c r="C53" s="2" t="s">
        <v>107</v>
      </c>
      <c r="D53" s="2" t="s">
        <v>21</v>
      </c>
      <c r="E53" s="2" t="s">
        <v>315</v>
      </c>
      <c r="F53" s="2"/>
      <c r="G53" s="2" t="s">
        <v>4</v>
      </c>
      <c r="H53" s="2" t="s">
        <v>325</v>
      </c>
      <c r="I53" s="96" t="s">
        <v>351</v>
      </c>
      <c r="J53" s="2"/>
      <c r="K53" s="2"/>
      <c r="L53" s="101"/>
      <c r="M53" s="2"/>
      <c r="N53" s="105" t="s">
        <v>326</v>
      </c>
      <c r="O53" s="106" t="s">
        <v>51</v>
      </c>
      <c r="P53" s="106" t="s">
        <v>53</v>
      </c>
      <c r="Q53" s="82"/>
      <c r="R53" s="82"/>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row>
    <row r="54" spans="1:117" s="81" customFormat="1" x14ac:dyDescent="0.35">
      <c r="A54" s="2"/>
      <c r="B54" s="2"/>
      <c r="C54" s="2" t="s">
        <v>107</v>
      </c>
      <c r="D54" s="2" t="s">
        <v>21</v>
      </c>
      <c r="E54" s="2" t="s">
        <v>315</v>
      </c>
      <c r="F54" s="2"/>
      <c r="G54" s="2" t="s">
        <v>4</v>
      </c>
      <c r="H54" s="2" t="s">
        <v>325</v>
      </c>
      <c r="I54" s="96" t="s">
        <v>352</v>
      </c>
      <c r="J54" s="2"/>
      <c r="K54" s="2"/>
      <c r="L54" s="101"/>
      <c r="M54" s="2"/>
      <c r="N54" s="105" t="s">
        <v>326</v>
      </c>
      <c r="O54" s="106"/>
      <c r="P54" s="106"/>
      <c r="Q54" s="82"/>
      <c r="R54" s="82"/>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row>
    <row r="55" spans="1:117" s="81" customFormat="1" x14ac:dyDescent="0.35">
      <c r="A55" s="2"/>
      <c r="B55" s="2"/>
      <c r="C55" s="2" t="s">
        <v>108</v>
      </c>
      <c r="D55" s="2" t="s">
        <v>21</v>
      </c>
      <c r="E55" s="2" t="s">
        <v>315</v>
      </c>
      <c r="F55" s="2"/>
      <c r="G55" s="2" t="s">
        <v>4</v>
      </c>
      <c r="H55" s="2" t="s">
        <v>325</v>
      </c>
      <c r="I55" s="96" t="s">
        <v>355</v>
      </c>
      <c r="J55" s="2"/>
      <c r="K55" s="2"/>
      <c r="L55" s="101"/>
      <c r="M55" s="2"/>
      <c r="N55" s="105" t="s">
        <v>326</v>
      </c>
      <c r="O55" s="106"/>
      <c r="P55" s="106"/>
      <c r="Q55" s="82"/>
      <c r="R55" s="82"/>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row>
    <row r="56" spans="1:117" s="81" customFormat="1" x14ac:dyDescent="0.35">
      <c r="A56" s="2"/>
      <c r="B56" s="2"/>
      <c r="C56" s="2" t="s">
        <v>109</v>
      </c>
      <c r="D56" s="2" t="s">
        <v>21</v>
      </c>
      <c r="E56" s="2" t="s">
        <v>315</v>
      </c>
      <c r="F56" s="2"/>
      <c r="G56" s="2" t="s">
        <v>4</v>
      </c>
      <c r="H56" s="2" t="s">
        <v>325</v>
      </c>
      <c r="I56" s="2" t="s">
        <v>356</v>
      </c>
      <c r="J56" s="2"/>
      <c r="K56" s="2"/>
      <c r="L56" s="101"/>
      <c r="M56" s="2"/>
      <c r="N56" s="105" t="s">
        <v>326</v>
      </c>
      <c r="O56" s="106"/>
      <c r="P56" s="106"/>
      <c r="Q56" s="82"/>
      <c r="R56" s="82"/>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row>
    <row r="57" spans="1:117" s="81" customFormat="1" x14ac:dyDescent="0.35">
      <c r="A57" s="2"/>
      <c r="B57" s="2"/>
      <c r="C57" s="2" t="s">
        <v>111</v>
      </c>
      <c r="D57" s="2" t="s">
        <v>21</v>
      </c>
      <c r="E57" s="2" t="s">
        <v>315</v>
      </c>
      <c r="F57" s="2"/>
      <c r="G57" s="2" t="s">
        <v>4</v>
      </c>
      <c r="H57" s="2" t="s">
        <v>325</v>
      </c>
      <c r="I57" s="2">
        <v>15</v>
      </c>
      <c r="J57" s="2"/>
      <c r="K57" s="2"/>
      <c r="L57" s="101"/>
      <c r="M57" s="2"/>
      <c r="N57" s="105" t="s">
        <v>326</v>
      </c>
      <c r="O57" s="106"/>
      <c r="P57" s="106"/>
      <c r="Q57" s="82"/>
      <c r="R57" s="82"/>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row>
    <row r="58" spans="1:117" ht="18.5" x14ac:dyDescent="0.35">
      <c r="A58" s="274" t="s">
        <v>334</v>
      </c>
      <c r="B58" s="275"/>
      <c r="C58" s="275"/>
      <c r="D58" s="276"/>
    </row>
    <row r="59" spans="1:117" ht="15.5" x14ac:dyDescent="0.35">
      <c r="A59" s="91" t="s">
        <v>310</v>
      </c>
      <c r="B59" s="91" t="s">
        <v>311</v>
      </c>
      <c r="C59" s="92" t="s">
        <v>335</v>
      </c>
      <c r="D59" s="91" t="s">
        <v>336</v>
      </c>
      <c r="E59" s="88" t="s">
        <v>55</v>
      </c>
    </row>
    <row r="60" spans="1:117" x14ac:dyDescent="0.35">
      <c r="A60" s="2"/>
      <c r="B60" s="2" t="s">
        <v>314</v>
      </c>
      <c r="C60" s="4"/>
      <c r="D60" s="2"/>
      <c r="E60" s="2" t="s">
        <v>315</v>
      </c>
    </row>
    <row r="61" spans="1:117" x14ac:dyDescent="0.35">
      <c r="A61" s="96"/>
      <c r="B61" s="2" t="s">
        <v>54</v>
      </c>
      <c r="C61" s="4" t="s">
        <v>87</v>
      </c>
      <c r="D61" s="2" t="s">
        <v>58</v>
      </c>
      <c r="E61" s="2" t="s">
        <v>315</v>
      </c>
    </row>
    <row r="63" spans="1:117" ht="18.5" x14ac:dyDescent="0.35">
      <c r="A63" s="274" t="s">
        <v>337</v>
      </c>
      <c r="B63" s="275"/>
      <c r="C63" s="275"/>
      <c r="D63" s="276"/>
    </row>
    <row r="64" spans="1:117" ht="15.5" x14ac:dyDescent="0.35">
      <c r="A64" s="91" t="s">
        <v>336</v>
      </c>
      <c r="B64" s="92" t="s">
        <v>335</v>
      </c>
      <c r="C64" s="92" t="s">
        <v>59</v>
      </c>
      <c r="D64" s="91" t="s">
        <v>338</v>
      </c>
      <c r="E64" s="91" t="s">
        <v>57</v>
      </c>
      <c r="F64" s="5" t="s">
        <v>18</v>
      </c>
      <c r="G64" s="5"/>
    </row>
    <row r="65" spans="1:18" x14ac:dyDescent="0.35">
      <c r="A65" s="2" t="s">
        <v>58</v>
      </c>
      <c r="B65" s="4" t="s">
        <v>87</v>
      </c>
      <c r="C65" s="2" t="s">
        <v>100</v>
      </c>
      <c r="D65" s="2" t="s">
        <v>21</v>
      </c>
      <c r="E65" s="2" t="s">
        <v>357</v>
      </c>
      <c r="F65" s="2" t="s">
        <v>22</v>
      </c>
      <c r="G65" s="2"/>
    </row>
    <row r="66" spans="1:18" x14ac:dyDescent="0.35">
      <c r="A66" s="2" t="s">
        <v>58</v>
      </c>
      <c r="B66" s="4" t="s">
        <v>87</v>
      </c>
      <c r="C66" s="2" t="s">
        <v>101</v>
      </c>
      <c r="D66" s="2" t="s">
        <v>23</v>
      </c>
      <c r="E66" s="2" t="s">
        <v>121</v>
      </c>
      <c r="F66" s="2" t="s">
        <v>22</v>
      </c>
      <c r="G66" s="2"/>
    </row>
    <row r="67" spans="1:18" x14ac:dyDescent="0.35">
      <c r="A67" s="101"/>
      <c r="B67" s="102"/>
      <c r="C67" s="103"/>
      <c r="D67" s="103"/>
      <c r="E67" s="103"/>
      <c r="F67" s="103"/>
      <c r="G67" s="103"/>
    </row>
    <row r="68" spans="1:18" ht="50.5" customHeight="1" x14ac:dyDescent="0.35">
      <c r="A68" s="280" t="s">
        <v>127</v>
      </c>
      <c r="B68" s="280"/>
      <c r="C68" s="280"/>
      <c r="D68" s="280"/>
      <c r="E68" s="280"/>
      <c r="F68" s="280"/>
      <c r="G68" s="280"/>
      <c r="H68" s="280"/>
      <c r="I68" s="280"/>
      <c r="J68" s="280"/>
      <c r="K68" s="280"/>
    </row>
    <row r="70" spans="1:18" ht="16.75" customHeight="1" x14ac:dyDescent="0.35">
      <c r="A70" s="281" t="s">
        <v>122</v>
      </c>
      <c r="B70" s="281"/>
      <c r="C70" s="281"/>
      <c r="D70" s="281"/>
    </row>
    <row r="71" spans="1:18" x14ac:dyDescent="0.35">
      <c r="A71" s="24" t="s">
        <v>123</v>
      </c>
      <c r="B71" s="24" t="s">
        <v>124</v>
      </c>
      <c r="C71" s="24" t="s">
        <v>0</v>
      </c>
      <c r="D71" s="24" t="s">
        <v>125</v>
      </c>
    </row>
    <row r="72" spans="1:18" x14ac:dyDescent="0.35">
      <c r="A72" s="3" t="s">
        <v>128</v>
      </c>
      <c r="B72" s="20" t="str">
        <f>A4</f>
        <v>3970846500</v>
      </c>
      <c r="C72" s="6" t="str">
        <f>B4</f>
        <v>IND</v>
      </c>
      <c r="D72" s="3" t="str">
        <f>C4</f>
        <v>PAC_Cust2Auto,IND</v>
      </c>
    </row>
    <row r="74" spans="1:18" x14ac:dyDescent="0.35">
      <c r="A74" s="249" t="s">
        <v>129</v>
      </c>
      <c r="B74" s="250"/>
      <c r="C74" s="250"/>
      <c r="D74" s="250"/>
      <c r="E74" s="250"/>
      <c r="F74" s="250"/>
      <c r="G74" s="250"/>
      <c r="H74" s="250"/>
      <c r="I74" s="250"/>
      <c r="J74" s="250"/>
      <c r="K74" s="250"/>
      <c r="L74" s="250"/>
      <c r="M74" s="250"/>
      <c r="N74" s="250"/>
      <c r="O74" s="250"/>
      <c r="P74" s="250"/>
      <c r="Q74" s="250"/>
      <c r="R74" s="250"/>
    </row>
    <row r="75" spans="1:18" x14ac:dyDescent="0.35">
      <c r="A75" s="24" t="s">
        <v>130</v>
      </c>
      <c r="B75" s="24" t="s">
        <v>131</v>
      </c>
      <c r="C75" s="24" t="s">
        <v>132</v>
      </c>
      <c r="D75" s="24" t="s">
        <v>133</v>
      </c>
      <c r="E75" s="24" t="s">
        <v>134</v>
      </c>
      <c r="F75" s="24" t="s">
        <v>135</v>
      </c>
      <c r="G75" s="24" t="s">
        <v>136</v>
      </c>
      <c r="H75" s="24" t="s">
        <v>137</v>
      </c>
      <c r="I75" s="24" t="s">
        <v>138</v>
      </c>
      <c r="J75" s="24" t="s">
        <v>139</v>
      </c>
      <c r="K75" s="24" t="s">
        <v>140</v>
      </c>
      <c r="L75" s="24" t="s">
        <v>141</v>
      </c>
      <c r="M75" s="24" t="s">
        <v>142</v>
      </c>
      <c r="N75" s="24" t="s">
        <v>143</v>
      </c>
      <c r="O75" s="24" t="s">
        <v>144</v>
      </c>
      <c r="P75" s="24" t="s">
        <v>145</v>
      </c>
      <c r="Q75" s="24" t="s">
        <v>145</v>
      </c>
      <c r="R75" s="24" t="s">
        <v>152</v>
      </c>
    </row>
    <row r="76" spans="1:18" x14ac:dyDescent="0.35">
      <c r="A76" s="21" t="s">
        <v>146</v>
      </c>
      <c r="B76" s="22" t="s">
        <v>147</v>
      </c>
      <c r="C76" s="23" t="s">
        <v>4</v>
      </c>
      <c r="D76" s="21" t="s">
        <v>95</v>
      </c>
      <c r="E76" s="11">
        <v>44380</v>
      </c>
      <c r="F76" s="11">
        <v>44380</v>
      </c>
      <c r="G76" s="21" t="s">
        <v>148</v>
      </c>
      <c r="H76" s="21" t="s">
        <v>148</v>
      </c>
      <c r="I76" s="21" t="s">
        <v>148</v>
      </c>
      <c r="J76" s="21" t="s">
        <v>146</v>
      </c>
      <c r="K76" s="21" t="s">
        <v>146</v>
      </c>
      <c r="L76" s="21" t="s">
        <v>90</v>
      </c>
      <c r="M76" s="21" t="s">
        <v>90</v>
      </c>
      <c r="N76" s="21" t="s">
        <v>90</v>
      </c>
      <c r="O76" s="21" t="s">
        <v>149</v>
      </c>
      <c r="P76" s="21" t="s">
        <v>150</v>
      </c>
      <c r="Q76" s="21" t="s">
        <v>151</v>
      </c>
      <c r="R76" s="21" t="s">
        <v>215</v>
      </c>
    </row>
    <row r="78" spans="1:18" x14ac:dyDescent="0.35">
      <c r="A78" s="249" t="s">
        <v>153</v>
      </c>
      <c r="B78" s="250"/>
      <c r="C78" s="250"/>
      <c r="D78" s="250"/>
      <c r="E78" s="250"/>
      <c r="F78" s="250"/>
      <c r="G78" s="250"/>
      <c r="H78" s="250"/>
      <c r="I78" s="250"/>
      <c r="J78" s="250"/>
      <c r="K78" s="250"/>
      <c r="L78" s="250"/>
      <c r="M78" s="250"/>
      <c r="N78" s="250"/>
      <c r="O78" s="250"/>
      <c r="P78" s="250"/>
      <c r="Q78" s="250"/>
      <c r="R78" s="250"/>
    </row>
    <row r="79" spans="1:18" x14ac:dyDescent="0.35">
      <c r="A79" s="24" t="s">
        <v>153</v>
      </c>
      <c r="B79" s="24" t="s">
        <v>162</v>
      </c>
      <c r="C79" s="24" t="s">
        <v>163</v>
      </c>
      <c r="D79" s="24" t="s">
        <v>131</v>
      </c>
      <c r="E79" s="24" t="s">
        <v>132</v>
      </c>
      <c r="F79" s="24" t="s">
        <v>133</v>
      </c>
      <c r="G79" s="24" t="s">
        <v>134</v>
      </c>
      <c r="H79" s="24" t="s">
        <v>158</v>
      </c>
      <c r="I79" s="24" t="s">
        <v>159</v>
      </c>
      <c r="J79" s="24" t="s">
        <v>55</v>
      </c>
      <c r="K79" s="24" t="s">
        <v>56</v>
      </c>
      <c r="L79" s="24" t="s">
        <v>160</v>
      </c>
      <c r="M79" s="24" t="s">
        <v>161</v>
      </c>
      <c r="N79" s="24"/>
      <c r="O79" s="24"/>
      <c r="P79" s="24"/>
      <c r="Q79" s="24"/>
      <c r="R79" s="24"/>
    </row>
    <row r="80" spans="1:18" ht="72.5" x14ac:dyDescent="0.35">
      <c r="A80" s="26" t="s">
        <v>154</v>
      </c>
      <c r="B80" s="27" t="s">
        <v>164</v>
      </c>
      <c r="C80" s="27" t="s">
        <v>164</v>
      </c>
      <c r="D80" s="27" t="s">
        <v>156</v>
      </c>
      <c r="E80" s="23" t="s">
        <v>155</v>
      </c>
      <c r="F80" s="21" t="s">
        <v>157</v>
      </c>
      <c r="G80" s="11">
        <v>44380</v>
      </c>
      <c r="H80" s="11">
        <f ca="1">TODAY()</f>
        <v>44676</v>
      </c>
      <c r="I80" s="21"/>
      <c r="J80" s="21"/>
      <c r="K80" s="21"/>
      <c r="L80" s="21"/>
      <c r="M80" s="21"/>
      <c r="N80" s="21"/>
      <c r="O80" s="21"/>
      <c r="P80" s="21"/>
      <c r="Q80" s="21"/>
      <c r="R80" s="21"/>
    </row>
    <row r="82" spans="1:18" x14ac:dyDescent="0.35">
      <c r="A82" s="249" t="s">
        <v>165</v>
      </c>
      <c r="B82" s="250"/>
      <c r="C82" s="250"/>
      <c r="D82" s="250"/>
      <c r="E82" s="250"/>
    </row>
    <row r="83" spans="1:18" x14ac:dyDescent="0.35">
      <c r="A83" s="28" t="s">
        <v>166</v>
      </c>
      <c r="B83" s="28" t="s">
        <v>167</v>
      </c>
      <c r="C83" s="28" t="s">
        <v>55</v>
      </c>
      <c r="D83" s="28" t="s">
        <v>56</v>
      </c>
      <c r="E83" s="25" t="s">
        <v>168</v>
      </c>
    </row>
    <row r="84" spans="1:18" x14ac:dyDescent="0.35">
      <c r="A84" s="6" t="str">
        <f>A34</f>
        <v>1908311135</v>
      </c>
      <c r="B84" s="3">
        <v>1</v>
      </c>
      <c r="C84" s="11">
        <f>E76</f>
        <v>44380</v>
      </c>
      <c r="D84" s="3"/>
      <c r="E84" s="3"/>
    </row>
    <row r="86" spans="1:18" x14ac:dyDescent="0.35">
      <c r="A86" s="249" t="s">
        <v>170</v>
      </c>
      <c r="B86" s="250"/>
      <c r="C86" s="250"/>
      <c r="D86" s="250"/>
      <c r="E86" s="250"/>
    </row>
    <row r="87" spans="1:18" x14ac:dyDescent="0.35">
      <c r="A87" s="28" t="s">
        <v>169</v>
      </c>
      <c r="B87" s="28" t="s">
        <v>172</v>
      </c>
      <c r="C87" s="28" t="s">
        <v>175</v>
      </c>
      <c r="D87" s="28" t="s">
        <v>177</v>
      </c>
      <c r="E87" s="25"/>
      <c r="K87" s="48"/>
    </row>
    <row r="88" spans="1:18" x14ac:dyDescent="0.35">
      <c r="A88" s="3" t="s">
        <v>111</v>
      </c>
      <c r="B88" s="6"/>
      <c r="C88" s="11"/>
      <c r="D88" s="3" t="s">
        <v>178</v>
      </c>
      <c r="E88" s="3"/>
    </row>
    <row r="89" spans="1:18" x14ac:dyDescent="0.35">
      <c r="A89" s="6"/>
      <c r="B89" s="3" t="s">
        <v>171</v>
      </c>
      <c r="C89" s="11" t="s">
        <v>176</v>
      </c>
      <c r="D89" s="3" t="s">
        <v>179</v>
      </c>
      <c r="E89" s="3"/>
    </row>
    <row r="90" spans="1:18" x14ac:dyDescent="0.35">
      <c r="A90" s="6"/>
      <c r="B90" s="3" t="s">
        <v>173</v>
      </c>
      <c r="C90" s="11" t="s">
        <v>176</v>
      </c>
      <c r="D90" s="3"/>
      <c r="E90" s="3"/>
    </row>
    <row r="91" spans="1:18" x14ac:dyDescent="0.35">
      <c r="A91" s="3"/>
      <c r="B91" s="3" t="s">
        <v>174</v>
      </c>
      <c r="C91" s="3" t="s">
        <v>180</v>
      </c>
      <c r="D91" s="3" t="s">
        <v>181</v>
      </c>
      <c r="E91" s="3"/>
    </row>
    <row r="93" spans="1:18" x14ac:dyDescent="0.35">
      <c r="A93" s="258" t="s">
        <v>241</v>
      </c>
      <c r="B93" s="258"/>
      <c r="C93" s="258"/>
      <c r="D93" s="258"/>
      <c r="E93" s="258"/>
    </row>
    <row r="94" spans="1:18" x14ac:dyDescent="0.35">
      <c r="A94" s="249" t="s">
        <v>182</v>
      </c>
      <c r="B94" s="250"/>
      <c r="C94" s="250"/>
      <c r="D94" s="250"/>
      <c r="E94" s="250"/>
    </row>
    <row r="95" spans="1:18" x14ac:dyDescent="0.35">
      <c r="A95" s="159" t="s">
        <v>183</v>
      </c>
      <c r="B95" s="159" t="s">
        <v>44</v>
      </c>
      <c r="C95" s="159" t="s">
        <v>191</v>
      </c>
      <c r="D95" s="42" t="s">
        <v>199</v>
      </c>
      <c r="E95" s="42" t="s">
        <v>200</v>
      </c>
      <c r="F95" s="42" t="s">
        <v>57</v>
      </c>
      <c r="G95" s="159" t="s">
        <v>184</v>
      </c>
      <c r="H95" s="159" t="s">
        <v>185</v>
      </c>
      <c r="I95" s="42" t="s">
        <v>18</v>
      </c>
      <c r="J95" s="42" t="s">
        <v>186</v>
      </c>
      <c r="K95" s="42" t="s">
        <v>187</v>
      </c>
      <c r="L95" s="42" t="s">
        <v>188</v>
      </c>
      <c r="M95" s="42" t="s">
        <v>189</v>
      </c>
      <c r="N95" s="42" t="s">
        <v>206</v>
      </c>
      <c r="O95" s="42" t="s">
        <v>203</v>
      </c>
      <c r="P95" s="42" t="s">
        <v>204</v>
      </c>
      <c r="Q95" s="42" t="s">
        <v>205</v>
      </c>
      <c r="R95" s="42" t="s">
        <v>190</v>
      </c>
    </row>
    <row r="96" spans="1:18" x14ac:dyDescent="0.35">
      <c r="A96" s="49" t="s">
        <v>192</v>
      </c>
      <c r="B96" s="49"/>
      <c r="C96" s="49" t="s">
        <v>201</v>
      </c>
      <c r="D96" s="49"/>
      <c r="E96" s="49"/>
      <c r="F96" s="49"/>
      <c r="G96" s="49"/>
      <c r="H96" s="49"/>
      <c r="I96" s="49"/>
      <c r="J96" s="50"/>
      <c r="K96" s="51">
        <f>SUMIFS(K98:K163,C98:C163,C96,A98:A163,"*"&amp;"DE_"&amp;"*")</f>
        <v>6753624.7800000003</v>
      </c>
      <c r="L96" s="49"/>
      <c r="M96" s="51">
        <f>SUMIFS(M98:M163,C98:C163,C96,A98:A163,"*"&amp;"DE_"&amp;"*")</f>
        <v>1008157</v>
      </c>
      <c r="N96" s="49"/>
      <c r="O96" s="49"/>
      <c r="P96" s="49"/>
      <c r="Q96" s="49"/>
      <c r="R96" s="49"/>
    </row>
    <row r="97" spans="1:18" x14ac:dyDescent="0.35">
      <c r="A97" s="49" t="s">
        <v>192</v>
      </c>
      <c r="B97" s="49"/>
      <c r="C97" s="49" t="s">
        <v>196</v>
      </c>
      <c r="D97" s="49"/>
      <c r="E97" s="49"/>
      <c r="F97" s="49"/>
      <c r="G97" s="49"/>
      <c r="H97" s="49"/>
      <c r="I97" s="49"/>
      <c r="J97" s="50"/>
      <c r="K97" s="51">
        <f>SUMIFS(K98:K163,C98:C163,C97,A98:A163,"*"&amp;"DE_"&amp;"*")</f>
        <v>648000</v>
      </c>
      <c r="L97" s="49"/>
      <c r="M97" s="51">
        <f>SUMIFS(M98:M163,C98:C163,C97,A98:A163,"*"&amp;"DE_"&amp;"*")</f>
        <v>144010</v>
      </c>
      <c r="N97" s="49"/>
      <c r="O97" s="49"/>
      <c r="P97" s="49"/>
      <c r="Q97" s="49"/>
      <c r="R97" s="49"/>
    </row>
    <row r="98" spans="1:18" x14ac:dyDescent="0.35">
      <c r="A98" s="52" t="s">
        <v>193</v>
      </c>
      <c r="B98" s="52"/>
      <c r="C98" s="52" t="s">
        <v>201</v>
      </c>
      <c r="D98" s="52"/>
      <c r="E98" s="52"/>
      <c r="F98" s="52"/>
      <c r="G98" s="52"/>
      <c r="H98" s="52"/>
      <c r="I98" s="52"/>
      <c r="J98" s="53"/>
      <c r="K98" s="54">
        <f>SUMIFS(K100:K115,C100:C115,C98)</f>
        <v>657717.19999999995</v>
      </c>
      <c r="L98" s="52"/>
      <c r="M98" s="54">
        <f>SUMIFS(M100:M115,C100:C115,C98)</f>
        <v>144023</v>
      </c>
      <c r="N98" s="52"/>
      <c r="O98" s="52"/>
      <c r="P98" s="52"/>
      <c r="Q98" s="52"/>
      <c r="R98" s="52"/>
    </row>
    <row r="99" spans="1:18" x14ac:dyDescent="0.35">
      <c r="A99" s="52" t="s">
        <v>193</v>
      </c>
      <c r="B99" s="52"/>
      <c r="C99" s="52" t="s">
        <v>196</v>
      </c>
      <c r="D99" s="52"/>
      <c r="E99" s="52"/>
      <c r="F99" s="52"/>
      <c r="G99" s="52"/>
      <c r="H99" s="52"/>
      <c r="I99" s="52"/>
      <c r="J99" s="53"/>
      <c r="K99" s="54">
        <f>SUMIFS(K100:K115,C100:C115,C99)</f>
        <v>648000</v>
      </c>
      <c r="L99" s="52"/>
      <c r="M99" s="54">
        <f>SUMIFS(M100:M115,C100:C115,C99)</f>
        <v>144010</v>
      </c>
      <c r="N99" s="52"/>
      <c r="O99" s="52"/>
      <c r="P99" s="52"/>
      <c r="Q99" s="52"/>
      <c r="R99" s="52"/>
    </row>
    <row r="100" spans="1:18" x14ac:dyDescent="0.35">
      <c r="A100" s="59" t="s">
        <v>100</v>
      </c>
      <c r="B100" s="8"/>
      <c r="C100" s="30" t="s">
        <v>201</v>
      </c>
      <c r="D100" s="30"/>
      <c r="E100" s="30"/>
      <c r="F100" s="30">
        <v>13.5</v>
      </c>
      <c r="G100" s="30" t="str">
        <f>CONCATENATE("USD,FLAT ",TEXT(F100,"0.00"))</f>
        <v>USD,FLAT 13.50</v>
      </c>
      <c r="H100" s="36">
        <f>K100/J100</f>
        <v>13.5</v>
      </c>
      <c r="I100" s="30" t="s">
        <v>22</v>
      </c>
      <c r="J100" s="32">
        <v>48000</v>
      </c>
      <c r="K100" s="36">
        <f>J100*F100</f>
        <v>648000</v>
      </c>
      <c r="L100" s="30" t="str">
        <f>TEXT(IFERROR(((K100-K101)/K101*100),"0.00"),"0.00")</f>
        <v>0.00</v>
      </c>
      <c r="M100" s="36">
        <f>(10+J100*3)</f>
        <v>144010</v>
      </c>
      <c r="N100" s="30"/>
      <c r="O100" s="30" t="s">
        <v>171</v>
      </c>
      <c r="P100" s="30"/>
      <c r="Q100" s="30"/>
      <c r="R100" s="30"/>
    </row>
    <row r="101" spans="1:18" x14ac:dyDescent="0.35">
      <c r="A101" s="8"/>
      <c r="B101" s="8"/>
      <c r="C101" s="33" t="s">
        <v>196</v>
      </c>
      <c r="D101" s="33"/>
      <c r="E101" s="33"/>
      <c r="F101" s="33">
        <v>13.5</v>
      </c>
      <c r="G101" s="33" t="str">
        <f>CONCATENATE("USD,FLAT ",TEXT(F101,"0.00"))</f>
        <v>USD,FLAT 13.50</v>
      </c>
      <c r="H101" s="38">
        <f>IFERROR(K101/J101,"0")</f>
        <v>13.5</v>
      </c>
      <c r="I101" s="33" t="s">
        <v>22</v>
      </c>
      <c r="J101" s="34">
        <v>48000</v>
      </c>
      <c r="K101" s="38">
        <f>J101*F101</f>
        <v>648000</v>
      </c>
      <c r="L101" s="33"/>
      <c r="M101" s="38">
        <f>(10+J101*3)</f>
        <v>144010</v>
      </c>
      <c r="N101" s="33"/>
      <c r="O101" s="33"/>
      <c r="P101" s="33"/>
      <c r="Q101" s="33"/>
      <c r="R101" s="33"/>
    </row>
    <row r="102" spans="1:18" hidden="1" x14ac:dyDescent="0.35">
      <c r="A102" s="8"/>
      <c r="B102" s="8"/>
      <c r="C102" s="43" t="s">
        <v>197</v>
      </c>
      <c r="D102" s="43"/>
      <c r="E102" s="43"/>
      <c r="F102" s="43"/>
      <c r="G102" s="43"/>
      <c r="H102" s="43"/>
      <c r="I102" s="43"/>
      <c r="J102" s="43"/>
      <c r="K102" s="43"/>
      <c r="L102" s="43"/>
      <c r="M102" s="43"/>
      <c r="N102" s="43"/>
      <c r="O102" s="43"/>
      <c r="P102" s="43"/>
      <c r="Q102" s="43"/>
      <c r="R102" s="43"/>
    </row>
    <row r="103" spans="1:18" hidden="1" x14ac:dyDescent="0.35">
      <c r="A103" s="8"/>
      <c r="B103" s="8"/>
      <c r="C103" s="44" t="s">
        <v>198</v>
      </c>
      <c r="D103" s="44"/>
      <c r="E103" s="44"/>
      <c r="F103" s="44"/>
      <c r="G103" s="44"/>
      <c r="H103" s="44"/>
      <c r="I103" s="44"/>
      <c r="J103" s="44"/>
      <c r="K103" s="44"/>
      <c r="L103" s="44"/>
      <c r="M103" s="44"/>
      <c r="N103" s="44"/>
      <c r="O103" s="44"/>
      <c r="P103" s="44"/>
      <c r="Q103" s="44"/>
      <c r="R103" s="44"/>
    </row>
    <row r="104" spans="1:18" x14ac:dyDescent="0.35">
      <c r="A104" s="59" t="s">
        <v>101</v>
      </c>
      <c r="B104" s="8"/>
      <c r="C104" s="30" t="s">
        <v>201</v>
      </c>
      <c r="D104" s="30"/>
      <c r="E104" s="30"/>
      <c r="F104" s="30">
        <v>9.9499999999999993</v>
      </c>
      <c r="G104" s="30" t="str">
        <f>CONCATENATE("USD,FLAT ",TEXT(F104,"0.00"))</f>
        <v>USD,FLAT 9.95</v>
      </c>
      <c r="H104" s="36">
        <f>K104/J104</f>
        <v>9.9499999999999993</v>
      </c>
      <c r="I104" s="30" t="s">
        <v>22</v>
      </c>
      <c r="J104" s="32">
        <v>1</v>
      </c>
      <c r="K104" s="36">
        <f>J104*F104</f>
        <v>9.9499999999999993</v>
      </c>
      <c r="L104" s="30" t="str">
        <f>TEXT(IFERROR(((K104-K105)/K105*100),"0.00"),"0.00")</f>
        <v>0.00</v>
      </c>
      <c r="M104" s="36">
        <f>(10+J104*3)</f>
        <v>13</v>
      </c>
      <c r="N104" s="30"/>
      <c r="O104" s="30" t="s">
        <v>171</v>
      </c>
      <c r="P104" s="30"/>
      <c r="Q104" s="30"/>
      <c r="R104" s="30"/>
    </row>
    <row r="105" spans="1:18" x14ac:dyDescent="0.35">
      <c r="A105" s="8"/>
      <c r="B105" s="8"/>
      <c r="C105" s="33" t="s">
        <v>196</v>
      </c>
      <c r="D105" s="33"/>
      <c r="E105" s="33"/>
      <c r="F105" s="33">
        <v>9.9499999999999993</v>
      </c>
      <c r="G105" s="33" t="str">
        <f>CONCATENATE("USD,FLAT ",TEXT(F105,"0.00"))</f>
        <v>USD,FLAT 9.95</v>
      </c>
      <c r="H105" s="38" t="str">
        <f>IFERROR(K105/J105,"0")</f>
        <v>0</v>
      </c>
      <c r="I105" s="33"/>
      <c r="J105" s="34"/>
      <c r="K105" s="38">
        <f>J105*F105</f>
        <v>0</v>
      </c>
      <c r="L105" s="33"/>
      <c r="M105" s="38"/>
      <c r="N105" s="33"/>
      <c r="O105" s="33"/>
      <c r="P105" s="33"/>
      <c r="Q105" s="33"/>
      <c r="R105" s="33"/>
    </row>
    <row r="106" spans="1:18" hidden="1" x14ac:dyDescent="0.35">
      <c r="A106" s="8"/>
      <c r="B106" s="8"/>
      <c r="C106" s="43" t="s">
        <v>197</v>
      </c>
      <c r="D106" s="43"/>
      <c r="E106" s="43"/>
      <c r="F106" s="43"/>
      <c r="G106" s="43"/>
      <c r="H106" s="43"/>
      <c r="I106" s="43"/>
      <c r="J106" s="43"/>
      <c r="K106" s="43"/>
      <c r="L106" s="43"/>
      <c r="M106" s="43"/>
      <c r="N106" s="43"/>
      <c r="O106" s="43"/>
      <c r="P106" s="43"/>
      <c r="Q106" s="43"/>
      <c r="R106" s="43"/>
    </row>
    <row r="107" spans="1:18" hidden="1" x14ac:dyDescent="0.35">
      <c r="A107" s="8"/>
      <c r="B107" s="8"/>
      <c r="C107" s="44" t="s">
        <v>198</v>
      </c>
      <c r="D107" s="44"/>
      <c r="E107" s="44"/>
      <c r="F107" s="44"/>
      <c r="G107" s="44"/>
      <c r="H107" s="44"/>
      <c r="I107" s="44"/>
      <c r="J107" s="44"/>
      <c r="K107" s="44"/>
      <c r="L107" s="44"/>
      <c r="M107" s="44"/>
      <c r="N107" s="44"/>
      <c r="O107" s="44"/>
      <c r="P107" s="44"/>
      <c r="Q107" s="44"/>
      <c r="R107" s="44"/>
    </row>
    <row r="108" spans="1:18" x14ac:dyDescent="0.35">
      <c r="A108" s="59" t="s">
        <v>207</v>
      </c>
      <c r="B108" s="8"/>
      <c r="C108" s="30" t="s">
        <v>201</v>
      </c>
      <c r="D108" s="30"/>
      <c r="E108" s="30"/>
      <c r="F108" s="30">
        <v>112.04</v>
      </c>
      <c r="G108" s="30" t="str">
        <f>CONCATENATE("USD,FLAT ",TEXT(F108,"0.00"))</f>
        <v>USD,FLAT 112.04</v>
      </c>
      <c r="H108" s="36">
        <f>F108</f>
        <v>112.04</v>
      </c>
      <c r="I108" s="30"/>
      <c r="J108" s="32"/>
      <c r="K108" s="36">
        <f>(F108*5*5)</f>
        <v>2801</v>
      </c>
      <c r="L108" s="30" t="str">
        <f>TEXT(IFERROR(((K108-K109)/K109*100),"0.00"),"0.00")</f>
        <v>0.00</v>
      </c>
      <c r="M108" s="36">
        <v>0</v>
      </c>
      <c r="N108" s="30"/>
      <c r="O108" s="30" t="s">
        <v>213</v>
      </c>
      <c r="P108" s="30"/>
      <c r="Q108" s="30"/>
      <c r="R108" s="30"/>
    </row>
    <row r="109" spans="1:18" x14ac:dyDescent="0.35">
      <c r="A109" s="8"/>
      <c r="B109" s="8"/>
      <c r="C109" s="33" t="s">
        <v>196</v>
      </c>
      <c r="D109" s="33"/>
      <c r="E109" s="33"/>
      <c r="F109" s="33"/>
      <c r="G109" s="33"/>
      <c r="H109" s="38"/>
      <c r="I109" s="33"/>
      <c r="J109" s="34"/>
      <c r="K109" s="38"/>
      <c r="L109" s="33"/>
      <c r="M109" s="38"/>
      <c r="N109" s="33"/>
      <c r="O109" s="33"/>
      <c r="P109" s="33"/>
      <c r="Q109" s="33"/>
      <c r="R109" s="33"/>
    </row>
    <row r="110" spans="1:18" hidden="1" x14ac:dyDescent="0.35">
      <c r="A110" s="8"/>
      <c r="B110" s="8"/>
      <c r="C110" s="43" t="s">
        <v>197</v>
      </c>
      <c r="D110" s="43"/>
      <c r="E110" s="43"/>
      <c r="F110" s="43"/>
      <c r="G110" s="43"/>
      <c r="H110" s="43"/>
      <c r="I110" s="43"/>
      <c r="J110" s="43"/>
      <c r="K110" s="43"/>
      <c r="L110" s="43"/>
      <c r="M110" s="43"/>
      <c r="N110" s="43"/>
      <c r="O110" s="43"/>
      <c r="P110" s="43"/>
      <c r="Q110" s="43"/>
      <c r="R110" s="43"/>
    </row>
    <row r="111" spans="1:18" hidden="1" x14ac:dyDescent="0.35">
      <c r="A111" s="8"/>
      <c r="B111" s="8"/>
      <c r="C111" s="44" t="s">
        <v>198</v>
      </c>
      <c r="D111" s="44"/>
      <c r="E111" s="44"/>
      <c r="F111" s="44"/>
      <c r="G111" s="44"/>
      <c r="H111" s="44"/>
      <c r="I111" s="44"/>
      <c r="J111" s="44"/>
      <c r="K111" s="44"/>
      <c r="L111" s="44"/>
      <c r="M111" s="44"/>
      <c r="N111" s="44"/>
      <c r="O111" s="44"/>
      <c r="P111" s="44"/>
      <c r="Q111" s="44"/>
      <c r="R111" s="44"/>
    </row>
    <row r="112" spans="1:18" x14ac:dyDescent="0.35">
      <c r="A112" s="59" t="s">
        <v>102</v>
      </c>
      <c r="B112" s="8"/>
      <c r="C112" s="30" t="s">
        <v>201</v>
      </c>
      <c r="D112" s="30"/>
      <c r="E112" s="30"/>
      <c r="F112" s="30">
        <v>276.25</v>
      </c>
      <c r="G112" s="30" t="str">
        <f>CONCATENATE("USD,FLAT ",TEXT(F112,"0.00"))</f>
        <v>USD,FLAT 276.25</v>
      </c>
      <c r="H112" s="36">
        <f>F112</f>
        <v>276.25</v>
      </c>
      <c r="I112" s="30"/>
      <c r="J112" s="32"/>
      <c r="K112" s="36">
        <f>(F112*5*5)</f>
        <v>6906.25</v>
      </c>
      <c r="L112" s="30" t="str">
        <f>TEXT(IFERROR(((K112-K113)/K113*100),"0.00"),"0.00")</f>
        <v>0.00</v>
      </c>
      <c r="M112" s="36">
        <v>0</v>
      </c>
      <c r="N112" s="30"/>
      <c r="O112" s="30" t="s">
        <v>213</v>
      </c>
      <c r="P112" s="30"/>
      <c r="Q112" s="30"/>
      <c r="R112" s="30"/>
    </row>
    <row r="113" spans="1:18" x14ac:dyDescent="0.35">
      <c r="A113" s="8"/>
      <c r="B113" s="8"/>
      <c r="C113" s="33" t="s">
        <v>196</v>
      </c>
      <c r="D113" s="33"/>
      <c r="E113" s="33"/>
      <c r="F113" s="33"/>
      <c r="G113" s="33"/>
      <c r="H113" s="38"/>
      <c r="I113" s="33"/>
      <c r="J113" s="34"/>
      <c r="K113" s="38"/>
      <c r="L113" s="33"/>
      <c r="M113" s="38"/>
      <c r="N113" s="33"/>
      <c r="O113" s="33"/>
      <c r="P113" s="33"/>
      <c r="Q113" s="33"/>
      <c r="R113" s="33"/>
    </row>
    <row r="114" spans="1:18" hidden="1" x14ac:dyDescent="0.35">
      <c r="A114" s="8"/>
      <c r="B114" s="8"/>
      <c r="C114" s="43" t="s">
        <v>197</v>
      </c>
      <c r="D114" s="43"/>
      <c r="E114" s="43"/>
      <c r="F114" s="43"/>
      <c r="G114" s="43"/>
      <c r="H114" s="43"/>
      <c r="I114" s="43"/>
      <c r="J114" s="43"/>
      <c r="K114" s="43"/>
      <c r="L114" s="43"/>
      <c r="M114" s="43"/>
      <c r="N114" s="43"/>
      <c r="O114" s="43"/>
      <c r="P114" s="43"/>
      <c r="Q114" s="43"/>
      <c r="R114" s="43"/>
    </row>
    <row r="115" spans="1:18" hidden="1" x14ac:dyDescent="0.35">
      <c r="A115" s="8"/>
      <c r="B115" s="8"/>
      <c r="C115" s="44" t="s">
        <v>198</v>
      </c>
      <c r="D115" s="44"/>
      <c r="E115" s="44"/>
      <c r="F115" s="44"/>
      <c r="G115" s="44"/>
      <c r="H115" s="44"/>
      <c r="I115" s="44"/>
      <c r="J115" s="44"/>
      <c r="K115" s="44"/>
      <c r="L115" s="44"/>
      <c r="M115" s="44"/>
      <c r="N115" s="44"/>
      <c r="O115" s="44"/>
      <c r="P115" s="44"/>
      <c r="Q115" s="44"/>
      <c r="R115" s="44"/>
    </row>
    <row r="116" spans="1:18" x14ac:dyDescent="0.35">
      <c r="A116" s="52" t="s">
        <v>194</v>
      </c>
      <c r="B116" s="52"/>
      <c r="C116" s="52" t="s">
        <v>201</v>
      </c>
      <c r="D116" s="52"/>
      <c r="E116" s="52"/>
      <c r="F116" s="52"/>
      <c r="G116" s="52"/>
      <c r="H116" s="52"/>
      <c r="I116" s="52"/>
      <c r="J116" s="53"/>
      <c r="K116" s="54">
        <f>SUMIFS(K118:K129,C118:C129,C116)</f>
        <v>6092880</v>
      </c>
      <c r="L116" s="52"/>
      <c r="M116" s="54">
        <f>SUMIFS(M118:M129,C118:C129,C116)</f>
        <v>864030</v>
      </c>
      <c r="N116" s="52"/>
      <c r="O116" s="52"/>
      <c r="P116" s="52"/>
      <c r="Q116" s="52"/>
      <c r="R116" s="52"/>
    </row>
    <row r="117" spans="1:18" x14ac:dyDescent="0.35">
      <c r="A117" s="52" t="s">
        <v>194</v>
      </c>
      <c r="B117" s="52"/>
      <c r="C117" s="52" t="s">
        <v>196</v>
      </c>
      <c r="D117" s="52"/>
      <c r="E117" s="52"/>
      <c r="F117" s="52"/>
      <c r="G117" s="52"/>
      <c r="H117" s="52"/>
      <c r="I117" s="52"/>
      <c r="J117" s="53"/>
      <c r="K117" s="54">
        <f>SUMIFS(K118:K127,C118:C127,C117)</f>
        <v>0</v>
      </c>
      <c r="L117" s="52"/>
      <c r="M117" s="54">
        <f>SUMIFS(M118:M127,C118:C127,C117)</f>
        <v>0</v>
      </c>
      <c r="N117" s="52"/>
      <c r="O117" s="52"/>
      <c r="P117" s="52"/>
      <c r="Q117" s="52"/>
      <c r="R117" s="52"/>
    </row>
    <row r="118" spans="1:18" x14ac:dyDescent="0.35">
      <c r="A118" s="59" t="s">
        <v>103</v>
      </c>
      <c r="B118" s="8"/>
      <c r="C118" s="30" t="s">
        <v>201</v>
      </c>
      <c r="D118" s="30"/>
      <c r="E118" s="30"/>
      <c r="F118" s="31" t="s">
        <v>211</v>
      </c>
      <c r="G118" s="30" t="s">
        <v>208</v>
      </c>
      <c r="H118" s="36">
        <f>K118/J118</f>
        <v>12.25</v>
      </c>
      <c r="I118" s="30" t="s">
        <v>22</v>
      </c>
      <c r="J118" s="32">
        <v>72000</v>
      </c>
      <c r="K118" s="36">
        <f>(1000*12.95+4000*12.15+1000*11.95)*12</f>
        <v>882000</v>
      </c>
      <c r="L118" s="30" t="str">
        <f>TEXT(IFERROR(((K118-K119)/K119*100),"0.00"),"0.00")</f>
        <v>0.00</v>
      </c>
      <c r="M118" s="36">
        <f>(10+J118*3)</f>
        <v>216010</v>
      </c>
      <c r="N118" s="35" t="s">
        <v>54</v>
      </c>
      <c r="O118" s="30" t="s">
        <v>213</v>
      </c>
      <c r="P118" s="30"/>
      <c r="Q118" s="30"/>
      <c r="R118" s="30"/>
    </row>
    <row r="119" spans="1:18" x14ac:dyDescent="0.35">
      <c r="A119" s="8"/>
      <c r="B119" s="8"/>
      <c r="C119" s="33" t="s">
        <v>196</v>
      </c>
      <c r="D119" s="33"/>
      <c r="E119" s="33"/>
      <c r="F119" s="33"/>
      <c r="G119" s="33"/>
      <c r="H119" s="38">
        <f>IFERROR(K119/J119,"0")</f>
        <v>0</v>
      </c>
      <c r="I119" s="33" t="s">
        <v>22</v>
      </c>
      <c r="J119" s="34">
        <v>72000</v>
      </c>
      <c r="K119" s="40">
        <v>0</v>
      </c>
      <c r="L119" s="33"/>
      <c r="M119" s="38"/>
      <c r="N119" s="33"/>
      <c r="O119" s="33"/>
      <c r="P119" s="33"/>
      <c r="Q119" s="33"/>
      <c r="R119" s="33"/>
    </row>
    <row r="120" spans="1:18" hidden="1" x14ac:dyDescent="0.35">
      <c r="A120" s="8"/>
      <c r="B120" s="8"/>
      <c r="C120" s="43" t="s">
        <v>197</v>
      </c>
      <c r="D120" s="43"/>
      <c r="E120" s="43"/>
      <c r="F120" s="43"/>
      <c r="G120" s="43"/>
      <c r="H120" s="43"/>
      <c r="I120" s="43"/>
      <c r="J120" s="43"/>
      <c r="K120" s="45"/>
      <c r="L120" s="43"/>
      <c r="M120" s="43"/>
      <c r="N120" s="43"/>
      <c r="O120" s="43"/>
      <c r="P120" s="43"/>
      <c r="Q120" s="43"/>
      <c r="R120" s="43"/>
    </row>
    <row r="121" spans="1:18" hidden="1" x14ac:dyDescent="0.35">
      <c r="A121" s="8"/>
      <c r="B121" s="8"/>
      <c r="C121" s="44" t="s">
        <v>198</v>
      </c>
      <c r="D121" s="44"/>
      <c r="E121" s="44"/>
      <c r="F121" s="44"/>
      <c r="G121" s="44"/>
      <c r="H121" s="44"/>
      <c r="I121" s="44"/>
      <c r="J121" s="44"/>
      <c r="K121" s="46"/>
      <c r="L121" s="44"/>
      <c r="M121" s="44"/>
      <c r="N121" s="44"/>
      <c r="O121" s="44"/>
      <c r="P121" s="44"/>
      <c r="Q121" s="44"/>
      <c r="R121" s="44"/>
    </row>
    <row r="122" spans="1:18" x14ac:dyDescent="0.35">
      <c r="A122" s="59" t="s">
        <v>104</v>
      </c>
      <c r="B122" s="8"/>
      <c r="C122" s="30" t="s">
        <v>201</v>
      </c>
      <c r="D122" s="30"/>
      <c r="E122" s="30"/>
      <c r="F122" s="31" t="s">
        <v>211</v>
      </c>
      <c r="G122" s="30" t="s">
        <v>209</v>
      </c>
      <c r="H122" s="36">
        <f>K122/J122</f>
        <v>11.95</v>
      </c>
      <c r="I122" s="30" t="s">
        <v>22</v>
      </c>
      <c r="J122" s="32">
        <v>96000</v>
      </c>
      <c r="K122" s="36">
        <f>J122*11.95</f>
        <v>1147200</v>
      </c>
      <c r="L122" s="30" t="str">
        <f>TEXT(IFERROR(((K122-K123)/K123*100),"0.00"),"0.00")</f>
        <v>0.00</v>
      </c>
      <c r="M122" s="36">
        <f>(10+J122*3)</f>
        <v>288010</v>
      </c>
      <c r="N122" s="35" t="s">
        <v>54</v>
      </c>
      <c r="O122" s="30" t="s">
        <v>213</v>
      </c>
      <c r="P122" s="30"/>
      <c r="Q122" s="30"/>
      <c r="R122" s="30"/>
    </row>
    <row r="123" spans="1:18" x14ac:dyDescent="0.35">
      <c r="A123" s="8"/>
      <c r="B123" s="8"/>
      <c r="C123" s="33" t="s">
        <v>196</v>
      </c>
      <c r="D123" s="33"/>
      <c r="E123" s="33"/>
      <c r="F123" s="33"/>
      <c r="G123" s="33"/>
      <c r="H123" s="38">
        <f>IFERROR(K123/J123,"0")</f>
        <v>0</v>
      </c>
      <c r="I123" s="33" t="s">
        <v>22</v>
      </c>
      <c r="J123" s="34">
        <v>96000</v>
      </c>
      <c r="K123" s="40">
        <v>0</v>
      </c>
      <c r="L123" s="33"/>
      <c r="M123" s="33"/>
      <c r="N123" s="33"/>
      <c r="O123" s="33"/>
      <c r="P123" s="33"/>
      <c r="Q123" s="33"/>
      <c r="R123" s="33"/>
    </row>
    <row r="124" spans="1:18" hidden="1" x14ac:dyDescent="0.35">
      <c r="A124" s="8"/>
      <c r="B124" s="8"/>
      <c r="C124" s="43" t="s">
        <v>197</v>
      </c>
      <c r="D124" s="43"/>
      <c r="E124" s="43"/>
      <c r="F124" s="43"/>
      <c r="G124" s="43"/>
      <c r="H124" s="43"/>
      <c r="I124" s="43"/>
      <c r="J124" s="43"/>
      <c r="K124" s="45"/>
      <c r="L124" s="43"/>
      <c r="M124" s="43"/>
      <c r="N124" s="43"/>
      <c r="O124" s="43"/>
      <c r="P124" s="43"/>
      <c r="Q124" s="43"/>
      <c r="R124" s="43"/>
    </row>
    <row r="125" spans="1:18" hidden="1" x14ac:dyDescent="0.35">
      <c r="A125" s="8"/>
      <c r="B125" s="8"/>
      <c r="C125" s="44" t="s">
        <v>198</v>
      </c>
      <c r="D125" s="44"/>
      <c r="E125" s="44"/>
      <c r="F125" s="44"/>
      <c r="G125" s="44"/>
      <c r="H125" s="44"/>
      <c r="I125" s="44"/>
      <c r="J125" s="44"/>
      <c r="K125" s="46"/>
      <c r="L125" s="44"/>
      <c r="M125" s="44"/>
      <c r="N125" s="44"/>
      <c r="O125" s="44"/>
      <c r="P125" s="44"/>
      <c r="Q125" s="44"/>
      <c r="R125" s="44"/>
    </row>
    <row r="126" spans="1:18" ht="29" x14ac:dyDescent="0.35">
      <c r="A126" s="59" t="s">
        <v>105</v>
      </c>
      <c r="B126" s="8"/>
      <c r="C126" s="30" t="s">
        <v>201</v>
      </c>
      <c r="D126" s="30"/>
      <c r="E126" s="30"/>
      <c r="F126" s="31" t="s">
        <v>212</v>
      </c>
      <c r="G126" s="30" t="s">
        <v>210</v>
      </c>
      <c r="H126" s="36">
        <f>K126/J126</f>
        <v>33.863999999999997</v>
      </c>
      <c r="I126" s="30" t="s">
        <v>22</v>
      </c>
      <c r="J126" s="32">
        <v>120000</v>
      </c>
      <c r="K126" s="36">
        <f>'UC01 - CALCULATOIN'!C13</f>
        <v>4063680</v>
      </c>
      <c r="L126" s="30" t="str">
        <f>TEXT(IFERROR(((K126-K127)/K127*100),"0.00"),"0.00")</f>
        <v>0.00</v>
      </c>
      <c r="M126" s="36">
        <f>(10+J126*3)</f>
        <v>360010</v>
      </c>
      <c r="N126" s="35" t="s">
        <v>54</v>
      </c>
      <c r="O126" s="30" t="s">
        <v>213</v>
      </c>
      <c r="P126" s="30"/>
      <c r="Q126" s="30"/>
      <c r="R126" s="30"/>
    </row>
    <row r="127" spans="1:18" x14ac:dyDescent="0.35">
      <c r="A127" s="8"/>
      <c r="B127" s="8"/>
      <c r="C127" s="33" t="s">
        <v>196</v>
      </c>
      <c r="D127" s="33"/>
      <c r="E127" s="33"/>
      <c r="F127" s="33"/>
      <c r="G127" s="33"/>
      <c r="H127" s="38">
        <f>IFERROR(K127/J127,"0")</f>
        <v>0</v>
      </c>
      <c r="I127" s="33" t="s">
        <v>22</v>
      </c>
      <c r="J127" s="34">
        <v>120000</v>
      </c>
      <c r="K127" s="40">
        <v>0</v>
      </c>
      <c r="L127" s="33"/>
      <c r="M127" s="33"/>
      <c r="N127" s="33"/>
      <c r="O127" s="33"/>
      <c r="P127" s="33"/>
      <c r="Q127" s="33"/>
      <c r="R127" s="33"/>
    </row>
    <row r="128" spans="1:18" hidden="1" x14ac:dyDescent="0.35">
      <c r="A128" s="8"/>
      <c r="B128" s="8"/>
      <c r="C128" s="43" t="s">
        <v>197</v>
      </c>
      <c r="D128" s="43"/>
      <c r="E128" s="43"/>
      <c r="F128" s="43"/>
      <c r="G128" s="43"/>
      <c r="H128" s="43"/>
      <c r="I128" s="43"/>
      <c r="J128" s="43"/>
      <c r="K128" s="45"/>
      <c r="L128" s="43"/>
      <c r="M128" s="43"/>
      <c r="N128" s="43"/>
      <c r="O128" s="43"/>
      <c r="P128" s="43"/>
      <c r="Q128" s="43"/>
      <c r="R128" s="43"/>
    </row>
    <row r="129" spans="1:18" hidden="1" x14ac:dyDescent="0.35">
      <c r="A129" s="8"/>
      <c r="B129" s="8"/>
      <c r="C129" s="44" t="s">
        <v>198</v>
      </c>
      <c r="D129" s="44"/>
      <c r="E129" s="44"/>
      <c r="F129" s="44"/>
      <c r="G129" s="44"/>
      <c r="H129" s="44"/>
      <c r="I129" s="44"/>
      <c r="J129" s="44"/>
      <c r="K129" s="46"/>
      <c r="L129" s="44"/>
      <c r="M129" s="44"/>
      <c r="N129" s="44"/>
      <c r="O129" s="44"/>
      <c r="P129" s="44"/>
      <c r="Q129" s="44"/>
      <c r="R129" s="44"/>
    </row>
    <row r="130" spans="1:18" x14ac:dyDescent="0.35">
      <c r="A130" s="52" t="s">
        <v>195</v>
      </c>
      <c r="B130" s="52"/>
      <c r="C130" s="52" t="s">
        <v>201</v>
      </c>
      <c r="D130" s="52"/>
      <c r="E130" s="52"/>
      <c r="F130" s="52"/>
      <c r="G130" s="52"/>
      <c r="H130" s="52"/>
      <c r="I130" s="52"/>
      <c r="J130" s="53"/>
      <c r="K130" s="54">
        <f>SUMIFS(K132:K163,C132:C163,C130)</f>
        <v>3027.5800000000004</v>
      </c>
      <c r="L130" s="52"/>
      <c r="M130" s="54">
        <f>SUMIFS(M132:M163,C132:C163,C130)</f>
        <v>104</v>
      </c>
      <c r="N130" s="52"/>
      <c r="O130" s="52"/>
      <c r="P130" s="52"/>
      <c r="Q130" s="52"/>
      <c r="R130" s="52"/>
    </row>
    <row r="131" spans="1:18" x14ac:dyDescent="0.35">
      <c r="A131" s="52" t="s">
        <v>195</v>
      </c>
      <c r="B131" s="52"/>
      <c r="C131" s="52" t="s">
        <v>196</v>
      </c>
      <c r="D131" s="52"/>
      <c r="E131" s="52"/>
      <c r="F131" s="52"/>
      <c r="G131" s="52"/>
      <c r="H131" s="52"/>
      <c r="I131" s="52"/>
      <c r="J131" s="53"/>
      <c r="K131" s="54">
        <f>SUMIFS(K132:K163,C132:C163,C131)</f>
        <v>0</v>
      </c>
      <c r="L131" s="52"/>
      <c r="M131" s="54">
        <f>SUMIFS(M132:M163,C132:C163,C131)</f>
        <v>0</v>
      </c>
      <c r="N131" s="52"/>
      <c r="O131" s="52"/>
      <c r="P131" s="52"/>
      <c r="Q131" s="52"/>
      <c r="R131" s="52"/>
    </row>
    <row r="132" spans="1:18" x14ac:dyDescent="0.35">
      <c r="A132" s="59" t="s">
        <v>106</v>
      </c>
      <c r="B132" s="8"/>
      <c r="C132" s="30" t="s">
        <v>201</v>
      </c>
      <c r="D132" s="30"/>
      <c r="E132" s="30"/>
      <c r="F132" s="39">
        <v>0.15</v>
      </c>
      <c r="G132" s="30" t="str">
        <f>CONCATENATE("USD,FLAT ",TEXT(F132,"0.00"))</f>
        <v>USD,FLAT 0.15</v>
      </c>
      <c r="H132" s="36">
        <f>(K132/J132)</f>
        <v>3000.15</v>
      </c>
      <c r="I132" s="30" t="s">
        <v>22</v>
      </c>
      <c r="J132" s="32">
        <v>1</v>
      </c>
      <c r="K132" s="39">
        <f>J132*F132+3000</f>
        <v>3000.15</v>
      </c>
      <c r="L132" s="30" t="str">
        <f>TEXT(IFERROR(((K132-K133)/K133*100),"0.00"),"0.00")</f>
        <v>0.00</v>
      </c>
      <c r="M132" s="36">
        <f>(10+J132*3)</f>
        <v>13</v>
      </c>
      <c r="N132" s="30"/>
      <c r="O132" s="30" t="s">
        <v>213</v>
      </c>
      <c r="P132" s="30"/>
      <c r="Q132" s="30"/>
      <c r="R132" s="30"/>
    </row>
    <row r="133" spans="1:18" x14ac:dyDescent="0.35">
      <c r="A133" s="8"/>
      <c r="B133" s="8"/>
      <c r="C133" s="33" t="s">
        <v>196</v>
      </c>
      <c r="D133" s="33"/>
      <c r="E133" s="33"/>
      <c r="F133" s="33"/>
      <c r="G133" s="33"/>
      <c r="H133" s="38" t="str">
        <f>IFERROR(K133/J133,"0")</f>
        <v>0</v>
      </c>
      <c r="I133" s="33"/>
      <c r="J133" s="34"/>
      <c r="K133" s="40"/>
      <c r="L133" s="33"/>
      <c r="M133" s="33"/>
      <c r="N133" s="33"/>
      <c r="O133" s="33"/>
      <c r="P133" s="33"/>
      <c r="Q133" s="33"/>
      <c r="R133" s="33"/>
    </row>
    <row r="134" spans="1:18" hidden="1" x14ac:dyDescent="0.35">
      <c r="A134" s="8"/>
      <c r="B134" s="8"/>
      <c r="C134" s="43" t="s">
        <v>197</v>
      </c>
      <c r="D134" s="43"/>
      <c r="E134" s="43"/>
      <c r="F134" s="43"/>
      <c r="G134" s="43"/>
      <c r="H134" s="43"/>
      <c r="I134" s="43"/>
      <c r="J134" s="43"/>
      <c r="K134" s="45"/>
      <c r="L134" s="43"/>
      <c r="M134" s="43"/>
      <c r="N134" s="43"/>
      <c r="O134" s="43"/>
      <c r="P134" s="43"/>
      <c r="Q134" s="43"/>
      <c r="R134" s="43"/>
    </row>
    <row r="135" spans="1:18" hidden="1" x14ac:dyDescent="0.35">
      <c r="A135" s="8"/>
      <c r="B135" s="8"/>
      <c r="C135" s="44" t="s">
        <v>198</v>
      </c>
      <c r="D135" s="44"/>
      <c r="E135" s="44"/>
      <c r="F135" s="44"/>
      <c r="G135" s="44"/>
      <c r="H135" s="44"/>
      <c r="I135" s="44"/>
      <c r="J135" s="44"/>
      <c r="K135" s="46"/>
      <c r="L135" s="44"/>
      <c r="M135" s="44"/>
      <c r="N135" s="44"/>
      <c r="O135" s="44"/>
      <c r="P135" s="44"/>
      <c r="Q135" s="44"/>
      <c r="R135" s="44"/>
    </row>
    <row r="136" spans="1:18" x14ac:dyDescent="0.35">
      <c r="A136" s="59" t="s">
        <v>107</v>
      </c>
      <c r="B136" s="8"/>
      <c r="C136" s="30" t="s">
        <v>201</v>
      </c>
      <c r="D136" s="30"/>
      <c r="E136" s="30"/>
      <c r="F136" s="39">
        <v>2.0499999999999998</v>
      </c>
      <c r="G136" s="30" t="str">
        <f>CONCATENATE("USD,FLAT ",TEXT(F136,"0.00"))</f>
        <v>USD,FLAT 2.05</v>
      </c>
      <c r="H136" s="36">
        <f>K136/J136</f>
        <v>2.0499999999999998</v>
      </c>
      <c r="I136" s="30" t="s">
        <v>22</v>
      </c>
      <c r="J136" s="32">
        <v>1</v>
      </c>
      <c r="K136" s="39">
        <f>J136*F136</f>
        <v>2.0499999999999998</v>
      </c>
      <c r="L136" s="30" t="str">
        <f>TEXT(IFERROR(((K136-K137)/K137*100),"0.00"),"0.00")</f>
        <v>0.00</v>
      </c>
      <c r="M136" s="36">
        <f>(10+J136*3)</f>
        <v>13</v>
      </c>
      <c r="N136" s="30"/>
      <c r="O136" s="30" t="s">
        <v>213</v>
      </c>
      <c r="P136" s="30"/>
      <c r="Q136" s="30"/>
      <c r="R136" s="30"/>
    </row>
    <row r="137" spans="1:18" x14ac:dyDescent="0.35">
      <c r="A137" s="8"/>
      <c r="B137" s="8"/>
      <c r="C137" s="33" t="s">
        <v>196</v>
      </c>
      <c r="D137" s="33"/>
      <c r="E137" s="33"/>
      <c r="F137" s="33"/>
      <c r="G137" s="33"/>
      <c r="H137" s="38" t="str">
        <f>IFERROR(K137/J137,"0")</f>
        <v>0</v>
      </c>
      <c r="I137" s="33"/>
      <c r="J137" s="34"/>
      <c r="K137" s="40"/>
      <c r="L137" s="33"/>
      <c r="M137" s="33"/>
      <c r="N137" s="33"/>
      <c r="O137" s="33"/>
      <c r="P137" s="33"/>
      <c r="Q137" s="33"/>
      <c r="R137" s="33"/>
    </row>
    <row r="138" spans="1:18" hidden="1" x14ac:dyDescent="0.35">
      <c r="A138" s="8"/>
      <c r="B138" s="8"/>
      <c r="C138" s="43" t="s">
        <v>197</v>
      </c>
      <c r="D138" s="43"/>
      <c r="E138" s="43"/>
      <c r="F138" s="43"/>
      <c r="G138" s="43"/>
      <c r="H138" s="43"/>
      <c r="I138" s="43"/>
      <c r="J138" s="43"/>
      <c r="K138" s="45"/>
      <c r="L138" s="43"/>
      <c r="M138" s="43"/>
      <c r="N138" s="43"/>
      <c r="O138" s="43"/>
      <c r="P138" s="43"/>
      <c r="Q138" s="43"/>
      <c r="R138" s="43"/>
    </row>
    <row r="139" spans="1:18" hidden="1" x14ac:dyDescent="0.35">
      <c r="A139" s="8"/>
      <c r="B139" s="8"/>
      <c r="C139" s="44" t="s">
        <v>198</v>
      </c>
      <c r="D139" s="44"/>
      <c r="E139" s="44"/>
      <c r="F139" s="44"/>
      <c r="G139" s="44"/>
      <c r="H139" s="44"/>
      <c r="I139" s="44"/>
      <c r="J139" s="44"/>
      <c r="K139" s="46"/>
      <c r="L139" s="44"/>
      <c r="M139" s="44"/>
      <c r="N139" s="44"/>
      <c r="O139" s="44"/>
      <c r="P139" s="44"/>
      <c r="Q139" s="44"/>
      <c r="R139" s="44"/>
    </row>
    <row r="140" spans="1:18" x14ac:dyDescent="0.35">
      <c r="A140" s="59" t="s">
        <v>107</v>
      </c>
      <c r="B140" s="8" t="s">
        <v>51</v>
      </c>
      <c r="C140" s="30" t="s">
        <v>201</v>
      </c>
      <c r="D140" s="30"/>
      <c r="E140" s="30"/>
      <c r="F140" s="39">
        <v>0.75</v>
      </c>
      <c r="G140" s="30" t="str">
        <f>CONCATENATE("USD,FLAT ",TEXT(F140,"0.00"))</f>
        <v>USD,FLAT 0.75</v>
      </c>
      <c r="H140" s="36">
        <f>K140/J140</f>
        <v>0.75</v>
      </c>
      <c r="I140" s="30" t="s">
        <v>22</v>
      </c>
      <c r="J140" s="32">
        <v>1</v>
      </c>
      <c r="K140" s="39">
        <f>J140*F140</f>
        <v>0.75</v>
      </c>
      <c r="L140" s="30" t="str">
        <f>TEXT(IFERROR(((K140-K141)/K141*100),"0.00"),"0.00")</f>
        <v>0.00</v>
      </c>
      <c r="M140" s="36">
        <f>(10+J140*3)</f>
        <v>13</v>
      </c>
      <c r="N140" s="30"/>
      <c r="O140" s="30" t="s">
        <v>213</v>
      </c>
      <c r="P140" s="30"/>
      <c r="Q140" s="30"/>
      <c r="R140" s="30"/>
    </row>
    <row r="141" spans="1:18" x14ac:dyDescent="0.35">
      <c r="A141" s="8"/>
      <c r="B141" s="8"/>
      <c r="C141" s="33" t="s">
        <v>196</v>
      </c>
      <c r="D141" s="33"/>
      <c r="E141" s="33"/>
      <c r="F141" s="33"/>
      <c r="G141" s="33"/>
      <c r="H141" s="38" t="str">
        <f>IFERROR(K141/J141,"0")</f>
        <v>0</v>
      </c>
      <c r="I141" s="33"/>
      <c r="J141" s="34"/>
      <c r="K141" s="40"/>
      <c r="L141" s="33"/>
      <c r="M141" s="33"/>
      <c r="N141" s="33"/>
      <c r="O141" s="33"/>
      <c r="P141" s="33"/>
      <c r="Q141" s="33"/>
      <c r="R141" s="33"/>
    </row>
    <row r="142" spans="1:18" hidden="1" x14ac:dyDescent="0.35">
      <c r="A142" s="8"/>
      <c r="B142" s="8"/>
      <c r="C142" s="43" t="s">
        <v>197</v>
      </c>
      <c r="D142" s="43"/>
      <c r="E142" s="43"/>
      <c r="F142" s="43"/>
      <c r="G142" s="43"/>
      <c r="H142" s="43"/>
      <c r="I142" s="43"/>
      <c r="J142" s="43"/>
      <c r="K142" s="45"/>
      <c r="L142" s="43"/>
      <c r="M142" s="43"/>
      <c r="N142" s="43"/>
      <c r="O142" s="43"/>
      <c r="P142" s="43"/>
      <c r="Q142" s="43"/>
      <c r="R142" s="43"/>
    </row>
    <row r="143" spans="1:18" hidden="1" x14ac:dyDescent="0.35">
      <c r="A143" s="8"/>
      <c r="B143" s="8"/>
      <c r="C143" s="44" t="s">
        <v>198</v>
      </c>
      <c r="D143" s="44"/>
      <c r="E143" s="44"/>
      <c r="F143" s="44"/>
      <c r="G143" s="44"/>
      <c r="H143" s="44"/>
      <c r="I143" s="44"/>
      <c r="J143" s="44"/>
      <c r="K143" s="46"/>
      <c r="L143" s="44"/>
      <c r="M143" s="44"/>
      <c r="N143" s="44"/>
      <c r="O143" s="44"/>
      <c r="P143" s="44"/>
      <c r="Q143" s="44"/>
      <c r="R143" s="44"/>
    </row>
    <row r="144" spans="1:18" x14ac:dyDescent="0.35">
      <c r="A144" s="59" t="s">
        <v>107</v>
      </c>
      <c r="B144" s="8" t="s">
        <v>202</v>
      </c>
      <c r="C144" s="30" t="s">
        <v>201</v>
      </c>
      <c r="D144" s="30"/>
      <c r="E144" s="30"/>
      <c r="F144" s="39">
        <v>0.3</v>
      </c>
      <c r="G144" s="30" t="str">
        <f>CONCATENATE("USD,FLAT ",TEXT(F144,"0.00"))</f>
        <v>USD,FLAT 0.30</v>
      </c>
      <c r="H144" s="36">
        <f>K144/J144</f>
        <v>0.3</v>
      </c>
      <c r="I144" s="30" t="s">
        <v>22</v>
      </c>
      <c r="J144" s="32">
        <v>1</v>
      </c>
      <c r="K144" s="39">
        <f>J144*F144</f>
        <v>0.3</v>
      </c>
      <c r="L144" s="30" t="str">
        <f>TEXT(IFERROR(((K144-K145)/K145*100),"0.00"),"0.00")</f>
        <v>0.00</v>
      </c>
      <c r="M144" s="36">
        <f>(10+J144*3)</f>
        <v>13</v>
      </c>
      <c r="N144" s="30"/>
      <c r="O144" s="30" t="s">
        <v>213</v>
      </c>
      <c r="P144" s="30"/>
      <c r="Q144" s="30"/>
      <c r="R144" s="30"/>
    </row>
    <row r="145" spans="1:18" x14ac:dyDescent="0.35">
      <c r="A145" s="8"/>
      <c r="B145" s="8"/>
      <c r="C145" s="33" t="s">
        <v>196</v>
      </c>
      <c r="D145" s="33"/>
      <c r="E145" s="33"/>
      <c r="F145" s="33"/>
      <c r="G145" s="33"/>
      <c r="H145" s="38" t="str">
        <f>IFERROR(K145/J145,"0")</f>
        <v>0</v>
      </c>
      <c r="I145" s="33"/>
      <c r="J145" s="34"/>
      <c r="K145" s="40"/>
      <c r="L145" s="33"/>
      <c r="M145" s="33"/>
      <c r="N145" s="33"/>
      <c r="O145" s="33"/>
      <c r="P145" s="33"/>
      <c r="Q145" s="33"/>
      <c r="R145" s="33"/>
    </row>
    <row r="146" spans="1:18" hidden="1" x14ac:dyDescent="0.35">
      <c r="A146" s="8"/>
      <c r="B146" s="8"/>
      <c r="C146" s="43" t="s">
        <v>197</v>
      </c>
      <c r="D146" s="43"/>
      <c r="E146" s="43"/>
      <c r="F146" s="43"/>
      <c r="G146" s="43"/>
      <c r="H146" s="43"/>
      <c r="I146" s="43"/>
      <c r="J146" s="43"/>
      <c r="K146" s="45"/>
      <c r="L146" s="43"/>
      <c r="M146" s="43"/>
      <c r="N146" s="43"/>
      <c r="O146" s="43"/>
      <c r="P146" s="43"/>
      <c r="Q146" s="43"/>
      <c r="R146" s="43"/>
    </row>
    <row r="147" spans="1:18" hidden="1" x14ac:dyDescent="0.35">
      <c r="A147" s="8"/>
      <c r="B147" s="8"/>
      <c r="C147" s="44" t="s">
        <v>198</v>
      </c>
      <c r="D147" s="44"/>
      <c r="E147" s="44"/>
      <c r="F147" s="44"/>
      <c r="G147" s="44"/>
      <c r="H147" s="44"/>
      <c r="I147" s="44"/>
      <c r="J147" s="44"/>
      <c r="K147" s="46"/>
      <c r="L147" s="44"/>
      <c r="M147" s="44"/>
      <c r="N147" s="44"/>
      <c r="O147" s="44"/>
      <c r="P147" s="44"/>
      <c r="Q147" s="44"/>
      <c r="R147" s="44"/>
    </row>
    <row r="148" spans="1:18" x14ac:dyDescent="0.35">
      <c r="A148" s="59" t="s">
        <v>107</v>
      </c>
      <c r="B148" s="8" t="s">
        <v>4</v>
      </c>
      <c r="C148" s="30" t="s">
        <v>201</v>
      </c>
      <c r="D148" s="30"/>
      <c r="E148" s="30"/>
      <c r="F148" s="39">
        <v>6.67</v>
      </c>
      <c r="G148" s="30" t="str">
        <f>CONCATENATE("USD,FLAT ",TEXT(F148,"0.00"))</f>
        <v>USD,FLAT 6.67</v>
      </c>
      <c r="H148" s="36">
        <f>K148/J148</f>
        <v>6.67</v>
      </c>
      <c r="I148" s="30" t="s">
        <v>22</v>
      </c>
      <c r="J148" s="32">
        <v>1</v>
      </c>
      <c r="K148" s="39">
        <f>J148*F148</f>
        <v>6.67</v>
      </c>
      <c r="L148" s="39" t="str">
        <f>IFERROR(((K148-K149)/K149*100),"0.00")</f>
        <v>0.00</v>
      </c>
      <c r="M148" s="36">
        <f>(10+J148*3)</f>
        <v>13</v>
      </c>
      <c r="N148" s="30"/>
      <c r="O148" s="30" t="s">
        <v>213</v>
      </c>
      <c r="P148" s="30"/>
      <c r="Q148" s="30"/>
      <c r="R148" s="30"/>
    </row>
    <row r="149" spans="1:18" x14ac:dyDescent="0.35">
      <c r="A149" s="8"/>
      <c r="B149" s="8"/>
      <c r="C149" s="33" t="s">
        <v>196</v>
      </c>
      <c r="D149" s="33"/>
      <c r="E149" s="33"/>
      <c r="F149" s="33"/>
      <c r="G149" s="33"/>
      <c r="H149" s="38" t="str">
        <f>IFERROR(K149/J149,"0")</f>
        <v>0</v>
      </c>
      <c r="I149" s="33"/>
      <c r="J149" s="34"/>
      <c r="K149" s="40"/>
      <c r="L149" s="33"/>
      <c r="M149" s="33"/>
      <c r="N149" s="33"/>
      <c r="O149" s="33"/>
      <c r="P149" s="33"/>
      <c r="Q149" s="33"/>
      <c r="R149" s="33"/>
    </row>
    <row r="150" spans="1:18" hidden="1" x14ac:dyDescent="0.35">
      <c r="A150" s="8"/>
      <c r="B150" s="8"/>
      <c r="C150" s="43" t="s">
        <v>197</v>
      </c>
      <c r="D150" s="43"/>
      <c r="E150" s="43"/>
      <c r="F150" s="43"/>
      <c r="G150" s="43"/>
      <c r="H150" s="43"/>
      <c r="I150" s="43"/>
      <c r="J150" s="43"/>
      <c r="K150" s="45"/>
      <c r="L150" s="43"/>
      <c r="M150" s="43"/>
      <c r="N150" s="43"/>
      <c r="O150" s="43"/>
      <c r="P150" s="43"/>
      <c r="Q150" s="43"/>
      <c r="R150" s="43"/>
    </row>
    <row r="151" spans="1:18" hidden="1" x14ac:dyDescent="0.35">
      <c r="A151" s="8"/>
      <c r="B151" s="8"/>
      <c r="C151" s="44" t="s">
        <v>198</v>
      </c>
      <c r="D151" s="44"/>
      <c r="E151" s="44"/>
      <c r="F151" s="44"/>
      <c r="G151" s="44"/>
      <c r="H151" s="44"/>
      <c r="I151" s="44"/>
      <c r="J151" s="44"/>
      <c r="K151" s="46"/>
      <c r="L151" s="44"/>
      <c r="M151" s="44"/>
      <c r="N151" s="44"/>
      <c r="O151" s="44"/>
      <c r="P151" s="44"/>
      <c r="Q151" s="44"/>
      <c r="R151" s="44"/>
    </row>
    <row r="152" spans="1:18" x14ac:dyDescent="0.35">
      <c r="A152" s="59" t="s">
        <v>108</v>
      </c>
      <c r="B152" s="8"/>
      <c r="C152" s="30" t="s">
        <v>201</v>
      </c>
      <c r="D152" s="30"/>
      <c r="E152" s="30"/>
      <c r="F152" s="39">
        <v>0.4</v>
      </c>
      <c r="G152" s="30" t="str">
        <f>CONCATENATE("USD,FLAT ",TEXT(F152,"0.00"))</f>
        <v>USD,FLAT 0.40</v>
      </c>
      <c r="H152" s="36">
        <f>K152/J152</f>
        <v>0.4</v>
      </c>
      <c r="I152" s="30" t="s">
        <v>22</v>
      </c>
      <c r="J152" s="32">
        <v>1</v>
      </c>
      <c r="K152" s="39">
        <f>J152*F152</f>
        <v>0.4</v>
      </c>
      <c r="L152" s="30" t="str">
        <f>TEXT(IFERROR(((K152-K153)/K153*100),"0.00"),"0.00")</f>
        <v>0.00</v>
      </c>
      <c r="M152" s="36">
        <f>(10+J152*3)</f>
        <v>13</v>
      </c>
      <c r="N152" s="30"/>
      <c r="O152" s="30" t="s">
        <v>213</v>
      </c>
      <c r="P152" s="30"/>
      <c r="Q152" s="30"/>
      <c r="R152" s="30"/>
    </row>
    <row r="153" spans="1:18" x14ac:dyDescent="0.35">
      <c r="A153" s="8"/>
      <c r="B153" s="8"/>
      <c r="C153" s="33" t="s">
        <v>196</v>
      </c>
      <c r="D153" s="33"/>
      <c r="E153" s="33"/>
      <c r="F153" s="33"/>
      <c r="G153" s="33"/>
      <c r="H153" s="38" t="str">
        <f>IFERROR(K153/J153,"0")</f>
        <v>0</v>
      </c>
      <c r="I153" s="33"/>
      <c r="J153" s="34"/>
      <c r="K153" s="40"/>
      <c r="L153" s="33"/>
      <c r="M153" s="33"/>
      <c r="N153" s="33"/>
      <c r="O153" s="33"/>
      <c r="P153" s="33"/>
      <c r="Q153" s="33"/>
      <c r="R153" s="33"/>
    </row>
    <row r="154" spans="1:18" hidden="1" x14ac:dyDescent="0.35">
      <c r="A154" s="8"/>
      <c r="B154" s="8"/>
      <c r="C154" s="43" t="s">
        <v>197</v>
      </c>
      <c r="D154" s="43"/>
      <c r="E154" s="43"/>
      <c r="F154" s="43"/>
      <c r="G154" s="43"/>
      <c r="H154" s="43"/>
      <c r="I154" s="43"/>
      <c r="J154" s="43"/>
      <c r="K154" s="45"/>
      <c r="L154" s="43"/>
      <c r="M154" s="43"/>
      <c r="N154" s="43"/>
      <c r="O154" s="43"/>
      <c r="P154" s="43"/>
      <c r="Q154" s="43"/>
      <c r="R154" s="43"/>
    </row>
    <row r="155" spans="1:18" hidden="1" x14ac:dyDescent="0.35">
      <c r="A155" s="8"/>
      <c r="B155" s="8"/>
      <c r="C155" s="44" t="s">
        <v>198</v>
      </c>
      <c r="D155" s="44"/>
      <c r="E155" s="44"/>
      <c r="F155" s="44"/>
      <c r="G155" s="44"/>
      <c r="H155" s="44"/>
      <c r="I155" s="44"/>
      <c r="J155" s="44"/>
      <c r="K155" s="46"/>
      <c r="L155" s="44"/>
      <c r="M155" s="44"/>
      <c r="N155" s="44"/>
      <c r="O155" s="44"/>
      <c r="P155" s="44"/>
      <c r="Q155" s="44"/>
      <c r="R155" s="44"/>
    </row>
    <row r="156" spans="1:18" x14ac:dyDescent="0.35">
      <c r="A156" s="59" t="s">
        <v>109</v>
      </c>
      <c r="B156" s="8"/>
      <c r="C156" s="30" t="s">
        <v>201</v>
      </c>
      <c r="D156" s="30"/>
      <c r="E156" s="30"/>
      <c r="F156" s="39">
        <v>0.6</v>
      </c>
      <c r="G156" s="30" t="str">
        <f>CONCATENATE("USD,FLAT ",TEXT(F156,"0.00"))</f>
        <v>USD,FLAT 0.60</v>
      </c>
      <c r="H156" s="36">
        <f>K156/J156</f>
        <v>0.6</v>
      </c>
      <c r="I156" s="30" t="s">
        <v>22</v>
      </c>
      <c r="J156" s="32">
        <v>1</v>
      </c>
      <c r="K156" s="39">
        <f>J156*F156</f>
        <v>0.6</v>
      </c>
      <c r="L156" s="30" t="str">
        <f>TEXT(IFERROR(((K156-K157)/K157*100),"0.00"),"0.00")</f>
        <v>0.00</v>
      </c>
      <c r="M156" s="36">
        <f>(10+J156*3)</f>
        <v>13</v>
      </c>
      <c r="N156" s="30"/>
      <c r="O156" s="30" t="s">
        <v>213</v>
      </c>
      <c r="P156" s="30"/>
      <c r="Q156" s="30"/>
      <c r="R156" s="30"/>
    </row>
    <row r="157" spans="1:18" x14ac:dyDescent="0.35">
      <c r="A157" s="8"/>
      <c r="B157" s="8"/>
      <c r="C157" s="33" t="s">
        <v>196</v>
      </c>
      <c r="D157" s="33"/>
      <c r="E157" s="33"/>
      <c r="F157" s="33"/>
      <c r="G157" s="33"/>
      <c r="H157" s="38" t="str">
        <f>IFERROR(K157/J157,"0")</f>
        <v>0</v>
      </c>
      <c r="I157" s="33"/>
      <c r="J157" s="34"/>
      <c r="K157" s="40"/>
      <c r="L157" s="33"/>
      <c r="M157" s="33"/>
      <c r="N157" s="33"/>
      <c r="O157" s="33"/>
      <c r="P157" s="33"/>
      <c r="Q157" s="33"/>
      <c r="R157" s="33"/>
    </row>
    <row r="158" spans="1:18" hidden="1" x14ac:dyDescent="0.35">
      <c r="A158" s="8"/>
      <c r="B158" s="8"/>
      <c r="C158" s="43" t="s">
        <v>197</v>
      </c>
      <c r="D158" s="43"/>
      <c r="E158" s="43"/>
      <c r="F158" s="43"/>
      <c r="G158" s="43"/>
      <c r="H158" s="43"/>
      <c r="I158" s="43"/>
      <c r="J158" s="43"/>
      <c r="K158" s="45"/>
      <c r="L158" s="43"/>
      <c r="M158" s="43"/>
      <c r="N158" s="43"/>
      <c r="O158" s="43"/>
      <c r="P158" s="43"/>
      <c r="Q158" s="43"/>
      <c r="R158" s="43"/>
    </row>
    <row r="159" spans="1:18" hidden="1" x14ac:dyDescent="0.35">
      <c r="A159" s="8"/>
      <c r="B159" s="8"/>
      <c r="C159" s="44" t="s">
        <v>198</v>
      </c>
      <c r="D159" s="44"/>
      <c r="E159" s="44"/>
      <c r="F159" s="44"/>
      <c r="G159" s="44"/>
      <c r="H159" s="44"/>
      <c r="I159" s="44"/>
      <c r="J159" s="44"/>
      <c r="K159" s="46"/>
      <c r="L159" s="44"/>
      <c r="M159" s="44"/>
      <c r="N159" s="44"/>
      <c r="O159" s="44"/>
      <c r="P159" s="44"/>
      <c r="Q159" s="44"/>
      <c r="R159" s="44"/>
    </row>
    <row r="160" spans="1:18" x14ac:dyDescent="0.35">
      <c r="A160" s="59" t="s">
        <v>110</v>
      </c>
      <c r="B160" s="47"/>
      <c r="C160" s="30" t="s">
        <v>201</v>
      </c>
      <c r="D160" s="30"/>
      <c r="E160" s="30"/>
      <c r="F160" s="30">
        <v>16.66</v>
      </c>
      <c r="G160" s="30" t="str">
        <f>CONCATENATE("USD,FLAT ",TEXT(F160,"0.00"))</f>
        <v>USD,FLAT 16.66</v>
      </c>
      <c r="H160" s="36">
        <f>K160/J160</f>
        <v>16.66</v>
      </c>
      <c r="I160" s="30" t="s">
        <v>22</v>
      </c>
      <c r="J160" s="32">
        <v>1</v>
      </c>
      <c r="K160" s="39">
        <f>J160*F160</f>
        <v>16.66</v>
      </c>
      <c r="L160" s="30" t="str">
        <f>TEXT(IFERROR(((K160-K161)/K161*100),"0.00"),"0.00")</f>
        <v>0.00</v>
      </c>
      <c r="M160" s="36">
        <f>(10+J160*3)</f>
        <v>13</v>
      </c>
      <c r="N160" s="30"/>
      <c r="O160" s="30" t="s">
        <v>245</v>
      </c>
      <c r="P160" s="30"/>
      <c r="Q160" s="30"/>
      <c r="R160" s="30"/>
    </row>
    <row r="161" spans="1:18" x14ac:dyDescent="0.35">
      <c r="A161" s="8"/>
      <c r="B161" s="47"/>
      <c r="C161" s="33" t="s">
        <v>196</v>
      </c>
      <c r="D161" s="33"/>
      <c r="E161" s="33"/>
      <c r="F161" s="33"/>
      <c r="G161" s="33"/>
      <c r="H161" s="38" t="str">
        <f>IFERROR(K161/J161,"0")</f>
        <v>0</v>
      </c>
      <c r="I161" s="33"/>
      <c r="J161" s="34"/>
      <c r="K161" s="40"/>
      <c r="L161" s="33"/>
      <c r="M161" s="33"/>
      <c r="N161" s="33"/>
      <c r="O161" s="33"/>
      <c r="P161" s="33"/>
      <c r="Q161" s="33"/>
      <c r="R161" s="33"/>
    </row>
    <row r="162" spans="1:18" hidden="1" x14ac:dyDescent="0.35">
      <c r="A162" s="8"/>
      <c r="B162" s="47"/>
      <c r="C162" s="43" t="s">
        <v>197</v>
      </c>
      <c r="D162" s="43"/>
      <c r="E162" s="43"/>
      <c r="F162" s="43"/>
      <c r="G162" s="43"/>
      <c r="H162" s="43"/>
      <c r="I162" s="43"/>
      <c r="J162" s="43"/>
      <c r="K162" s="45"/>
      <c r="L162" s="43"/>
      <c r="M162" s="43"/>
      <c r="N162" s="43"/>
      <c r="O162" s="43"/>
      <c r="P162" s="43"/>
      <c r="Q162" s="43"/>
      <c r="R162" s="43"/>
    </row>
    <row r="163" spans="1:18" hidden="1" x14ac:dyDescent="0.35">
      <c r="A163" s="8"/>
      <c r="B163" s="47"/>
      <c r="C163" s="44" t="s">
        <v>198</v>
      </c>
      <c r="D163" s="44"/>
      <c r="E163" s="44"/>
      <c r="F163" s="44"/>
      <c r="G163" s="44"/>
      <c r="H163" s="44"/>
      <c r="I163" s="44"/>
      <c r="J163" s="44"/>
      <c r="K163" s="46"/>
      <c r="L163" s="44"/>
      <c r="M163" s="44"/>
      <c r="N163" s="44"/>
      <c r="O163" s="44"/>
      <c r="P163" s="44"/>
      <c r="Q163" s="44"/>
      <c r="R163" s="44"/>
    </row>
    <row r="165" spans="1:18" x14ac:dyDescent="0.35">
      <c r="A165" s="251" t="s">
        <v>221</v>
      </c>
      <c r="B165" s="252"/>
      <c r="C165" s="252"/>
      <c r="D165" s="252"/>
      <c r="E165" s="252"/>
      <c r="F165" s="252"/>
      <c r="G165" s="252"/>
      <c r="H165" s="252"/>
    </row>
    <row r="166" spans="1:18" x14ac:dyDescent="0.35">
      <c r="A166" s="24" t="s">
        <v>1</v>
      </c>
      <c r="B166" s="24" t="s">
        <v>0</v>
      </c>
      <c r="C166" s="24" t="s">
        <v>204</v>
      </c>
      <c r="D166" s="24" t="s">
        <v>216</v>
      </c>
      <c r="E166" s="24" t="s">
        <v>227</v>
      </c>
      <c r="F166" s="24" t="s">
        <v>228</v>
      </c>
      <c r="G166" s="24" t="s">
        <v>217</v>
      </c>
      <c r="H166" s="24" t="s">
        <v>218</v>
      </c>
    </row>
    <row r="167" spans="1:18" x14ac:dyDescent="0.35">
      <c r="A167" s="21" t="str">
        <f>C4</f>
        <v>PAC_Cust2Auto,IND</v>
      </c>
      <c r="B167" s="23" t="str">
        <f>B4</f>
        <v>IND</v>
      </c>
      <c r="C167" s="21" t="s">
        <v>219</v>
      </c>
      <c r="D167" s="55">
        <f>((E167-G167)/G167*100)</f>
        <v>942.22604629629632</v>
      </c>
      <c r="E167" s="56">
        <f>K96</f>
        <v>6753624.7800000003</v>
      </c>
      <c r="F167" s="56">
        <f>M96</f>
        <v>1008157</v>
      </c>
      <c r="G167" s="56">
        <f>K97</f>
        <v>648000</v>
      </c>
      <c r="H167" s="56">
        <f>M97</f>
        <v>144010</v>
      </c>
    </row>
    <row r="169" spans="1:18" x14ac:dyDescent="0.35">
      <c r="A169" s="251" t="s">
        <v>220</v>
      </c>
      <c r="B169" s="252"/>
      <c r="C169" s="252"/>
      <c r="D169" s="252"/>
      <c r="E169" s="252"/>
      <c r="F169" s="252"/>
      <c r="G169" s="252"/>
      <c r="H169" s="252"/>
      <c r="I169" s="252"/>
      <c r="J169" s="252"/>
    </row>
    <row r="170" spans="1:18" x14ac:dyDescent="0.35">
      <c r="A170" s="253" t="s">
        <v>222</v>
      </c>
      <c r="B170" s="262" t="s">
        <v>225</v>
      </c>
      <c r="C170" s="263"/>
      <c r="D170" s="263"/>
      <c r="E170" s="264"/>
      <c r="F170" s="262" t="s">
        <v>226</v>
      </c>
      <c r="G170" s="263"/>
      <c r="H170" s="263"/>
      <c r="I170" s="264"/>
      <c r="J170" s="265" t="s">
        <v>224</v>
      </c>
    </row>
    <row r="171" spans="1:18" x14ac:dyDescent="0.35">
      <c r="A171" s="254"/>
      <c r="B171" s="24" t="s">
        <v>187</v>
      </c>
      <c r="C171" s="24" t="s">
        <v>189</v>
      </c>
      <c r="D171" s="24" t="s">
        <v>223</v>
      </c>
      <c r="E171" s="24" t="s">
        <v>229</v>
      </c>
      <c r="F171" s="24" t="s">
        <v>187</v>
      </c>
      <c r="G171" s="24" t="s">
        <v>189</v>
      </c>
      <c r="H171" s="24" t="s">
        <v>223</v>
      </c>
      <c r="I171" s="24" t="s">
        <v>229</v>
      </c>
      <c r="J171" s="266"/>
    </row>
    <row r="172" spans="1:18" x14ac:dyDescent="0.35">
      <c r="A172" s="21"/>
      <c r="B172" s="56">
        <f>E167</f>
        <v>6753624.7800000003</v>
      </c>
      <c r="C172" s="56">
        <f>F167</f>
        <v>1008157</v>
      </c>
      <c r="D172" s="56">
        <f>B172-C172</f>
        <v>5745467.7800000003</v>
      </c>
      <c r="E172" s="55">
        <f>((B172-C172)/B172*100)</f>
        <v>85.072356951402924</v>
      </c>
      <c r="F172" s="56">
        <f>G167</f>
        <v>648000</v>
      </c>
      <c r="G172" s="56">
        <f>H167</f>
        <v>144010</v>
      </c>
      <c r="H172" s="56">
        <f>F172-G172</f>
        <v>503990</v>
      </c>
      <c r="I172" s="55">
        <f>((F172-G172)/F172*100)</f>
        <v>77.776234567901241</v>
      </c>
      <c r="J172" s="55">
        <f>((B172-F172)/F172*100)</f>
        <v>942.22604629629632</v>
      </c>
    </row>
    <row r="174" spans="1:18" x14ac:dyDescent="0.35">
      <c r="A174" s="57" t="s">
        <v>153</v>
      </c>
      <c r="B174" s="58"/>
      <c r="C174" s="58"/>
    </row>
    <row r="175" spans="1:18" x14ac:dyDescent="0.35">
      <c r="A175" s="24" t="s">
        <v>153</v>
      </c>
      <c r="B175" s="24" t="s">
        <v>162</v>
      </c>
      <c r="C175" s="24" t="s">
        <v>163</v>
      </c>
    </row>
    <row r="176" spans="1:18" ht="72.5" x14ac:dyDescent="0.35">
      <c r="A176" s="26" t="s">
        <v>154</v>
      </c>
      <c r="B176" s="27" t="s">
        <v>240</v>
      </c>
      <c r="C176" s="27" t="s">
        <v>240</v>
      </c>
    </row>
    <row r="177" spans="1:10" x14ac:dyDescent="0.35">
      <c r="A177" s="251" t="s">
        <v>231</v>
      </c>
      <c r="B177" s="252"/>
      <c r="C177" s="252"/>
      <c r="D177" s="252"/>
      <c r="E177" s="252"/>
      <c r="F177" s="252"/>
      <c r="G177" s="252"/>
      <c r="H177" s="252"/>
    </row>
    <row r="178" spans="1:10" x14ac:dyDescent="0.35">
      <c r="A178" s="24" t="s">
        <v>232</v>
      </c>
      <c r="B178" s="24" t="s">
        <v>233</v>
      </c>
      <c r="C178" s="24" t="s">
        <v>234</v>
      </c>
      <c r="D178" s="24" t="s">
        <v>0</v>
      </c>
      <c r="E178" s="24" t="s">
        <v>9</v>
      </c>
      <c r="F178" s="24" t="s">
        <v>235</v>
      </c>
      <c r="G178" s="24" t="s">
        <v>236</v>
      </c>
      <c r="H178" s="24"/>
    </row>
    <row r="179" spans="1:10" x14ac:dyDescent="0.35">
      <c r="A179" s="19">
        <v>10</v>
      </c>
      <c r="B179" s="19" t="s">
        <v>4</v>
      </c>
      <c r="C179" s="19">
        <v>1000</v>
      </c>
      <c r="D179" s="19" t="s">
        <v>6</v>
      </c>
      <c r="E179" s="19"/>
      <c r="F179" s="19" t="s">
        <v>230</v>
      </c>
      <c r="G179" s="19" t="s">
        <v>187</v>
      </c>
      <c r="H179" s="19"/>
    </row>
    <row r="180" spans="1:10" x14ac:dyDescent="0.35">
      <c r="A180" s="19">
        <v>20</v>
      </c>
      <c r="B180" s="19" t="s">
        <v>4</v>
      </c>
      <c r="C180" s="19">
        <v>1000</v>
      </c>
      <c r="D180" s="19" t="s">
        <v>6</v>
      </c>
      <c r="E180" s="19"/>
      <c r="F180" s="19" t="s">
        <v>239</v>
      </c>
      <c r="G180" s="19" t="s">
        <v>187</v>
      </c>
      <c r="H180" s="19"/>
    </row>
    <row r="181" spans="1:10" x14ac:dyDescent="0.35">
      <c r="A181" s="19">
        <v>30</v>
      </c>
      <c r="B181" s="19" t="s">
        <v>4</v>
      </c>
      <c r="C181" s="19">
        <v>1000</v>
      </c>
      <c r="D181" s="19" t="s">
        <v>6</v>
      </c>
      <c r="E181" s="19"/>
      <c r="F181" s="19" t="s">
        <v>237</v>
      </c>
      <c r="G181" s="19" t="s">
        <v>189</v>
      </c>
      <c r="H181" s="19"/>
    </row>
    <row r="182" spans="1:10" x14ac:dyDescent="0.35">
      <c r="A182" s="19">
        <v>40</v>
      </c>
      <c r="B182" s="19" t="s">
        <v>4</v>
      </c>
      <c r="C182" s="19">
        <v>1000</v>
      </c>
      <c r="D182" s="19" t="s">
        <v>6</v>
      </c>
      <c r="E182" s="19"/>
      <c r="F182" s="19" t="s">
        <v>238</v>
      </c>
      <c r="G182" s="19" t="s">
        <v>189</v>
      </c>
      <c r="H182" s="19"/>
    </row>
    <row r="183" spans="1:10" x14ac:dyDescent="0.35">
      <c r="A183" s="57" t="s">
        <v>153</v>
      </c>
      <c r="B183" s="58"/>
      <c r="C183" s="58"/>
      <c r="D183" s="9"/>
      <c r="E183" s="9"/>
      <c r="F183" s="9"/>
      <c r="G183" s="9"/>
      <c r="H183" s="9"/>
    </row>
    <row r="184" spans="1:10" x14ac:dyDescent="0.35">
      <c r="A184" s="24" t="s">
        <v>153</v>
      </c>
      <c r="B184" s="24" t="s">
        <v>162</v>
      </c>
      <c r="C184" s="24" t="s">
        <v>163</v>
      </c>
      <c r="D184" s="9"/>
      <c r="E184" s="9"/>
      <c r="F184" s="9"/>
      <c r="G184" s="9"/>
      <c r="H184" s="9"/>
    </row>
    <row r="185" spans="1:10" ht="72.5" x14ac:dyDescent="0.35">
      <c r="A185" s="60" t="s">
        <v>154</v>
      </c>
      <c r="B185" s="61" t="s">
        <v>164</v>
      </c>
      <c r="C185" s="61" t="s">
        <v>164</v>
      </c>
      <c r="D185" s="9"/>
      <c r="E185" s="9"/>
      <c r="F185" s="9"/>
      <c r="G185" s="9"/>
      <c r="H185" s="9"/>
    </row>
    <row r="186" spans="1:10" x14ac:dyDescent="0.35">
      <c r="A186" s="258" t="s">
        <v>242</v>
      </c>
      <c r="B186" s="258"/>
      <c r="C186" s="258"/>
      <c r="D186" s="258"/>
      <c r="E186" s="258"/>
    </row>
    <row r="187" spans="1:10" x14ac:dyDescent="0.35">
      <c r="A187" s="251" t="s">
        <v>220</v>
      </c>
      <c r="B187" s="252"/>
      <c r="C187" s="252"/>
      <c r="D187" s="252"/>
      <c r="E187" s="252"/>
      <c r="F187" s="252"/>
      <c r="G187" s="252"/>
      <c r="H187" s="252"/>
      <c r="I187" s="252"/>
      <c r="J187" s="252"/>
    </row>
    <row r="188" spans="1:10" x14ac:dyDescent="0.35">
      <c r="A188" s="253" t="s">
        <v>222</v>
      </c>
      <c r="B188" s="262" t="s">
        <v>225</v>
      </c>
      <c r="C188" s="263"/>
      <c r="D188" s="263"/>
      <c r="E188" s="264"/>
      <c r="F188" s="262" t="s">
        <v>226</v>
      </c>
      <c r="G188" s="263"/>
      <c r="H188" s="263"/>
      <c r="I188" s="264"/>
      <c r="J188" s="265" t="s">
        <v>224</v>
      </c>
    </row>
    <row r="189" spans="1:10" x14ac:dyDescent="0.35">
      <c r="A189" s="254"/>
      <c r="B189" s="24" t="s">
        <v>187</v>
      </c>
      <c r="C189" s="24" t="s">
        <v>189</v>
      </c>
      <c r="D189" s="24" t="s">
        <v>223</v>
      </c>
      <c r="E189" s="24" t="s">
        <v>229</v>
      </c>
      <c r="F189" s="24" t="s">
        <v>187</v>
      </c>
      <c r="G189" s="24" t="s">
        <v>189</v>
      </c>
      <c r="H189" s="24" t="s">
        <v>223</v>
      </c>
      <c r="I189" s="24" t="s">
        <v>229</v>
      </c>
      <c r="J189" s="266"/>
    </row>
    <row r="190" spans="1:10" x14ac:dyDescent="0.35">
      <c r="A190" s="21"/>
      <c r="B190" s="56">
        <f>E167+C179+C180</f>
        <v>6755624.7800000003</v>
      </c>
      <c r="C190" s="56">
        <f>F167+C181+C182</f>
        <v>1010157</v>
      </c>
      <c r="D190" s="56">
        <f>B190-C190</f>
        <v>5745467.7800000003</v>
      </c>
      <c r="E190" s="55">
        <f>((B190-C190)/B190*100)</f>
        <v>85.047171314331052</v>
      </c>
      <c r="F190" s="56">
        <f>G167</f>
        <v>648000</v>
      </c>
      <c r="G190" s="56">
        <f>H167</f>
        <v>144010</v>
      </c>
      <c r="H190" s="56">
        <f>F190-G190</f>
        <v>503990</v>
      </c>
      <c r="I190" s="55">
        <f>((F190-G190)/F190*100)</f>
        <v>77.776234567901241</v>
      </c>
      <c r="J190" s="55">
        <f>((B190-F190)/F190*100)</f>
        <v>942.53468827160486</v>
      </c>
    </row>
    <row r="191" spans="1:10" x14ac:dyDescent="0.35">
      <c r="A191" s="251" t="s">
        <v>221</v>
      </c>
      <c r="B191" s="252"/>
      <c r="C191" s="252"/>
      <c r="D191" s="252"/>
      <c r="E191" s="252"/>
      <c r="F191" s="252"/>
      <c r="G191" s="252"/>
      <c r="H191" s="252"/>
    </row>
    <row r="192" spans="1:10" x14ac:dyDescent="0.35">
      <c r="A192" s="24" t="s">
        <v>1</v>
      </c>
      <c r="B192" s="24" t="s">
        <v>0</v>
      </c>
      <c r="C192" s="24" t="s">
        <v>204</v>
      </c>
      <c r="D192" s="24" t="s">
        <v>216</v>
      </c>
      <c r="E192" s="24" t="s">
        <v>227</v>
      </c>
      <c r="F192" s="24" t="s">
        <v>228</v>
      </c>
      <c r="G192" s="24" t="s">
        <v>217</v>
      </c>
      <c r="H192" s="24" t="s">
        <v>218</v>
      </c>
    </row>
    <row r="193" spans="1:18" x14ac:dyDescent="0.35">
      <c r="A193" s="21"/>
      <c r="B193" s="23"/>
      <c r="C193" s="21" t="s">
        <v>219</v>
      </c>
      <c r="D193" s="55">
        <f>((E193-G193)/G193*100)</f>
        <v>942.53468827160486</v>
      </c>
      <c r="E193" s="56">
        <f>E167+C179+C180</f>
        <v>6755624.7800000003</v>
      </c>
      <c r="F193" s="56">
        <f>F167+C181+C182</f>
        <v>1010157</v>
      </c>
      <c r="G193" s="56">
        <f>G167</f>
        <v>648000</v>
      </c>
      <c r="H193" s="56">
        <f>H167</f>
        <v>144010</v>
      </c>
    </row>
    <row r="194" spans="1:18" x14ac:dyDescent="0.35">
      <c r="A194" s="74"/>
      <c r="B194" s="75"/>
      <c r="C194" s="75"/>
      <c r="D194" s="75"/>
      <c r="E194" s="76"/>
      <c r="F194" s="75"/>
      <c r="G194" s="75"/>
      <c r="H194" s="75"/>
      <c r="I194" s="76"/>
      <c r="J194" s="76"/>
    </row>
    <row r="195" spans="1:18" x14ac:dyDescent="0.35">
      <c r="A195" s="57" t="s">
        <v>153</v>
      </c>
      <c r="B195" s="58"/>
      <c r="C195" s="58"/>
    </row>
    <row r="196" spans="1:18" x14ac:dyDescent="0.35">
      <c r="A196" s="24" t="s">
        <v>153</v>
      </c>
      <c r="B196" s="24" t="s">
        <v>162</v>
      </c>
      <c r="C196" s="24" t="s">
        <v>163</v>
      </c>
    </row>
    <row r="197" spans="1:18" ht="72.5" x14ac:dyDescent="0.35">
      <c r="A197" s="60" t="s">
        <v>154</v>
      </c>
      <c r="B197" s="61" t="s">
        <v>240</v>
      </c>
      <c r="C197" s="61" t="s">
        <v>240</v>
      </c>
    </row>
    <row r="199" spans="1:18" x14ac:dyDescent="0.35">
      <c r="A199" s="258" t="s">
        <v>246</v>
      </c>
      <c r="B199" s="258"/>
      <c r="C199" s="258"/>
      <c r="D199" s="258"/>
      <c r="E199" s="258"/>
      <c r="F199" s="258"/>
      <c r="G199" s="258"/>
      <c r="H199" s="258"/>
      <c r="I199" s="258"/>
      <c r="J199" s="258"/>
      <c r="K199" s="258"/>
      <c r="L199" s="258"/>
    </row>
    <row r="200" spans="1:18" x14ac:dyDescent="0.35">
      <c r="A200" s="160" t="s">
        <v>243</v>
      </c>
      <c r="B200" s="67">
        <f>E76+60</f>
        <v>44440</v>
      </c>
      <c r="C200" s="160"/>
      <c r="D200" s="160"/>
      <c r="E200" s="160"/>
      <c r="F200" s="160"/>
      <c r="G200" s="160"/>
      <c r="H200" s="160"/>
      <c r="I200" s="160"/>
      <c r="J200" s="160"/>
      <c r="K200" s="160"/>
      <c r="L200" s="160"/>
    </row>
    <row r="201" spans="1:18" x14ac:dyDescent="0.35">
      <c r="A201" s="249" t="s">
        <v>182</v>
      </c>
      <c r="B201" s="250"/>
      <c r="C201" s="250"/>
      <c r="D201" s="250"/>
      <c r="E201" s="250"/>
    </row>
    <row r="202" spans="1:18" x14ac:dyDescent="0.35">
      <c r="A202" s="159" t="s">
        <v>183</v>
      </c>
      <c r="B202" s="159" t="s">
        <v>44</v>
      </c>
      <c r="C202" s="159" t="s">
        <v>191</v>
      </c>
      <c r="D202" s="42" t="s">
        <v>199</v>
      </c>
      <c r="E202" s="42" t="s">
        <v>200</v>
      </c>
      <c r="F202" s="42" t="s">
        <v>57</v>
      </c>
      <c r="G202" s="159" t="s">
        <v>184</v>
      </c>
      <c r="H202" s="159" t="s">
        <v>185</v>
      </c>
      <c r="I202" s="42" t="s">
        <v>18</v>
      </c>
      <c r="J202" s="42" t="s">
        <v>186</v>
      </c>
      <c r="K202" s="42" t="s">
        <v>187</v>
      </c>
      <c r="L202" s="42" t="s">
        <v>188</v>
      </c>
      <c r="M202" s="42" t="s">
        <v>189</v>
      </c>
      <c r="N202" s="42" t="s">
        <v>206</v>
      </c>
      <c r="O202" s="42" t="s">
        <v>203</v>
      </c>
      <c r="P202" s="42" t="s">
        <v>204</v>
      </c>
      <c r="Q202" s="42" t="s">
        <v>205</v>
      </c>
      <c r="R202" s="42" t="s">
        <v>190</v>
      </c>
    </row>
    <row r="203" spans="1:18" x14ac:dyDescent="0.35">
      <c r="A203" s="49" t="s">
        <v>192</v>
      </c>
      <c r="B203" s="49"/>
      <c r="C203" s="49" t="s">
        <v>201</v>
      </c>
      <c r="D203" s="49"/>
      <c r="E203" s="49"/>
      <c r="F203" s="49"/>
      <c r="G203" s="49"/>
      <c r="H203" s="49"/>
      <c r="I203" s="49"/>
      <c r="J203" s="50"/>
      <c r="K203" s="51">
        <f>SUMIFS(K205:K270,C205:C270,C203,A205:A270,"*"&amp;"DE_"&amp;"*")</f>
        <v>6753622.5700000003</v>
      </c>
      <c r="L203" s="49"/>
      <c r="M203" s="51">
        <f>SUMIFS(M205:M270,C205:C270,C203,A205:A270,"*"&amp;"DE_"&amp;"*")</f>
        <v>1008169</v>
      </c>
      <c r="N203" s="49"/>
      <c r="O203" s="49"/>
      <c r="P203" s="49"/>
      <c r="Q203" s="49"/>
      <c r="R203" s="49"/>
    </row>
    <row r="204" spans="1:18" x14ac:dyDescent="0.35">
      <c r="A204" s="49" t="s">
        <v>192</v>
      </c>
      <c r="B204" s="49"/>
      <c r="C204" s="49" t="s">
        <v>196</v>
      </c>
      <c r="D204" s="49"/>
      <c r="E204" s="49"/>
      <c r="F204" s="49"/>
      <c r="G204" s="49"/>
      <c r="H204" s="49"/>
      <c r="I204" s="49"/>
      <c r="J204" s="50"/>
      <c r="K204" s="51">
        <f>SUMIFS(K205:K270,C205:C270,C204,A205:A270,"*"&amp;"DE_"&amp;"*")</f>
        <v>648000</v>
      </c>
      <c r="L204" s="49"/>
      <c r="M204" s="51">
        <f>SUMIFS(M205:M270,C205:C270,C204,A205:A270,"*"&amp;"DE_"&amp;"*")</f>
        <v>144010</v>
      </c>
      <c r="N204" s="49"/>
      <c r="O204" s="49"/>
      <c r="P204" s="49"/>
      <c r="Q204" s="49"/>
      <c r="R204" s="49"/>
    </row>
    <row r="205" spans="1:18" x14ac:dyDescent="0.35">
      <c r="A205" s="52" t="s">
        <v>193</v>
      </c>
      <c r="B205" s="52"/>
      <c r="C205" s="52" t="s">
        <v>201</v>
      </c>
      <c r="D205" s="52"/>
      <c r="E205" s="52"/>
      <c r="F205" s="52"/>
      <c r="G205" s="52"/>
      <c r="H205" s="52"/>
      <c r="I205" s="52"/>
      <c r="J205" s="53"/>
      <c r="K205" s="54">
        <f>SUMIFS(K207:K222,C207:C222,C205)</f>
        <v>657712.92000000004</v>
      </c>
      <c r="L205" s="52"/>
      <c r="M205" s="54">
        <f>SUMIFS(M207:M222,C207:C222,C205)</f>
        <v>144029</v>
      </c>
      <c r="N205" s="52"/>
      <c r="O205" s="52"/>
      <c r="P205" s="52"/>
      <c r="Q205" s="52"/>
      <c r="R205" s="52"/>
    </row>
    <row r="206" spans="1:18" x14ac:dyDescent="0.35">
      <c r="A206" s="52" t="s">
        <v>193</v>
      </c>
      <c r="B206" s="52"/>
      <c r="C206" s="52" t="s">
        <v>196</v>
      </c>
      <c r="D206" s="52"/>
      <c r="E206" s="52"/>
      <c r="F206" s="52"/>
      <c r="G206" s="52"/>
      <c r="H206" s="52"/>
      <c r="I206" s="52"/>
      <c r="J206" s="53"/>
      <c r="K206" s="54">
        <f>SUMIFS(K207:K222,C207:C222,C206)</f>
        <v>648000</v>
      </c>
      <c r="L206" s="52"/>
      <c r="M206" s="54">
        <f>SUMIFS(M207:M222,C207:C222,C206)</f>
        <v>144010</v>
      </c>
      <c r="N206" s="52"/>
      <c r="O206" s="52"/>
      <c r="P206" s="52"/>
      <c r="Q206" s="52"/>
      <c r="R206" s="52"/>
    </row>
    <row r="207" spans="1:18" ht="13.75" customHeight="1" x14ac:dyDescent="0.35">
      <c r="A207" s="59" t="s">
        <v>100</v>
      </c>
      <c r="B207" s="59"/>
      <c r="C207" s="30" t="s">
        <v>201</v>
      </c>
      <c r="D207" s="71">
        <v>44197</v>
      </c>
      <c r="E207" s="72">
        <f>D209-1</f>
        <v>44439</v>
      </c>
      <c r="F207" s="30">
        <v>13.5</v>
      </c>
      <c r="G207" s="30" t="str">
        <f>CONCATENATE("USD,FLAT ",TEXT(F207,"0.00"))</f>
        <v>USD,FLAT 13.50</v>
      </c>
      <c r="H207" s="36">
        <f>K207/J207</f>
        <v>13.5</v>
      </c>
      <c r="I207" s="30" t="s">
        <v>22</v>
      </c>
      <c r="J207" s="32">
        <v>48000</v>
      </c>
      <c r="K207" s="36">
        <f>J207*F207</f>
        <v>648000</v>
      </c>
      <c r="L207" s="30" t="str">
        <f>TEXT(IFERROR(((K207-K208)/K208*100),"0.00"),"0.00")</f>
        <v>0.00</v>
      </c>
      <c r="M207" s="36">
        <f>(10+J207*3)</f>
        <v>144010</v>
      </c>
      <c r="N207" s="30"/>
      <c r="O207" s="30" t="s">
        <v>171</v>
      </c>
      <c r="P207" s="30"/>
      <c r="Q207" s="30"/>
      <c r="R207" s="30"/>
    </row>
    <row r="208" spans="1:18" ht="1.4" hidden="1" customHeight="1" x14ac:dyDescent="0.35">
      <c r="A208" s="59"/>
      <c r="B208" s="59"/>
      <c r="C208" s="33" t="s">
        <v>196</v>
      </c>
      <c r="D208" s="70"/>
      <c r="E208" s="70"/>
      <c r="F208" s="33">
        <v>13.5</v>
      </c>
      <c r="G208" s="33" t="str">
        <f>CONCATENATE("USD,FLAT ",TEXT(F208,"0.00"))</f>
        <v>USD,FLAT 13.50</v>
      </c>
      <c r="H208" s="38">
        <f>IFERROR(K208/J208,"0")</f>
        <v>13.5</v>
      </c>
      <c r="I208" s="33" t="s">
        <v>22</v>
      </c>
      <c r="J208" s="34">
        <v>48000</v>
      </c>
      <c r="K208" s="38">
        <f>J208*F208</f>
        <v>648000</v>
      </c>
      <c r="L208" s="33"/>
      <c r="M208" s="38">
        <f>(10+J208*3)</f>
        <v>144010</v>
      </c>
      <c r="N208" s="33"/>
      <c r="O208" s="33"/>
      <c r="P208" s="33"/>
      <c r="Q208" s="33"/>
      <c r="R208" s="33"/>
    </row>
    <row r="209" spans="1:18" x14ac:dyDescent="0.35">
      <c r="A209" s="59"/>
      <c r="B209" s="59"/>
      <c r="C209" s="43" t="s">
        <v>197</v>
      </c>
      <c r="D209" s="115">
        <f>B200</f>
        <v>44440</v>
      </c>
      <c r="E209" s="43"/>
      <c r="F209" s="43">
        <v>12.99</v>
      </c>
      <c r="G209" s="43" t="str">
        <f>CONCATENATE("USD,FLAT ",TEXT(F209,"0.00"))</f>
        <v>USD,FLAT 12.99</v>
      </c>
      <c r="H209" s="116">
        <f>K209/J209</f>
        <v>12.99</v>
      </c>
      <c r="I209" s="43" t="s">
        <v>22</v>
      </c>
      <c r="J209" s="117">
        <v>48000</v>
      </c>
      <c r="K209" s="116">
        <f>J209*F209</f>
        <v>623520</v>
      </c>
      <c r="L209" s="118" t="str">
        <f>TEXT(IFERROR(((K209-K208)/K208*100),"0.00"),"0.00")</f>
        <v>-3.78</v>
      </c>
      <c r="M209" s="116">
        <f>(10+J209*3)</f>
        <v>144010</v>
      </c>
      <c r="N209" s="43"/>
      <c r="O209" s="43"/>
      <c r="P209" s="43"/>
      <c r="Q209" s="43"/>
      <c r="R209" s="43"/>
    </row>
    <row r="210" spans="1:18" hidden="1" x14ac:dyDescent="0.35">
      <c r="A210" s="59"/>
      <c r="B210" s="59"/>
      <c r="C210" s="44" t="s">
        <v>198</v>
      </c>
      <c r="D210" s="44"/>
      <c r="E210" s="44"/>
      <c r="F210" s="44"/>
      <c r="G210" s="44"/>
      <c r="H210" s="44"/>
      <c r="I210" s="44"/>
      <c r="J210" s="44"/>
      <c r="K210" s="44"/>
      <c r="L210" s="44"/>
      <c r="M210" s="44"/>
      <c r="N210" s="44"/>
      <c r="O210" s="44"/>
      <c r="P210" s="44"/>
      <c r="Q210" s="44"/>
      <c r="R210" s="44"/>
    </row>
    <row r="211" spans="1:18" x14ac:dyDescent="0.35">
      <c r="A211" s="59" t="s">
        <v>101</v>
      </c>
      <c r="B211" s="59"/>
      <c r="C211" s="30" t="s">
        <v>201</v>
      </c>
      <c r="D211" s="71">
        <v>44197</v>
      </c>
      <c r="E211" s="72">
        <f>D213-1</f>
        <v>44439</v>
      </c>
      <c r="F211" s="63">
        <v>9.89</v>
      </c>
      <c r="G211" s="30" t="str">
        <f>CONCATENATE("USD,FLAT ",TEXT(F211,"0.00"))</f>
        <v>USD,FLAT 9.89</v>
      </c>
      <c r="H211" s="36">
        <f>K211/J211</f>
        <v>9.89</v>
      </c>
      <c r="I211" s="30" t="s">
        <v>22</v>
      </c>
      <c r="J211" s="64">
        <v>3</v>
      </c>
      <c r="K211" s="36">
        <f>J211*F211</f>
        <v>29.67</v>
      </c>
      <c r="L211" s="30" t="str">
        <f>TEXT(IFERROR(((K211-K212)/K212*100),"0.00"),"0.00")</f>
        <v>0.00</v>
      </c>
      <c r="M211" s="36">
        <f>(10+J211*3)</f>
        <v>19</v>
      </c>
      <c r="N211" s="30"/>
      <c r="O211" s="30"/>
      <c r="P211" s="30"/>
      <c r="Q211" s="30"/>
      <c r="R211" s="30"/>
    </row>
    <row r="212" spans="1:18" hidden="1" x14ac:dyDescent="0.35">
      <c r="A212" s="59"/>
      <c r="B212" s="59"/>
      <c r="C212" s="33" t="s">
        <v>196</v>
      </c>
      <c r="D212" s="33"/>
      <c r="E212" s="33"/>
      <c r="F212" s="33">
        <v>9.9499999999999993</v>
      </c>
      <c r="G212" s="33" t="str">
        <f>CONCATENATE("USD,FLAT ",TEXT(F212,"0.00"))</f>
        <v>USD,FLAT 9.95</v>
      </c>
      <c r="H212" s="38" t="str">
        <f>IFERROR(K212/J212,"0")</f>
        <v>0</v>
      </c>
      <c r="I212" s="33"/>
      <c r="J212" s="34"/>
      <c r="K212" s="38">
        <f>J212*F212</f>
        <v>0</v>
      </c>
      <c r="L212" s="33"/>
      <c r="M212" s="38"/>
      <c r="N212" s="33"/>
      <c r="O212" s="33"/>
      <c r="P212" s="33"/>
      <c r="Q212" s="33"/>
      <c r="R212" s="33"/>
    </row>
    <row r="213" spans="1:18" x14ac:dyDescent="0.35">
      <c r="A213" s="59"/>
      <c r="B213" s="59"/>
      <c r="C213" s="43" t="s">
        <v>197</v>
      </c>
      <c r="D213" s="115">
        <f>B200</f>
        <v>44440</v>
      </c>
      <c r="E213" s="43"/>
      <c r="F213" s="43">
        <v>8.99</v>
      </c>
      <c r="G213" s="43" t="str">
        <f>CONCATENATE("USD,FLAT ",TEXT(F213,"0.00"))</f>
        <v>USD,FLAT 8.99</v>
      </c>
      <c r="H213" s="116">
        <f>K213/J213</f>
        <v>8.99</v>
      </c>
      <c r="I213" s="43" t="s">
        <v>22</v>
      </c>
      <c r="J213" s="117">
        <v>3</v>
      </c>
      <c r="K213" s="116">
        <f>J213*F213</f>
        <v>26.97</v>
      </c>
      <c r="L213" s="118" t="str">
        <f>TEXT(IFERROR(((K213-K214)/K214*100),"0.00"),"0.00")</f>
        <v>0.00</v>
      </c>
      <c r="M213" s="116">
        <f>(10+J213*3)</f>
        <v>19</v>
      </c>
      <c r="N213" s="43"/>
      <c r="O213" s="43"/>
      <c r="P213" s="43"/>
      <c r="Q213" s="43"/>
      <c r="R213" s="43"/>
    </row>
    <row r="214" spans="1:18" hidden="1" x14ac:dyDescent="0.35">
      <c r="A214" s="59"/>
      <c r="B214" s="59"/>
      <c r="C214" s="44" t="s">
        <v>198</v>
      </c>
      <c r="D214" s="44"/>
      <c r="E214" s="44"/>
      <c r="F214" s="44"/>
      <c r="G214" s="44"/>
      <c r="H214" s="44"/>
      <c r="I214" s="44"/>
      <c r="J214" s="44"/>
      <c r="K214" s="44"/>
      <c r="L214" s="44"/>
      <c r="M214" s="44"/>
      <c r="N214" s="44"/>
      <c r="O214" s="44"/>
      <c r="P214" s="44"/>
      <c r="Q214" s="44"/>
      <c r="R214" s="44"/>
    </row>
    <row r="215" spans="1:18" x14ac:dyDescent="0.35">
      <c r="A215" s="59" t="s">
        <v>207</v>
      </c>
      <c r="B215" s="59"/>
      <c r="C215" s="30" t="s">
        <v>201</v>
      </c>
      <c r="D215" s="71">
        <v>44197</v>
      </c>
      <c r="E215" s="72">
        <f>D217-1</f>
        <v>44439</v>
      </c>
      <c r="F215" s="63">
        <v>111.08</v>
      </c>
      <c r="G215" s="30" t="str">
        <f>CONCATENATE("USD,FLAT ",TEXT(F215,"0.00"))</f>
        <v>USD,FLAT 111.08</v>
      </c>
      <c r="H215" s="36">
        <f>F215</f>
        <v>111.08</v>
      </c>
      <c r="I215" s="30"/>
      <c r="J215" s="32"/>
      <c r="K215" s="36">
        <f>(F215*5*5)</f>
        <v>2777</v>
      </c>
      <c r="L215" s="30" t="str">
        <f>TEXT(IFERROR(((K215-K216)/K216*100),"0.00"),"0.00")</f>
        <v>0.00</v>
      </c>
      <c r="M215" s="36">
        <v>0</v>
      </c>
      <c r="N215" s="30"/>
      <c r="O215" s="30"/>
      <c r="P215" s="30"/>
      <c r="Q215" s="30"/>
      <c r="R215" s="30"/>
    </row>
    <row r="216" spans="1:18" hidden="1" x14ac:dyDescent="0.35">
      <c r="A216" s="59"/>
      <c r="B216" s="59"/>
      <c r="C216" s="33" t="s">
        <v>196</v>
      </c>
      <c r="D216" s="33"/>
      <c r="E216" s="33"/>
      <c r="F216" s="33"/>
      <c r="G216" s="33"/>
      <c r="H216" s="38"/>
      <c r="I216" s="33"/>
      <c r="J216" s="34"/>
      <c r="K216" s="38"/>
      <c r="L216" s="33"/>
      <c r="M216" s="38"/>
      <c r="N216" s="33"/>
      <c r="O216" s="33"/>
      <c r="P216" s="33"/>
      <c r="Q216" s="33"/>
      <c r="R216" s="33"/>
    </row>
    <row r="217" spans="1:18" x14ac:dyDescent="0.35">
      <c r="A217" s="59"/>
      <c r="B217" s="59"/>
      <c r="C217" s="43" t="s">
        <v>197</v>
      </c>
      <c r="D217" s="115">
        <f>B200</f>
        <v>44440</v>
      </c>
      <c r="E217" s="43"/>
      <c r="F217" s="43">
        <v>109.9</v>
      </c>
      <c r="G217" s="43" t="str">
        <f>CONCATENATE("USD,FLAT ",TEXT(F217,"0.00"))</f>
        <v>USD,FLAT 109.90</v>
      </c>
      <c r="H217" s="116">
        <f>F217</f>
        <v>109.9</v>
      </c>
      <c r="I217" s="43" t="s">
        <v>22</v>
      </c>
      <c r="J217" s="117"/>
      <c r="K217" s="116">
        <f>(F217*5*5)</f>
        <v>2747.5</v>
      </c>
      <c r="L217" s="118" t="str">
        <f>TEXT(IFERROR(((K217-K218)/K218*100),"0.00"),"0.00")</f>
        <v>0.00</v>
      </c>
      <c r="M217" s="116">
        <v>0</v>
      </c>
      <c r="N217" s="43"/>
      <c r="O217" s="43"/>
      <c r="P217" s="43"/>
      <c r="Q217" s="43"/>
      <c r="R217" s="43"/>
    </row>
    <row r="218" spans="1:18" hidden="1" x14ac:dyDescent="0.35">
      <c r="A218" s="8"/>
      <c r="B218" s="8"/>
      <c r="C218" s="44" t="s">
        <v>198</v>
      </c>
      <c r="D218" s="44"/>
      <c r="E218" s="44"/>
      <c r="F218" s="44"/>
      <c r="G218" s="44"/>
      <c r="H218" s="44"/>
      <c r="I218" s="44"/>
      <c r="J218" s="44"/>
      <c r="K218" s="44"/>
      <c r="L218" s="44"/>
      <c r="M218" s="44"/>
      <c r="N218" s="44"/>
      <c r="O218" s="44"/>
      <c r="P218" s="44"/>
      <c r="Q218" s="44"/>
      <c r="R218" s="44"/>
    </row>
    <row r="219" spans="1:18" hidden="1" x14ac:dyDescent="0.35">
      <c r="A219" s="59" t="s">
        <v>102</v>
      </c>
      <c r="B219" s="8"/>
      <c r="C219" s="30" t="s">
        <v>201</v>
      </c>
      <c r="D219" s="30"/>
      <c r="E219" s="30"/>
      <c r="F219" s="30">
        <v>276.25</v>
      </c>
      <c r="G219" s="30" t="str">
        <f>CONCATENATE("USD,FLAT ",TEXT(F219,"0.00"))</f>
        <v>USD,FLAT 276.25</v>
      </c>
      <c r="H219" s="36">
        <f>F219</f>
        <v>276.25</v>
      </c>
      <c r="I219" s="30"/>
      <c r="J219" s="32"/>
      <c r="K219" s="36">
        <f>(F219*5*5)</f>
        <v>6906.25</v>
      </c>
      <c r="L219" s="30" t="str">
        <f>TEXT(IFERROR(((K219-K220)/K220*100),"0.00"),"0.00")</f>
        <v>0.00</v>
      </c>
      <c r="M219" s="36">
        <v>0</v>
      </c>
      <c r="N219" s="30"/>
      <c r="O219" s="30"/>
      <c r="P219" s="30"/>
      <c r="Q219" s="30"/>
      <c r="R219" s="30"/>
    </row>
    <row r="220" spans="1:18" hidden="1" x14ac:dyDescent="0.35">
      <c r="A220" s="8"/>
      <c r="B220" s="8"/>
      <c r="C220" s="33" t="s">
        <v>196</v>
      </c>
      <c r="D220" s="33"/>
      <c r="E220" s="33"/>
      <c r="F220" s="33"/>
      <c r="G220" s="33"/>
      <c r="H220" s="38"/>
      <c r="I220" s="33"/>
      <c r="J220" s="34"/>
      <c r="K220" s="38"/>
      <c r="L220" s="33"/>
      <c r="M220" s="38"/>
      <c r="N220" s="33"/>
      <c r="O220" s="33"/>
      <c r="P220" s="33"/>
      <c r="Q220" s="33"/>
      <c r="R220" s="33"/>
    </row>
    <row r="221" spans="1:18" hidden="1" x14ac:dyDescent="0.35">
      <c r="A221" s="8"/>
      <c r="B221" s="8"/>
      <c r="C221" s="43" t="s">
        <v>197</v>
      </c>
      <c r="D221" s="43"/>
      <c r="E221" s="43"/>
      <c r="F221" s="43"/>
      <c r="G221" s="43"/>
      <c r="H221" s="43"/>
      <c r="I221" s="43"/>
      <c r="J221" s="43"/>
      <c r="K221" s="43"/>
      <c r="L221" s="43"/>
      <c r="M221" s="43"/>
      <c r="N221" s="43"/>
      <c r="O221" s="43"/>
      <c r="P221" s="43"/>
      <c r="Q221" s="43"/>
      <c r="R221" s="43"/>
    </row>
    <row r="222" spans="1:18" hidden="1" x14ac:dyDescent="0.35">
      <c r="A222" s="8"/>
      <c r="B222" s="8"/>
      <c r="C222" s="44" t="s">
        <v>198</v>
      </c>
      <c r="D222" s="44"/>
      <c r="E222" s="44"/>
      <c r="F222" s="44"/>
      <c r="G222" s="44"/>
      <c r="H222" s="44"/>
      <c r="I222" s="44"/>
      <c r="J222" s="44"/>
      <c r="K222" s="44"/>
      <c r="L222" s="44"/>
      <c r="M222" s="44"/>
      <c r="N222" s="44"/>
      <c r="O222" s="44"/>
      <c r="P222" s="44"/>
      <c r="Q222" s="44"/>
      <c r="R222" s="44"/>
    </row>
    <row r="223" spans="1:18" x14ac:dyDescent="0.35">
      <c r="A223" s="52" t="s">
        <v>194</v>
      </c>
      <c r="B223" s="52"/>
      <c r="C223" s="52" t="s">
        <v>201</v>
      </c>
      <c r="D223" s="52"/>
      <c r="E223" s="52"/>
      <c r="F223" s="52"/>
      <c r="G223" s="52"/>
      <c r="H223" s="52"/>
      <c r="I223" s="52"/>
      <c r="J223" s="53"/>
      <c r="K223" s="54">
        <f>SUMIFS(K225:K236,C225:C236,C223)</f>
        <v>6092880</v>
      </c>
      <c r="L223" s="52"/>
      <c r="M223" s="54">
        <f>SUMIFS(M225:M236,C225:C236,C223)</f>
        <v>864030</v>
      </c>
      <c r="N223" s="52"/>
      <c r="O223" s="52"/>
      <c r="P223" s="52"/>
      <c r="Q223" s="52"/>
      <c r="R223" s="52"/>
    </row>
    <row r="224" spans="1:18" x14ac:dyDescent="0.35">
      <c r="A224" s="52" t="s">
        <v>194</v>
      </c>
      <c r="B224" s="52"/>
      <c r="C224" s="52" t="s">
        <v>196</v>
      </c>
      <c r="D224" s="52"/>
      <c r="E224" s="52"/>
      <c r="F224" s="52"/>
      <c r="G224" s="52"/>
      <c r="H224" s="52"/>
      <c r="I224" s="52"/>
      <c r="J224" s="53"/>
      <c r="K224" s="54">
        <f>SUMIFS(K225:K234,C225:C234,C224)</f>
        <v>0</v>
      </c>
      <c r="L224" s="52"/>
      <c r="M224" s="54">
        <f>SUMIFS(M225:M234,C225:C234,C224)</f>
        <v>0</v>
      </c>
      <c r="N224" s="52"/>
      <c r="O224" s="52"/>
      <c r="P224" s="52"/>
      <c r="Q224" s="52"/>
      <c r="R224" s="52"/>
    </row>
    <row r="225" spans="1:18" x14ac:dyDescent="0.35">
      <c r="A225" s="59" t="s">
        <v>103</v>
      </c>
      <c r="B225" s="59"/>
      <c r="C225" s="30" t="s">
        <v>201</v>
      </c>
      <c r="D225" s="71">
        <v>44197</v>
      </c>
      <c r="E225" s="72">
        <f>D227-1</f>
        <v>44439</v>
      </c>
      <c r="F225" s="31" t="s">
        <v>211</v>
      </c>
      <c r="G225" s="30" t="s">
        <v>208</v>
      </c>
      <c r="H225" s="36">
        <f>K225/J225</f>
        <v>12.25</v>
      </c>
      <c r="I225" s="30" t="s">
        <v>22</v>
      </c>
      <c r="J225" s="32">
        <v>72000</v>
      </c>
      <c r="K225" s="36">
        <f>(1000*12.95+4000*12.15+1000*11.95)*12</f>
        <v>882000</v>
      </c>
      <c r="L225" s="30" t="str">
        <f>TEXT(IFERROR(((K225-K226)/K226*100),"0.00"),"0.00")</f>
        <v>0.00</v>
      </c>
      <c r="M225" s="36">
        <f>(10+J225*3)</f>
        <v>216010</v>
      </c>
      <c r="N225" s="35" t="s">
        <v>54</v>
      </c>
      <c r="O225" s="30" t="s">
        <v>213</v>
      </c>
      <c r="P225" s="30"/>
      <c r="Q225" s="30"/>
      <c r="R225" s="30"/>
    </row>
    <row r="226" spans="1:18" hidden="1" x14ac:dyDescent="0.35">
      <c r="A226" s="8"/>
      <c r="B226" s="8"/>
      <c r="C226" s="33" t="s">
        <v>196</v>
      </c>
      <c r="D226" s="33"/>
      <c r="E226" s="33"/>
      <c r="F226" s="33"/>
      <c r="G226" s="33"/>
      <c r="H226" s="38">
        <f>IFERROR(K226/J226,"0")</f>
        <v>0</v>
      </c>
      <c r="I226" s="33" t="s">
        <v>22</v>
      </c>
      <c r="J226" s="34">
        <v>72000</v>
      </c>
      <c r="K226" s="40">
        <v>0</v>
      </c>
      <c r="L226" s="33"/>
      <c r="M226" s="38"/>
      <c r="N226" s="33"/>
      <c r="O226" s="33"/>
      <c r="P226" s="33"/>
      <c r="Q226" s="33"/>
      <c r="R226" s="33"/>
    </row>
    <row r="227" spans="1:18" x14ac:dyDescent="0.35">
      <c r="A227" s="8"/>
      <c r="B227" s="8"/>
      <c r="C227" s="43" t="s">
        <v>197</v>
      </c>
      <c r="D227" s="115">
        <f>B200</f>
        <v>44440</v>
      </c>
      <c r="E227" s="43"/>
      <c r="F227" s="43" t="s">
        <v>244</v>
      </c>
      <c r="G227" s="43" t="str">
        <f>CONCATENATE("USD,FLAT ",TEXT(F227,"0.00"))</f>
        <v>USD,FLAT 13.05,11.15,11.95</v>
      </c>
      <c r="H227" s="116">
        <f>K227/J227</f>
        <v>11.6</v>
      </c>
      <c r="I227" s="43" t="s">
        <v>22</v>
      </c>
      <c r="J227" s="117">
        <v>72000</v>
      </c>
      <c r="K227" s="116">
        <f>(1000*13.05+4000*11.15+1000*11.95)*12</f>
        <v>835200</v>
      </c>
      <c r="L227" s="118" t="str">
        <f>TEXT(IFERROR(((K227-K228)/K228*100),"0.00"),"0.00")</f>
        <v>0.00</v>
      </c>
      <c r="M227" s="116">
        <f>(10+J227*3)</f>
        <v>216010</v>
      </c>
      <c r="N227" s="43"/>
      <c r="O227" s="43"/>
      <c r="P227" s="43"/>
      <c r="Q227" s="43"/>
      <c r="R227" s="43"/>
    </row>
    <row r="228" spans="1:18" hidden="1" x14ac:dyDescent="0.35">
      <c r="A228" s="8"/>
      <c r="B228" s="8"/>
      <c r="C228" s="44" t="s">
        <v>198</v>
      </c>
      <c r="D228" s="44"/>
      <c r="E228" s="44"/>
      <c r="F228" s="44"/>
      <c r="G228" s="44"/>
      <c r="H228" s="44"/>
      <c r="I228" s="44"/>
      <c r="J228" s="44"/>
      <c r="K228" s="46"/>
      <c r="L228" s="44"/>
      <c r="M228" s="44"/>
      <c r="N228" s="44"/>
      <c r="O228" s="44"/>
      <c r="P228" s="44"/>
      <c r="Q228" s="44"/>
      <c r="R228" s="44"/>
    </row>
    <row r="229" spans="1:18" hidden="1" x14ac:dyDescent="0.35">
      <c r="A229" s="59" t="s">
        <v>104</v>
      </c>
      <c r="B229" s="8"/>
      <c r="C229" s="30" t="s">
        <v>201</v>
      </c>
      <c r="D229" s="30"/>
      <c r="E229" s="30"/>
      <c r="F229" s="31" t="s">
        <v>211</v>
      </c>
      <c r="G229" s="30" t="s">
        <v>209</v>
      </c>
      <c r="H229" s="36">
        <f>K229/J229</f>
        <v>11.95</v>
      </c>
      <c r="I229" s="30" t="s">
        <v>22</v>
      </c>
      <c r="J229" s="32">
        <v>96000</v>
      </c>
      <c r="K229" s="36">
        <f>J229*11.95</f>
        <v>1147200</v>
      </c>
      <c r="L229" s="30" t="str">
        <f>TEXT(IFERROR(((K229-K230)/K230*100),"0.00"),"0.00")</f>
        <v>0.00</v>
      </c>
      <c r="M229" s="36">
        <f>(10+J229*3)</f>
        <v>288010</v>
      </c>
      <c r="N229" s="35" t="s">
        <v>54</v>
      </c>
      <c r="O229" s="30" t="s">
        <v>213</v>
      </c>
      <c r="P229" s="30"/>
      <c r="Q229" s="30"/>
      <c r="R229" s="30"/>
    </row>
    <row r="230" spans="1:18" hidden="1" x14ac:dyDescent="0.35">
      <c r="A230" s="8"/>
      <c r="B230" s="8"/>
      <c r="C230" s="33" t="s">
        <v>196</v>
      </c>
      <c r="D230" s="33"/>
      <c r="E230" s="33"/>
      <c r="F230" s="33"/>
      <c r="G230" s="33"/>
      <c r="H230" s="38">
        <f>IFERROR(K230/J230,"0")</f>
        <v>0</v>
      </c>
      <c r="I230" s="33" t="s">
        <v>22</v>
      </c>
      <c r="J230" s="34">
        <v>96000</v>
      </c>
      <c r="K230" s="40">
        <v>0</v>
      </c>
      <c r="L230" s="33"/>
      <c r="M230" s="33"/>
      <c r="N230" s="33"/>
      <c r="O230" s="33"/>
      <c r="P230" s="33"/>
      <c r="Q230" s="33"/>
      <c r="R230" s="33"/>
    </row>
    <row r="231" spans="1:18" hidden="1" x14ac:dyDescent="0.35">
      <c r="A231" s="8"/>
      <c r="B231" s="8"/>
      <c r="C231" s="43" t="s">
        <v>197</v>
      </c>
      <c r="D231" s="43"/>
      <c r="E231" s="43"/>
      <c r="F231" s="43"/>
      <c r="G231" s="43"/>
      <c r="H231" s="43"/>
      <c r="I231" s="43"/>
      <c r="J231" s="43"/>
      <c r="K231" s="45"/>
      <c r="L231" s="43"/>
      <c r="M231" s="43"/>
      <c r="N231" s="43"/>
      <c r="O231" s="43"/>
      <c r="P231" s="43"/>
      <c r="Q231" s="43"/>
      <c r="R231" s="43"/>
    </row>
    <row r="232" spans="1:18" hidden="1" x14ac:dyDescent="0.35">
      <c r="A232" s="8"/>
      <c r="B232" s="8"/>
      <c r="C232" s="44" t="s">
        <v>198</v>
      </c>
      <c r="D232" s="44"/>
      <c r="E232" s="44"/>
      <c r="F232" s="44"/>
      <c r="G232" s="44"/>
      <c r="H232" s="44"/>
      <c r="I232" s="44"/>
      <c r="J232" s="44"/>
      <c r="K232" s="46"/>
      <c r="L232" s="44"/>
      <c r="M232" s="44"/>
      <c r="N232" s="44"/>
      <c r="O232" s="44"/>
      <c r="P232" s="44"/>
      <c r="Q232" s="44"/>
      <c r="R232" s="44"/>
    </row>
    <row r="233" spans="1:18" ht="29" hidden="1" x14ac:dyDescent="0.35">
      <c r="A233" s="59" t="s">
        <v>105</v>
      </c>
      <c r="B233" s="8"/>
      <c r="C233" s="30" t="s">
        <v>201</v>
      </c>
      <c r="D233" s="30"/>
      <c r="E233" s="30"/>
      <c r="F233" s="31" t="s">
        <v>212</v>
      </c>
      <c r="G233" s="30" t="s">
        <v>210</v>
      </c>
      <c r="H233" s="36">
        <f>K233/J233</f>
        <v>33.863999999999997</v>
      </c>
      <c r="I233" s="30" t="s">
        <v>22</v>
      </c>
      <c r="J233" s="32">
        <v>120000</v>
      </c>
      <c r="K233" s="36">
        <f>'UC01 - CALCULATOIN'!C13</f>
        <v>4063680</v>
      </c>
      <c r="L233" s="30" t="str">
        <f>TEXT(IFERROR(((K233-K234)/K234*100),"0.00"),"0.00")</f>
        <v>0.00</v>
      </c>
      <c r="M233" s="36">
        <f>(10+J233*3)</f>
        <v>360010</v>
      </c>
      <c r="N233" s="35" t="s">
        <v>54</v>
      </c>
      <c r="O233" s="30" t="s">
        <v>213</v>
      </c>
      <c r="P233" s="30"/>
      <c r="Q233" s="30"/>
      <c r="R233" s="30"/>
    </row>
    <row r="234" spans="1:18" hidden="1" x14ac:dyDescent="0.35">
      <c r="A234" s="8"/>
      <c r="B234" s="8"/>
      <c r="C234" s="33" t="s">
        <v>196</v>
      </c>
      <c r="D234" s="33"/>
      <c r="E234" s="33"/>
      <c r="F234" s="33"/>
      <c r="G234" s="33"/>
      <c r="H234" s="38">
        <f>IFERROR(K234/J234,"0")</f>
        <v>0</v>
      </c>
      <c r="I234" s="33" t="s">
        <v>22</v>
      </c>
      <c r="J234" s="34">
        <v>120000</v>
      </c>
      <c r="K234" s="40">
        <v>0</v>
      </c>
      <c r="L234" s="33"/>
      <c r="M234" s="33"/>
      <c r="N234" s="33"/>
      <c r="O234" s="33"/>
      <c r="P234" s="33"/>
      <c r="Q234" s="33"/>
      <c r="R234" s="33"/>
    </row>
    <row r="235" spans="1:18" hidden="1" x14ac:dyDescent="0.35">
      <c r="A235" s="8"/>
      <c r="B235" s="8"/>
      <c r="C235" s="43" t="s">
        <v>197</v>
      </c>
      <c r="D235" s="43"/>
      <c r="E235" s="43"/>
      <c r="F235" s="43"/>
      <c r="G235" s="43"/>
      <c r="H235" s="43"/>
      <c r="I235" s="43"/>
      <c r="J235" s="43"/>
      <c r="K235" s="45"/>
      <c r="L235" s="43"/>
      <c r="M235" s="43"/>
      <c r="N235" s="43"/>
      <c r="O235" s="43"/>
      <c r="P235" s="43"/>
      <c r="Q235" s="43"/>
      <c r="R235" s="43"/>
    </row>
    <row r="236" spans="1:18" hidden="1" x14ac:dyDescent="0.35">
      <c r="A236" s="8"/>
      <c r="B236" s="8"/>
      <c r="C236" s="44" t="s">
        <v>198</v>
      </c>
      <c r="D236" s="44"/>
      <c r="E236" s="44"/>
      <c r="F236" s="44"/>
      <c r="G236" s="44"/>
      <c r="H236" s="44"/>
      <c r="I236" s="44"/>
      <c r="J236" s="44"/>
      <c r="K236" s="46"/>
      <c r="L236" s="44"/>
      <c r="M236" s="44"/>
      <c r="N236" s="44"/>
      <c r="O236" s="44"/>
      <c r="P236" s="44"/>
      <c r="Q236" s="44"/>
      <c r="R236" s="44"/>
    </row>
    <row r="237" spans="1:18" x14ac:dyDescent="0.35">
      <c r="A237" s="52" t="s">
        <v>195</v>
      </c>
      <c r="B237" s="52"/>
      <c r="C237" s="52" t="s">
        <v>201</v>
      </c>
      <c r="D237" s="52"/>
      <c r="E237" s="52"/>
      <c r="F237" s="52"/>
      <c r="G237" s="52"/>
      <c r="H237" s="52"/>
      <c r="I237" s="52"/>
      <c r="J237" s="53"/>
      <c r="K237" s="54">
        <f>SUMIFS(K239:K270,C239:C270,C237)</f>
        <v>3029.6500000000005</v>
      </c>
      <c r="L237" s="52"/>
      <c r="M237" s="54">
        <f>SUMIFS(M239:M270,C239:C270,C237)</f>
        <v>110</v>
      </c>
      <c r="N237" s="52"/>
      <c r="O237" s="52"/>
      <c r="P237" s="52"/>
      <c r="Q237" s="52"/>
      <c r="R237" s="52"/>
    </row>
    <row r="238" spans="1:18" x14ac:dyDescent="0.35">
      <c r="A238" s="52" t="s">
        <v>195</v>
      </c>
      <c r="B238" s="52"/>
      <c r="C238" s="52" t="s">
        <v>196</v>
      </c>
      <c r="D238" s="52"/>
      <c r="E238" s="52"/>
      <c r="F238" s="52"/>
      <c r="G238" s="52"/>
      <c r="H238" s="52"/>
      <c r="I238" s="52"/>
      <c r="J238" s="53"/>
      <c r="K238" s="54">
        <f>SUMIFS(K239:K270,C239:C270,C238)</f>
        <v>0</v>
      </c>
      <c r="L238" s="52"/>
      <c r="M238" s="54">
        <f>SUMIFS(M239:M270,C239:C270,C238)</f>
        <v>0</v>
      </c>
      <c r="N238" s="52"/>
      <c r="O238" s="52"/>
      <c r="P238" s="52"/>
      <c r="Q238" s="52"/>
      <c r="R238" s="52"/>
    </row>
    <row r="239" spans="1:18" x14ac:dyDescent="0.35">
      <c r="A239" s="59" t="s">
        <v>106</v>
      </c>
      <c r="B239" s="8"/>
      <c r="C239" s="30" t="s">
        <v>201</v>
      </c>
      <c r="D239" s="30"/>
      <c r="E239" s="30"/>
      <c r="F239" s="65">
        <v>0.14000000000000001</v>
      </c>
      <c r="G239" s="30" t="str">
        <f>CONCATENATE("USD,FLAT ",TEXT(F239,"0.00"))</f>
        <v>USD,FLAT 0.14</v>
      </c>
      <c r="H239" s="36">
        <f>(K239/J239)</f>
        <v>1500.14</v>
      </c>
      <c r="I239" s="30" t="s">
        <v>22</v>
      </c>
      <c r="J239" s="64">
        <v>2</v>
      </c>
      <c r="K239" s="39">
        <f>J239*F239+3000</f>
        <v>3000.28</v>
      </c>
      <c r="L239" s="30" t="str">
        <f>TEXT(IFERROR(((K239-K240)/K240*100),"0.00"),"0.00")</f>
        <v>0.00</v>
      </c>
      <c r="M239" s="36">
        <f>(10+J239*3)</f>
        <v>16</v>
      </c>
      <c r="N239" s="30"/>
      <c r="O239" s="30"/>
      <c r="P239" s="30"/>
      <c r="Q239" s="30"/>
      <c r="R239" s="30"/>
    </row>
    <row r="240" spans="1:18" hidden="1" x14ac:dyDescent="0.35">
      <c r="A240" s="59"/>
      <c r="B240" s="8"/>
      <c r="C240" s="33" t="s">
        <v>196</v>
      </c>
      <c r="D240" s="33"/>
      <c r="E240" s="33"/>
      <c r="F240" s="33"/>
      <c r="G240" s="33"/>
      <c r="H240" s="38" t="str">
        <f>IFERROR(K240/J240,"0")</f>
        <v>0</v>
      </c>
      <c r="I240" s="33"/>
      <c r="J240" s="34"/>
      <c r="K240" s="40"/>
      <c r="L240" s="33"/>
      <c r="M240" s="33"/>
      <c r="N240" s="33"/>
      <c r="O240" s="33"/>
      <c r="P240" s="33"/>
      <c r="Q240" s="33"/>
      <c r="R240" s="33"/>
    </row>
    <row r="241" spans="1:18" hidden="1" x14ac:dyDescent="0.35">
      <c r="A241" s="59"/>
      <c r="B241" s="8"/>
      <c r="C241" s="43" t="s">
        <v>197</v>
      </c>
      <c r="D241" s="43"/>
      <c r="E241" s="43"/>
      <c r="F241" s="43"/>
      <c r="G241" s="43"/>
      <c r="H241" s="43"/>
      <c r="I241" s="43"/>
      <c r="J241" s="43"/>
      <c r="K241" s="45"/>
      <c r="L241" s="43"/>
      <c r="M241" s="43"/>
      <c r="N241" s="43"/>
      <c r="O241" s="43"/>
      <c r="P241" s="43"/>
      <c r="Q241" s="43"/>
      <c r="R241" s="43"/>
    </row>
    <row r="242" spans="1:18" hidden="1" x14ac:dyDescent="0.35">
      <c r="A242" s="59"/>
      <c r="B242" s="8"/>
      <c r="C242" s="44" t="s">
        <v>198</v>
      </c>
      <c r="D242" s="44"/>
      <c r="E242" s="44"/>
      <c r="F242" s="44"/>
      <c r="G242" s="44"/>
      <c r="H242" s="44"/>
      <c r="I242" s="44"/>
      <c r="J242" s="44"/>
      <c r="K242" s="46"/>
      <c r="L242" s="44"/>
      <c r="M242" s="44"/>
      <c r="N242" s="44"/>
      <c r="O242" s="44"/>
      <c r="P242" s="44"/>
      <c r="Q242" s="44"/>
      <c r="R242" s="44"/>
    </row>
    <row r="243" spans="1:18" x14ac:dyDescent="0.35">
      <c r="A243" s="59" t="s">
        <v>107</v>
      </c>
      <c r="B243" s="8"/>
      <c r="C243" s="30" t="s">
        <v>201</v>
      </c>
      <c r="D243" s="30"/>
      <c r="E243" s="30"/>
      <c r="F243" s="65">
        <v>1.99</v>
      </c>
      <c r="G243" s="30" t="str">
        <f>CONCATENATE("USD,FLAT ",TEXT(F243,"0.00"))</f>
        <v>USD,FLAT 1.99</v>
      </c>
      <c r="H243" s="36">
        <f>K243/J243</f>
        <v>1.99</v>
      </c>
      <c r="I243" s="30" t="s">
        <v>22</v>
      </c>
      <c r="J243" s="64">
        <v>2</v>
      </c>
      <c r="K243" s="39">
        <f>J243*F243</f>
        <v>3.98</v>
      </c>
      <c r="L243" s="30" t="str">
        <f>TEXT(IFERROR(((K243-K244)/K244*100),"0.00"),"0.00")</f>
        <v>0.00</v>
      </c>
      <c r="M243" s="36">
        <f>(10+J243*3)</f>
        <v>16</v>
      </c>
      <c r="N243" s="30"/>
      <c r="O243" s="30"/>
      <c r="P243" s="30"/>
      <c r="Q243" s="30"/>
      <c r="R243" s="30"/>
    </row>
    <row r="244" spans="1:18" hidden="1" x14ac:dyDescent="0.35">
      <c r="A244" s="59"/>
      <c r="B244" s="8"/>
      <c r="C244" s="33" t="s">
        <v>196</v>
      </c>
      <c r="D244" s="33"/>
      <c r="E244" s="33"/>
      <c r="F244" s="33"/>
      <c r="G244" s="33"/>
      <c r="H244" s="38" t="str">
        <f>IFERROR(K244/J244,"0")</f>
        <v>0</v>
      </c>
      <c r="I244" s="33"/>
      <c r="J244" s="34"/>
      <c r="K244" s="40"/>
      <c r="L244" s="33"/>
      <c r="M244" s="33"/>
      <c r="N244" s="33"/>
      <c r="O244" s="33"/>
      <c r="P244" s="33"/>
      <c r="Q244" s="33"/>
      <c r="R244" s="33"/>
    </row>
    <row r="245" spans="1:18" hidden="1" x14ac:dyDescent="0.35">
      <c r="A245" s="59"/>
      <c r="B245" s="8"/>
      <c r="C245" s="43" t="s">
        <v>197</v>
      </c>
      <c r="D245" s="43"/>
      <c r="E245" s="43"/>
      <c r="F245" s="43"/>
      <c r="G245" s="43"/>
      <c r="H245" s="43"/>
      <c r="I245" s="43"/>
      <c r="J245" s="43"/>
      <c r="K245" s="45"/>
      <c r="L245" s="43"/>
      <c r="M245" s="43"/>
      <c r="N245" s="43"/>
      <c r="O245" s="43"/>
      <c r="P245" s="43"/>
      <c r="Q245" s="43"/>
      <c r="R245" s="43"/>
    </row>
    <row r="246" spans="1:18" hidden="1" x14ac:dyDescent="0.35">
      <c r="A246" s="59"/>
      <c r="B246" s="8"/>
      <c r="C246" s="44" t="s">
        <v>198</v>
      </c>
      <c r="D246" s="44"/>
      <c r="E246" s="44"/>
      <c r="F246" s="44"/>
      <c r="G246" s="44"/>
      <c r="H246" s="44"/>
      <c r="I246" s="44"/>
      <c r="J246" s="44"/>
      <c r="K246" s="46"/>
      <c r="L246" s="44"/>
      <c r="M246" s="44"/>
      <c r="N246" s="44"/>
      <c r="O246" s="44"/>
      <c r="P246" s="44"/>
      <c r="Q246" s="44"/>
      <c r="R246" s="44"/>
    </row>
    <row r="247" spans="1:18" hidden="1" x14ac:dyDescent="0.35">
      <c r="A247" s="59" t="s">
        <v>107</v>
      </c>
      <c r="B247" s="8" t="s">
        <v>51</v>
      </c>
      <c r="C247" s="30" t="s">
        <v>201</v>
      </c>
      <c r="D247" s="30"/>
      <c r="E247" s="30"/>
      <c r="F247" s="39">
        <v>0.75</v>
      </c>
      <c r="G247" s="30" t="str">
        <f>CONCATENATE("USD,FLAT ",TEXT(F247,"0.00"))</f>
        <v>USD,FLAT 0.75</v>
      </c>
      <c r="H247" s="36">
        <f>K247/J247</f>
        <v>0.75</v>
      </c>
      <c r="I247" s="30" t="s">
        <v>22</v>
      </c>
      <c r="J247" s="32">
        <v>1</v>
      </c>
      <c r="K247" s="39">
        <f>J247*F247</f>
        <v>0.75</v>
      </c>
      <c r="L247" s="30" t="str">
        <f>TEXT(IFERROR(((K247-K248)/K248*100),"0.00"),"0.00")</f>
        <v>0.00</v>
      </c>
      <c r="M247" s="36">
        <f>(10+J247*3)</f>
        <v>13</v>
      </c>
      <c r="N247" s="30"/>
      <c r="O247" s="30"/>
      <c r="P247" s="30"/>
      <c r="Q247" s="30"/>
      <c r="R247" s="30"/>
    </row>
    <row r="248" spans="1:18" hidden="1" x14ac:dyDescent="0.35">
      <c r="A248" s="59"/>
      <c r="B248" s="8"/>
      <c r="C248" s="33" t="s">
        <v>196</v>
      </c>
      <c r="D248" s="33"/>
      <c r="E248" s="33"/>
      <c r="F248" s="33"/>
      <c r="G248" s="33"/>
      <c r="H248" s="38" t="str">
        <f>IFERROR(K248/J248,"0")</f>
        <v>0</v>
      </c>
      <c r="I248" s="33"/>
      <c r="J248" s="34"/>
      <c r="K248" s="40"/>
      <c r="L248" s="33"/>
      <c r="M248" s="33"/>
      <c r="N248" s="33"/>
      <c r="O248" s="33"/>
      <c r="P248" s="33"/>
      <c r="Q248" s="33"/>
      <c r="R248" s="33"/>
    </row>
    <row r="249" spans="1:18" hidden="1" x14ac:dyDescent="0.35">
      <c r="A249" s="59"/>
      <c r="B249" s="8"/>
      <c r="C249" s="43" t="s">
        <v>197</v>
      </c>
      <c r="D249" s="43"/>
      <c r="E249" s="43"/>
      <c r="F249" s="43"/>
      <c r="G249" s="43"/>
      <c r="H249" s="43"/>
      <c r="I249" s="43"/>
      <c r="J249" s="43"/>
      <c r="K249" s="45"/>
      <c r="L249" s="43"/>
      <c r="M249" s="43"/>
      <c r="N249" s="43"/>
      <c r="O249" s="43"/>
      <c r="P249" s="43"/>
      <c r="Q249" s="43"/>
      <c r="R249" s="43"/>
    </row>
    <row r="250" spans="1:18" hidden="1" x14ac:dyDescent="0.35">
      <c r="A250" s="59"/>
      <c r="B250" s="8"/>
      <c r="C250" s="44" t="s">
        <v>198</v>
      </c>
      <c r="D250" s="44"/>
      <c r="E250" s="44"/>
      <c r="F250" s="44"/>
      <c r="G250" s="44"/>
      <c r="H250" s="44"/>
      <c r="I250" s="44"/>
      <c r="J250" s="44"/>
      <c r="K250" s="46"/>
      <c r="L250" s="44"/>
      <c r="M250" s="44"/>
      <c r="N250" s="44"/>
      <c r="O250" s="44"/>
      <c r="P250" s="44"/>
      <c r="Q250" s="44"/>
      <c r="R250" s="44"/>
    </row>
    <row r="251" spans="1:18" hidden="1" x14ac:dyDescent="0.35">
      <c r="A251" s="59" t="s">
        <v>107</v>
      </c>
      <c r="B251" s="8" t="s">
        <v>202</v>
      </c>
      <c r="C251" s="30" t="s">
        <v>201</v>
      </c>
      <c r="D251" s="30"/>
      <c r="E251" s="30"/>
      <c r="F251" s="39">
        <v>0.3</v>
      </c>
      <c r="G251" s="30" t="str">
        <f>CONCATENATE("USD,FLAT ",TEXT(F251,"0.00"))</f>
        <v>USD,FLAT 0.30</v>
      </c>
      <c r="H251" s="36">
        <f>K251/J251</f>
        <v>0.3</v>
      </c>
      <c r="I251" s="30" t="s">
        <v>22</v>
      </c>
      <c r="J251" s="32">
        <v>1</v>
      </c>
      <c r="K251" s="39">
        <f>J251*F251</f>
        <v>0.3</v>
      </c>
      <c r="L251" s="30" t="str">
        <f>TEXT(IFERROR(((K251-K252)/K252*100),"0.00"),"0.00")</f>
        <v>0.00</v>
      </c>
      <c r="M251" s="36">
        <f>(10+J251*3)</f>
        <v>13</v>
      </c>
      <c r="N251" s="30"/>
      <c r="O251" s="30"/>
      <c r="P251" s="30"/>
      <c r="Q251" s="30"/>
      <c r="R251" s="30"/>
    </row>
    <row r="252" spans="1:18" hidden="1" x14ac:dyDescent="0.35">
      <c r="A252" s="59"/>
      <c r="B252" s="8"/>
      <c r="C252" s="33" t="s">
        <v>196</v>
      </c>
      <c r="D252" s="33"/>
      <c r="E252" s="33"/>
      <c r="F252" s="33"/>
      <c r="G252" s="33"/>
      <c r="H252" s="38" t="str">
        <f>IFERROR(K252/J252,"0")</f>
        <v>0</v>
      </c>
      <c r="I252" s="33"/>
      <c r="J252" s="34"/>
      <c r="K252" s="40"/>
      <c r="L252" s="33"/>
      <c r="M252" s="33"/>
      <c r="N252" s="33"/>
      <c r="O252" s="33"/>
      <c r="P252" s="33"/>
      <c r="Q252" s="33"/>
      <c r="R252" s="33"/>
    </row>
    <row r="253" spans="1:18" hidden="1" x14ac:dyDescent="0.35">
      <c r="A253" s="59"/>
      <c r="B253" s="8"/>
      <c r="C253" s="43" t="s">
        <v>197</v>
      </c>
      <c r="D253" s="43"/>
      <c r="E253" s="43"/>
      <c r="F253" s="43"/>
      <c r="G253" s="43"/>
      <c r="H253" s="43"/>
      <c r="I253" s="43"/>
      <c r="J253" s="43"/>
      <c r="K253" s="45"/>
      <c r="L253" s="43"/>
      <c r="M253" s="43"/>
      <c r="N253" s="43"/>
      <c r="O253" s="43"/>
      <c r="P253" s="43"/>
      <c r="Q253" s="43"/>
      <c r="R253" s="43"/>
    </row>
    <row r="254" spans="1:18" hidden="1" x14ac:dyDescent="0.35">
      <c r="A254" s="59"/>
      <c r="B254" s="8"/>
      <c r="C254" s="44" t="s">
        <v>198</v>
      </c>
      <c r="D254" s="44"/>
      <c r="E254" s="44"/>
      <c r="F254" s="44"/>
      <c r="G254" s="44"/>
      <c r="H254" s="44"/>
      <c r="I254" s="44"/>
      <c r="J254" s="44"/>
      <c r="K254" s="46"/>
      <c r="L254" s="44"/>
      <c r="M254" s="44"/>
      <c r="N254" s="44"/>
      <c r="O254" s="44"/>
      <c r="P254" s="44"/>
      <c r="Q254" s="44"/>
      <c r="R254" s="44"/>
    </row>
    <row r="255" spans="1:18" hidden="1" x14ac:dyDescent="0.35">
      <c r="A255" s="59" t="s">
        <v>107</v>
      </c>
      <c r="B255" s="8" t="s">
        <v>4</v>
      </c>
      <c r="C255" s="30" t="s">
        <v>201</v>
      </c>
      <c r="D255" s="30"/>
      <c r="E255" s="30"/>
      <c r="F255" s="39">
        <v>6.67</v>
      </c>
      <c r="G255" s="30" t="str">
        <f>CONCATENATE("USD,FLAT ",TEXT(F255,"0.00"))</f>
        <v>USD,FLAT 6.67</v>
      </c>
      <c r="H255" s="36">
        <f>K255/J255</f>
        <v>6.67</v>
      </c>
      <c r="I255" s="30" t="s">
        <v>22</v>
      </c>
      <c r="J255" s="32">
        <v>1</v>
      </c>
      <c r="K255" s="39">
        <f>J255*F255</f>
        <v>6.67</v>
      </c>
      <c r="L255" s="39" t="str">
        <f>IFERROR(((K255-K256)/K256*100),"0.00")</f>
        <v>0.00</v>
      </c>
      <c r="M255" s="36">
        <f>(10+J255*3)</f>
        <v>13</v>
      </c>
      <c r="N255" s="30"/>
      <c r="O255" s="30"/>
      <c r="P255" s="30"/>
      <c r="Q255" s="30"/>
      <c r="R255" s="30"/>
    </row>
    <row r="256" spans="1:18" hidden="1" x14ac:dyDescent="0.35">
      <c r="A256" s="59"/>
      <c r="B256" s="8"/>
      <c r="C256" s="33" t="s">
        <v>196</v>
      </c>
      <c r="D256" s="33"/>
      <c r="E256" s="33"/>
      <c r="F256" s="33"/>
      <c r="G256" s="33"/>
      <c r="H256" s="38" t="str">
        <f>IFERROR(K256/J256,"0")</f>
        <v>0</v>
      </c>
      <c r="I256" s="33"/>
      <c r="J256" s="34"/>
      <c r="K256" s="40"/>
      <c r="L256" s="33"/>
      <c r="M256" s="33"/>
      <c r="N256" s="33"/>
      <c r="O256" s="33"/>
      <c r="P256" s="33"/>
      <c r="Q256" s="33"/>
      <c r="R256" s="33"/>
    </row>
    <row r="257" spans="1:18" hidden="1" x14ac:dyDescent="0.35">
      <c r="A257" s="59"/>
      <c r="B257" s="8"/>
      <c r="C257" s="43" t="s">
        <v>197</v>
      </c>
      <c r="D257" s="43"/>
      <c r="E257" s="43"/>
      <c r="F257" s="43"/>
      <c r="G257" s="43"/>
      <c r="H257" s="43"/>
      <c r="I257" s="43"/>
      <c r="J257" s="43"/>
      <c r="K257" s="45"/>
      <c r="L257" s="43"/>
      <c r="M257" s="43"/>
      <c r="N257" s="43"/>
      <c r="O257" s="43"/>
      <c r="P257" s="43"/>
      <c r="Q257" s="43"/>
      <c r="R257" s="43"/>
    </row>
    <row r="258" spans="1:18" hidden="1" x14ac:dyDescent="0.35">
      <c r="A258" s="59"/>
      <c r="B258" s="8"/>
      <c r="C258" s="44" t="s">
        <v>198</v>
      </c>
      <c r="D258" s="44"/>
      <c r="E258" s="44"/>
      <c r="F258" s="44"/>
      <c r="G258" s="44"/>
      <c r="H258" s="44"/>
      <c r="I258" s="44"/>
      <c r="J258" s="44"/>
      <c r="K258" s="46"/>
      <c r="L258" s="44"/>
      <c r="M258" s="44"/>
      <c r="N258" s="44"/>
      <c r="O258" s="44"/>
      <c r="P258" s="44"/>
      <c r="Q258" s="44"/>
      <c r="R258" s="44"/>
    </row>
    <row r="259" spans="1:18" hidden="1" x14ac:dyDescent="0.35">
      <c r="A259" s="59" t="s">
        <v>108</v>
      </c>
      <c r="B259" s="8"/>
      <c r="C259" s="30" t="s">
        <v>201</v>
      </c>
      <c r="D259" s="30"/>
      <c r="E259" s="30"/>
      <c r="F259" s="39">
        <v>0.4</v>
      </c>
      <c r="G259" s="30" t="str">
        <f>CONCATENATE("USD,FLAT ",TEXT(F259,"0.00"))</f>
        <v>USD,FLAT 0.40</v>
      </c>
      <c r="H259" s="36">
        <f>K259/J259</f>
        <v>0.4</v>
      </c>
      <c r="I259" s="30" t="s">
        <v>22</v>
      </c>
      <c r="J259" s="32">
        <v>1</v>
      </c>
      <c r="K259" s="39">
        <f>J259*F259</f>
        <v>0.4</v>
      </c>
      <c r="L259" s="30" t="str">
        <f>TEXT(IFERROR(((K259-K260)/K260*100),"0.00"),"0.00")</f>
        <v>0.00</v>
      </c>
      <c r="M259" s="36">
        <f>(10+J259*3)</f>
        <v>13</v>
      </c>
      <c r="N259" s="30"/>
      <c r="O259" s="30"/>
      <c r="P259" s="30"/>
      <c r="Q259" s="30"/>
      <c r="R259" s="30"/>
    </row>
    <row r="260" spans="1:18" hidden="1" x14ac:dyDescent="0.35">
      <c r="A260" s="59"/>
      <c r="B260" s="8"/>
      <c r="C260" s="33" t="s">
        <v>196</v>
      </c>
      <c r="D260" s="33"/>
      <c r="E260" s="33"/>
      <c r="F260" s="33"/>
      <c r="G260" s="33"/>
      <c r="H260" s="38" t="str">
        <f>IFERROR(K260/J260,"0")</f>
        <v>0</v>
      </c>
      <c r="I260" s="33"/>
      <c r="J260" s="34"/>
      <c r="K260" s="40"/>
      <c r="L260" s="33"/>
      <c r="M260" s="33"/>
      <c r="N260" s="33"/>
      <c r="O260" s="33"/>
      <c r="P260" s="33"/>
      <c r="Q260" s="33"/>
      <c r="R260" s="33"/>
    </row>
    <row r="261" spans="1:18" hidden="1" x14ac:dyDescent="0.35">
      <c r="A261" s="59"/>
      <c r="B261" s="8"/>
      <c r="C261" s="43" t="s">
        <v>197</v>
      </c>
      <c r="D261" s="43"/>
      <c r="E261" s="43"/>
      <c r="F261" s="43"/>
      <c r="G261" s="43"/>
      <c r="H261" s="43"/>
      <c r="I261" s="43"/>
      <c r="J261" s="43"/>
      <c r="K261" s="45"/>
      <c r="L261" s="43"/>
      <c r="M261" s="43"/>
      <c r="N261" s="43"/>
      <c r="O261" s="43"/>
      <c r="P261" s="43"/>
      <c r="Q261" s="43"/>
      <c r="R261" s="43"/>
    </row>
    <row r="262" spans="1:18" hidden="1" x14ac:dyDescent="0.35">
      <c r="A262" s="59"/>
      <c r="B262" s="8"/>
      <c r="C262" s="44" t="s">
        <v>198</v>
      </c>
      <c r="D262" s="44"/>
      <c r="E262" s="44"/>
      <c r="F262" s="44"/>
      <c r="G262" s="44"/>
      <c r="H262" s="44"/>
      <c r="I262" s="44"/>
      <c r="J262" s="44"/>
      <c r="K262" s="46"/>
      <c r="L262" s="44"/>
      <c r="M262" s="44"/>
      <c r="N262" s="44"/>
      <c r="O262" s="44"/>
      <c r="P262" s="44"/>
      <c r="Q262" s="44"/>
      <c r="R262" s="44"/>
    </row>
    <row r="263" spans="1:18" hidden="1" x14ac:dyDescent="0.35">
      <c r="A263" s="59" t="s">
        <v>109</v>
      </c>
      <c r="B263" s="8"/>
      <c r="C263" s="30" t="s">
        <v>201</v>
      </c>
      <c r="D263" s="30"/>
      <c r="E263" s="30"/>
      <c r="F263" s="39">
        <v>0.6</v>
      </c>
      <c r="G263" s="30" t="str">
        <f>CONCATENATE("USD,FLAT ",TEXT(F263,"0.00"))</f>
        <v>USD,FLAT 0.60</v>
      </c>
      <c r="H263" s="36">
        <f>K263/J263</f>
        <v>0.6</v>
      </c>
      <c r="I263" s="30" t="s">
        <v>22</v>
      </c>
      <c r="J263" s="32">
        <v>1</v>
      </c>
      <c r="K263" s="39">
        <f>J263*F263</f>
        <v>0.6</v>
      </c>
      <c r="L263" s="30" t="str">
        <f>TEXT(IFERROR(((K263-K264)/K264*100),"0.00"),"0.00")</f>
        <v>0.00</v>
      </c>
      <c r="M263" s="36">
        <f>(10+J263*3)</f>
        <v>13</v>
      </c>
      <c r="N263" s="30"/>
      <c r="O263" s="30"/>
      <c r="P263" s="30"/>
      <c r="Q263" s="30"/>
      <c r="R263" s="30"/>
    </row>
    <row r="264" spans="1:18" hidden="1" x14ac:dyDescent="0.35">
      <c r="A264" s="59"/>
      <c r="B264" s="8"/>
      <c r="C264" s="33" t="s">
        <v>196</v>
      </c>
      <c r="D264" s="33"/>
      <c r="E264" s="33"/>
      <c r="F264" s="33"/>
      <c r="G264" s="33"/>
      <c r="H264" s="38" t="str">
        <f>IFERROR(K264/J264,"0")</f>
        <v>0</v>
      </c>
      <c r="I264" s="33"/>
      <c r="J264" s="34"/>
      <c r="K264" s="40"/>
      <c r="L264" s="33"/>
      <c r="M264" s="33"/>
      <c r="N264" s="33"/>
      <c r="O264" s="33"/>
      <c r="P264" s="33"/>
      <c r="Q264" s="33"/>
      <c r="R264" s="33"/>
    </row>
    <row r="265" spans="1:18" hidden="1" x14ac:dyDescent="0.35">
      <c r="A265" s="59"/>
      <c r="B265" s="8"/>
      <c r="C265" s="43" t="s">
        <v>197</v>
      </c>
      <c r="D265" s="43"/>
      <c r="E265" s="43"/>
      <c r="F265" s="43"/>
      <c r="G265" s="43"/>
      <c r="H265" s="43"/>
      <c r="I265" s="43"/>
      <c r="J265" s="43"/>
      <c r="K265" s="45"/>
      <c r="L265" s="43"/>
      <c r="M265" s="43"/>
      <c r="N265" s="43"/>
      <c r="O265" s="43"/>
      <c r="P265" s="43"/>
      <c r="Q265" s="43"/>
      <c r="R265" s="43"/>
    </row>
    <row r="266" spans="1:18" hidden="1" x14ac:dyDescent="0.35">
      <c r="A266" s="59"/>
      <c r="B266" s="8"/>
      <c r="C266" s="44" t="s">
        <v>198</v>
      </c>
      <c r="D266" s="44"/>
      <c r="E266" s="44"/>
      <c r="F266" s="44"/>
      <c r="G266" s="44"/>
      <c r="H266" s="44"/>
      <c r="I266" s="44"/>
      <c r="J266" s="44"/>
      <c r="K266" s="46"/>
      <c r="L266" s="44"/>
      <c r="M266" s="44"/>
      <c r="N266" s="44"/>
      <c r="O266" s="44"/>
      <c r="P266" s="44"/>
      <c r="Q266" s="44"/>
      <c r="R266" s="44"/>
    </row>
    <row r="267" spans="1:18" x14ac:dyDescent="0.35">
      <c r="A267" s="59" t="s">
        <v>110</v>
      </c>
      <c r="B267" s="47"/>
      <c r="C267" s="30" t="s">
        <v>201</v>
      </c>
      <c r="D267" s="30"/>
      <c r="E267" s="30"/>
      <c r="F267" s="63">
        <v>16.670000000000002</v>
      </c>
      <c r="G267" s="30" t="str">
        <f>CONCATENATE("USD,FLAT ",TEXT(F267,"0.00"))</f>
        <v>USD,FLAT 16.67</v>
      </c>
      <c r="H267" s="36">
        <f>K267/J267</f>
        <v>16.670000000000002</v>
      </c>
      <c r="I267" s="30" t="s">
        <v>22</v>
      </c>
      <c r="J267" s="32">
        <v>1</v>
      </c>
      <c r="K267" s="39">
        <f>J267*F267</f>
        <v>16.670000000000002</v>
      </c>
      <c r="L267" s="30" t="str">
        <f>TEXT(IFERROR(((K267-K268)/K268*100),"0.00"),"0.00")</f>
        <v>0.00</v>
      </c>
      <c r="M267" s="36">
        <f>(10+J267*3)</f>
        <v>13</v>
      </c>
      <c r="N267" s="30"/>
      <c r="O267" s="30"/>
      <c r="P267" s="30"/>
      <c r="Q267" s="30"/>
      <c r="R267" s="30"/>
    </row>
    <row r="268" spans="1:18" hidden="1" x14ac:dyDescent="0.35">
      <c r="A268" s="8"/>
      <c r="B268" s="47"/>
      <c r="C268" s="33" t="s">
        <v>196</v>
      </c>
      <c r="D268" s="33"/>
      <c r="E268" s="33"/>
      <c r="F268" s="33"/>
      <c r="G268" s="33"/>
      <c r="H268" s="38" t="str">
        <f>IFERROR(K268/J268,"0")</f>
        <v>0</v>
      </c>
      <c r="I268" s="33"/>
      <c r="J268" s="34"/>
      <c r="K268" s="40"/>
      <c r="L268" s="33"/>
      <c r="M268" s="33"/>
      <c r="N268" s="33"/>
      <c r="O268" s="33"/>
      <c r="P268" s="33"/>
      <c r="Q268" s="33"/>
      <c r="R268" s="33"/>
    </row>
    <row r="269" spans="1:18" hidden="1" x14ac:dyDescent="0.35">
      <c r="A269" s="8"/>
      <c r="B269" s="47"/>
      <c r="C269" s="43" t="s">
        <v>197</v>
      </c>
      <c r="D269" s="43"/>
      <c r="E269" s="43"/>
      <c r="F269" s="43"/>
      <c r="G269" s="43"/>
      <c r="H269" s="43"/>
      <c r="I269" s="43"/>
      <c r="J269" s="43"/>
      <c r="K269" s="45"/>
      <c r="L269" s="43"/>
      <c r="M269" s="43"/>
      <c r="N269" s="43"/>
      <c r="O269" s="43"/>
      <c r="P269" s="43"/>
      <c r="Q269" s="43"/>
      <c r="R269" s="43"/>
    </row>
    <row r="270" spans="1:18" hidden="1" x14ac:dyDescent="0.35">
      <c r="A270" s="8"/>
      <c r="B270" s="47"/>
      <c r="C270" s="44" t="s">
        <v>198</v>
      </c>
      <c r="D270" s="44"/>
      <c r="E270" s="44"/>
      <c r="F270" s="44"/>
      <c r="G270" s="44"/>
      <c r="H270" s="44"/>
      <c r="I270" s="44"/>
      <c r="J270" s="44"/>
      <c r="K270" s="46"/>
      <c r="L270" s="44"/>
      <c r="M270" s="44"/>
      <c r="N270" s="44"/>
      <c r="O270" s="44"/>
      <c r="P270" s="44"/>
      <c r="Q270" s="44"/>
      <c r="R270" s="44"/>
    </row>
    <row r="271" spans="1:18" x14ac:dyDescent="0.35">
      <c r="A271" s="251" t="s">
        <v>220</v>
      </c>
      <c r="B271" s="252"/>
      <c r="C271" s="252"/>
      <c r="D271" s="252"/>
      <c r="E271" s="252"/>
      <c r="F271" s="252"/>
      <c r="G271" s="252"/>
      <c r="H271" s="252"/>
      <c r="I271" s="252"/>
      <c r="J271" s="252"/>
    </row>
    <row r="272" spans="1:18" x14ac:dyDescent="0.35">
      <c r="A272" s="253" t="s">
        <v>222</v>
      </c>
      <c r="B272" s="262" t="s">
        <v>225</v>
      </c>
      <c r="C272" s="263"/>
      <c r="D272" s="263"/>
      <c r="E272" s="264"/>
      <c r="F272" s="262" t="s">
        <v>226</v>
      </c>
      <c r="G272" s="263"/>
      <c r="H272" s="263"/>
      <c r="I272" s="264"/>
      <c r="J272" s="265" t="s">
        <v>224</v>
      </c>
    </row>
    <row r="273" spans="1:18" x14ac:dyDescent="0.35">
      <c r="A273" s="254"/>
      <c r="B273" s="24" t="s">
        <v>187</v>
      </c>
      <c r="C273" s="24" t="s">
        <v>189</v>
      </c>
      <c r="D273" s="24" t="s">
        <v>223</v>
      </c>
      <c r="E273" s="24" t="s">
        <v>229</v>
      </c>
      <c r="F273" s="24" t="s">
        <v>187</v>
      </c>
      <c r="G273" s="24" t="s">
        <v>189</v>
      </c>
      <c r="H273" s="24" t="s">
        <v>223</v>
      </c>
      <c r="I273" s="24" t="s">
        <v>229</v>
      </c>
      <c r="J273" s="266"/>
    </row>
    <row r="274" spans="1:18" x14ac:dyDescent="0.35">
      <c r="A274" s="21"/>
      <c r="B274" s="56">
        <f>K203+C179+C180</f>
        <v>6755622.5700000003</v>
      </c>
      <c r="C274" s="56">
        <f>M203+C181+C182</f>
        <v>1010169</v>
      </c>
      <c r="D274" s="56">
        <f>B274-C274</f>
        <v>5745453.5700000003</v>
      </c>
      <c r="E274" s="55">
        <f>((B274-C274)/B274*100)</f>
        <v>85.046988792921866</v>
      </c>
      <c r="F274" s="56">
        <f>K204</f>
        <v>648000</v>
      </c>
      <c r="G274" s="56">
        <f>M204</f>
        <v>144010</v>
      </c>
      <c r="H274" s="56">
        <f>F274-G274</f>
        <v>503990</v>
      </c>
      <c r="I274" s="55">
        <f>((F274-G274)/F274*100)</f>
        <v>77.776234567901241</v>
      </c>
      <c r="J274" s="55">
        <f>((B274-F274)/F274*100)</f>
        <v>942.53434722222221</v>
      </c>
    </row>
    <row r="275" spans="1:18" x14ac:dyDescent="0.35">
      <c r="A275" s="251" t="s">
        <v>221</v>
      </c>
      <c r="B275" s="252"/>
      <c r="C275" s="252"/>
      <c r="D275" s="252"/>
      <c r="E275" s="252"/>
      <c r="F275" s="252"/>
      <c r="G275" s="252"/>
      <c r="H275" s="252"/>
    </row>
    <row r="276" spans="1:18" x14ac:dyDescent="0.35">
      <c r="A276" s="24" t="s">
        <v>1</v>
      </c>
      <c r="B276" s="24" t="s">
        <v>0</v>
      </c>
      <c r="C276" s="24" t="s">
        <v>204</v>
      </c>
      <c r="D276" s="24" t="s">
        <v>216</v>
      </c>
      <c r="E276" s="24" t="s">
        <v>227</v>
      </c>
      <c r="F276" s="24" t="s">
        <v>228</v>
      </c>
      <c r="G276" s="24" t="s">
        <v>217</v>
      </c>
      <c r="H276" s="24" t="s">
        <v>218</v>
      </c>
    </row>
    <row r="277" spans="1:18" x14ac:dyDescent="0.35">
      <c r="A277" s="21"/>
      <c r="B277" s="23"/>
      <c r="C277" s="21" t="s">
        <v>219</v>
      </c>
      <c r="D277" s="56">
        <f>(E277-G277)/G277*100</f>
        <v>942.53434722222221</v>
      </c>
      <c r="E277" s="56">
        <f>K203+C179+C180</f>
        <v>6755622.5700000003</v>
      </c>
      <c r="F277" s="56">
        <f>M203+C181+C182</f>
        <v>1010169</v>
      </c>
      <c r="G277" s="56">
        <f>K204</f>
        <v>648000</v>
      </c>
      <c r="H277" s="56">
        <f>M204</f>
        <v>144010</v>
      </c>
    </row>
    <row r="278" spans="1:18" x14ac:dyDescent="0.35">
      <c r="A278" s="74"/>
      <c r="B278" s="75"/>
      <c r="C278" s="75"/>
      <c r="D278" s="75"/>
      <c r="E278" s="76"/>
      <c r="F278" s="75"/>
      <c r="G278" s="75"/>
      <c r="H278" s="75"/>
      <c r="I278" s="76"/>
      <c r="J278" s="76"/>
    </row>
    <row r="279" spans="1:18" x14ac:dyDescent="0.35">
      <c r="A279" s="57" t="s">
        <v>153</v>
      </c>
      <c r="B279" s="58"/>
      <c r="C279" s="58"/>
    </row>
    <row r="280" spans="1:18" x14ac:dyDescent="0.35">
      <c r="A280" s="24" t="s">
        <v>153</v>
      </c>
      <c r="B280" s="24" t="s">
        <v>162</v>
      </c>
      <c r="C280" s="24" t="s">
        <v>163</v>
      </c>
    </row>
    <row r="281" spans="1:18" ht="72.5" x14ac:dyDescent="0.35">
      <c r="A281" s="60" t="s">
        <v>154</v>
      </c>
      <c r="B281" s="61" t="s">
        <v>240</v>
      </c>
      <c r="C281" s="61" t="s">
        <v>240</v>
      </c>
    </row>
    <row r="283" spans="1:18" x14ac:dyDescent="0.35">
      <c r="A283" s="258" t="s">
        <v>359</v>
      </c>
      <c r="B283" s="258"/>
      <c r="C283" s="258"/>
      <c r="D283" s="258"/>
      <c r="E283" s="258"/>
      <c r="F283" s="258"/>
      <c r="G283" s="258"/>
      <c r="H283" s="258"/>
      <c r="I283" s="258"/>
      <c r="J283" s="258"/>
      <c r="K283" s="258"/>
      <c r="L283" s="258"/>
    </row>
    <row r="284" spans="1:18" x14ac:dyDescent="0.35">
      <c r="A284" s="160" t="s">
        <v>243</v>
      </c>
      <c r="B284" s="67">
        <f>E76+60</f>
        <v>44440</v>
      </c>
      <c r="C284" s="160"/>
      <c r="D284" s="160"/>
      <c r="E284" s="160"/>
      <c r="F284" s="160"/>
      <c r="G284" s="160"/>
      <c r="H284" s="160"/>
      <c r="I284" s="160"/>
      <c r="J284" s="160"/>
      <c r="K284" s="160"/>
      <c r="L284" s="160"/>
    </row>
    <row r="285" spans="1:18" x14ac:dyDescent="0.35">
      <c r="A285" s="249" t="s">
        <v>182</v>
      </c>
      <c r="B285" s="250"/>
      <c r="C285" s="250"/>
      <c r="D285" s="250"/>
      <c r="E285" s="250"/>
    </row>
    <row r="286" spans="1:18" x14ac:dyDescent="0.35">
      <c r="A286" s="159" t="s">
        <v>183</v>
      </c>
      <c r="B286" s="159" t="s">
        <v>44</v>
      </c>
      <c r="C286" s="159" t="s">
        <v>191</v>
      </c>
      <c r="D286" s="42" t="s">
        <v>199</v>
      </c>
      <c r="E286" s="42" t="s">
        <v>200</v>
      </c>
      <c r="F286" s="42" t="s">
        <v>57</v>
      </c>
      <c r="G286" s="159" t="s">
        <v>184</v>
      </c>
      <c r="H286" s="159" t="s">
        <v>185</v>
      </c>
      <c r="I286" s="42" t="s">
        <v>18</v>
      </c>
      <c r="J286" s="42" t="s">
        <v>186</v>
      </c>
      <c r="K286" s="42" t="s">
        <v>187</v>
      </c>
      <c r="L286" s="42" t="s">
        <v>188</v>
      </c>
      <c r="M286" s="42" t="s">
        <v>189</v>
      </c>
      <c r="N286" s="42" t="s">
        <v>206</v>
      </c>
      <c r="O286" s="42" t="s">
        <v>203</v>
      </c>
      <c r="P286" s="42" t="s">
        <v>204</v>
      </c>
      <c r="Q286" s="42" t="s">
        <v>205</v>
      </c>
      <c r="R286" s="42" t="s">
        <v>190</v>
      </c>
    </row>
    <row r="287" spans="1:18" x14ac:dyDescent="0.35">
      <c r="A287" s="49" t="s">
        <v>192</v>
      </c>
      <c r="B287" s="49"/>
      <c r="C287" s="49" t="s">
        <v>201</v>
      </c>
      <c r="D287" s="49"/>
      <c r="E287" s="49"/>
      <c r="F287" s="49"/>
      <c r="G287" s="49"/>
      <c r="H287" s="49"/>
      <c r="I287" s="49"/>
      <c r="J287" s="50"/>
      <c r="K287" s="51">
        <f>SUMIFS(K289:K354,C289:C354,C287,A289:A354,"*"&amp;"DE_"&amp;"*")</f>
        <v>6753622.5700000003</v>
      </c>
      <c r="L287" s="49"/>
      <c r="M287" s="51">
        <f>SUMIFS(M289:M354,C289:C354,C287,A289:A354,"*"&amp;"DE_"&amp;"*")</f>
        <v>1008169</v>
      </c>
      <c r="N287" s="49"/>
      <c r="O287" s="49"/>
      <c r="P287" s="49"/>
      <c r="Q287" s="49"/>
      <c r="R287" s="49"/>
    </row>
    <row r="288" spans="1:18" x14ac:dyDescent="0.35">
      <c r="A288" s="49" t="s">
        <v>192</v>
      </c>
      <c r="B288" s="49"/>
      <c r="C288" s="49" t="s">
        <v>196</v>
      </c>
      <c r="D288" s="49"/>
      <c r="E288" s="49"/>
      <c r="F288" s="49"/>
      <c r="G288" s="49"/>
      <c r="H288" s="49"/>
      <c r="I288" s="49"/>
      <c r="J288" s="50"/>
      <c r="K288" s="51">
        <f>SUMIFS(K289:K354,C289:C354,C288,A289:A354,"*"&amp;"DE_"&amp;"*")</f>
        <v>648000</v>
      </c>
      <c r="L288" s="49"/>
      <c r="M288" s="51">
        <f>SUMIFS(M289:M354,C289:C354,C288,A289:A354,"*"&amp;"DE_"&amp;"*")</f>
        <v>144010</v>
      </c>
      <c r="N288" s="49"/>
      <c r="O288" s="49"/>
      <c r="P288" s="49"/>
      <c r="Q288" s="49"/>
      <c r="R288" s="49"/>
    </row>
    <row r="289" spans="1:18" x14ac:dyDescent="0.35">
      <c r="A289" s="52" t="s">
        <v>193</v>
      </c>
      <c r="B289" s="52"/>
      <c r="C289" s="52" t="s">
        <v>201</v>
      </c>
      <c r="D289" s="52"/>
      <c r="E289" s="52"/>
      <c r="F289" s="52"/>
      <c r="G289" s="52"/>
      <c r="H289" s="52"/>
      <c r="I289" s="52"/>
      <c r="J289" s="53"/>
      <c r="K289" s="54">
        <f>SUMIFS(K291:K306,C291:C306,C289)</f>
        <v>657712.92000000004</v>
      </c>
      <c r="L289" s="52"/>
      <c r="M289" s="54">
        <f>SUMIFS(M291:M306,C291:C306,C289)</f>
        <v>144029</v>
      </c>
      <c r="N289" s="52"/>
      <c r="O289" s="52"/>
      <c r="P289" s="52"/>
      <c r="Q289" s="52"/>
      <c r="R289" s="52"/>
    </row>
    <row r="290" spans="1:18" x14ac:dyDescent="0.35">
      <c r="A290" s="52" t="s">
        <v>193</v>
      </c>
      <c r="B290" s="52"/>
      <c r="C290" s="52" t="s">
        <v>196</v>
      </c>
      <c r="D290" s="52"/>
      <c r="E290" s="52"/>
      <c r="F290" s="52"/>
      <c r="G290" s="52"/>
      <c r="H290" s="52"/>
      <c r="I290" s="52"/>
      <c r="J290" s="53"/>
      <c r="K290" s="54">
        <f>SUMIFS(K291:K306,C291:C306,C290)</f>
        <v>648000</v>
      </c>
      <c r="L290" s="52"/>
      <c r="M290" s="54">
        <f>SUMIFS(M291:M306,C291:C306,C290)</f>
        <v>144010</v>
      </c>
      <c r="N290" s="52"/>
      <c r="O290" s="52"/>
      <c r="P290" s="52"/>
      <c r="Q290" s="52"/>
      <c r="R290" s="52"/>
    </row>
    <row r="291" spans="1:18" x14ac:dyDescent="0.35">
      <c r="A291" s="59" t="s">
        <v>100</v>
      </c>
      <c r="B291" s="8"/>
      <c r="C291" s="30" t="s">
        <v>201</v>
      </c>
      <c r="D291" s="71">
        <v>44197</v>
      </c>
      <c r="E291" s="72">
        <f>D293-1</f>
        <v>44439</v>
      </c>
      <c r="F291" s="30">
        <v>13.5</v>
      </c>
      <c r="G291" s="30" t="str">
        <f t="shared" ref="G291:G299" si="0">CONCATENATE("USD,FLAT ",TEXT(F291,"0.00"))</f>
        <v>USD,FLAT 13.50</v>
      </c>
      <c r="H291" s="36">
        <f>K291/J291</f>
        <v>13.5</v>
      </c>
      <c r="I291" s="30" t="s">
        <v>22</v>
      </c>
      <c r="J291" s="32">
        <v>48000</v>
      </c>
      <c r="K291" s="36">
        <f t="shared" ref="K291:K298" si="1">J291*F291</f>
        <v>648000</v>
      </c>
      <c r="L291" s="30" t="str">
        <f>TEXT(IFERROR(((K291-K292)/K292*100),"0.00"),"0.00")</f>
        <v>0.00</v>
      </c>
      <c r="M291" s="36">
        <f>(10+J291*3)</f>
        <v>144010</v>
      </c>
      <c r="N291" s="30"/>
      <c r="O291" s="30" t="s">
        <v>171</v>
      </c>
      <c r="P291" s="30"/>
      <c r="Q291" s="30"/>
      <c r="R291" s="30"/>
    </row>
    <row r="292" spans="1:18" hidden="1" x14ac:dyDescent="0.35">
      <c r="A292" s="59"/>
      <c r="B292" s="8"/>
      <c r="C292" s="33" t="s">
        <v>196</v>
      </c>
      <c r="D292" s="70"/>
      <c r="E292" s="70"/>
      <c r="F292" s="33">
        <v>13.5</v>
      </c>
      <c r="G292" s="33" t="str">
        <f t="shared" si="0"/>
        <v>USD,FLAT 13.50</v>
      </c>
      <c r="H292" s="38">
        <f>IFERROR(K292/J292,"0")</f>
        <v>13.5</v>
      </c>
      <c r="I292" s="33" t="s">
        <v>22</v>
      </c>
      <c r="J292" s="34">
        <v>48000</v>
      </c>
      <c r="K292" s="38">
        <f t="shared" si="1"/>
        <v>648000</v>
      </c>
      <c r="L292" s="33"/>
      <c r="M292" s="38">
        <f>(10+J292*3)</f>
        <v>144010</v>
      </c>
      <c r="N292" s="33"/>
      <c r="O292" s="33"/>
      <c r="P292" s="33"/>
      <c r="Q292" s="33"/>
      <c r="R292" s="33"/>
    </row>
    <row r="293" spans="1:18" hidden="1" x14ac:dyDescent="0.35">
      <c r="A293" s="59"/>
      <c r="B293" s="8"/>
      <c r="C293" s="63" t="s">
        <v>197</v>
      </c>
      <c r="D293" s="68">
        <f>B284</f>
        <v>44440</v>
      </c>
      <c r="E293" s="63"/>
      <c r="F293" s="63">
        <v>12.99</v>
      </c>
      <c r="G293" s="63" t="str">
        <f t="shared" si="0"/>
        <v>USD,FLAT 12.99</v>
      </c>
      <c r="H293" s="69">
        <f>K293/J293</f>
        <v>12.99</v>
      </c>
      <c r="I293" s="63" t="s">
        <v>22</v>
      </c>
      <c r="J293" s="64">
        <v>48000</v>
      </c>
      <c r="K293" s="69">
        <f t="shared" si="1"/>
        <v>623520</v>
      </c>
      <c r="L293" s="73" t="str">
        <f>TEXT(IFERROR(((K293-K292)/K292*100),"0.00"),"0.00")</f>
        <v>-3.78</v>
      </c>
      <c r="M293" s="69">
        <f>(10+J293*3)</f>
        <v>144010</v>
      </c>
      <c r="N293" s="63"/>
      <c r="O293" s="63"/>
      <c r="P293" s="63"/>
      <c r="Q293" s="63"/>
      <c r="R293" s="63"/>
    </row>
    <row r="294" spans="1:18" x14ac:dyDescent="0.35">
      <c r="A294" s="59"/>
      <c r="B294" s="8"/>
      <c r="C294" s="44" t="s">
        <v>198</v>
      </c>
      <c r="D294" s="44"/>
      <c r="E294" s="44"/>
      <c r="F294" s="107">
        <v>13.3</v>
      </c>
      <c r="G294" s="107" t="str">
        <f t="shared" si="0"/>
        <v>USD,FLAT 13.30</v>
      </c>
      <c r="H294" s="108"/>
      <c r="I294" s="107"/>
      <c r="J294" s="109">
        <v>48000</v>
      </c>
      <c r="K294" s="108">
        <f t="shared" si="1"/>
        <v>638400</v>
      </c>
      <c r="L294" s="114" t="str">
        <f>TEXT(IFERROR(((K294-K292)/K292*100),"0.00"),"0.00")</f>
        <v>-1.48</v>
      </c>
      <c r="M294" s="108"/>
      <c r="N294" s="44"/>
      <c r="O294" s="44"/>
      <c r="P294" s="44"/>
      <c r="Q294" s="44"/>
      <c r="R294" s="44"/>
    </row>
    <row r="295" spans="1:18" x14ac:dyDescent="0.35">
      <c r="A295" s="59" t="s">
        <v>101</v>
      </c>
      <c r="B295" s="8"/>
      <c r="C295" s="30" t="s">
        <v>201</v>
      </c>
      <c r="D295" s="71">
        <v>44197</v>
      </c>
      <c r="E295" s="72">
        <f>D297-1</f>
        <v>44439</v>
      </c>
      <c r="F295" s="63">
        <v>9.89</v>
      </c>
      <c r="G295" s="30" t="str">
        <f t="shared" si="0"/>
        <v>USD,FLAT 9.89</v>
      </c>
      <c r="H295" s="36">
        <f>K295/J295</f>
        <v>9.89</v>
      </c>
      <c r="I295" s="30" t="s">
        <v>22</v>
      </c>
      <c r="J295" s="64">
        <v>3</v>
      </c>
      <c r="K295" s="36">
        <f t="shared" si="1"/>
        <v>29.67</v>
      </c>
      <c r="L295" s="30" t="str">
        <f>TEXT(IFERROR(((K295-K296)/K296*100),"0.00"),"0.00")</f>
        <v>0.00</v>
      </c>
      <c r="M295" s="36">
        <f>(10+J295*3)</f>
        <v>19</v>
      </c>
      <c r="N295" s="30"/>
      <c r="O295" s="30"/>
      <c r="P295" s="30"/>
      <c r="Q295" s="30"/>
      <c r="R295" s="30"/>
    </row>
    <row r="296" spans="1:18" hidden="1" x14ac:dyDescent="0.35">
      <c r="A296" s="59"/>
      <c r="B296" s="8"/>
      <c r="C296" s="33" t="s">
        <v>196</v>
      </c>
      <c r="D296" s="33"/>
      <c r="E296" s="33"/>
      <c r="F296" s="33">
        <v>9.9499999999999993</v>
      </c>
      <c r="G296" s="33" t="str">
        <f t="shared" si="0"/>
        <v>USD,FLAT 9.95</v>
      </c>
      <c r="H296" s="38" t="str">
        <f>IFERROR(K296/J296,"0")</f>
        <v>0</v>
      </c>
      <c r="I296" s="33"/>
      <c r="J296" s="34"/>
      <c r="K296" s="38">
        <f t="shared" si="1"/>
        <v>0</v>
      </c>
      <c r="L296" s="33"/>
      <c r="M296" s="38"/>
      <c r="N296" s="33"/>
      <c r="O296" s="33"/>
      <c r="P296" s="33"/>
      <c r="Q296" s="33"/>
      <c r="R296" s="33"/>
    </row>
    <row r="297" spans="1:18" hidden="1" x14ac:dyDescent="0.35">
      <c r="A297" s="59"/>
      <c r="B297" s="8"/>
      <c r="C297" s="63" t="s">
        <v>197</v>
      </c>
      <c r="D297" s="68">
        <f>B284</f>
        <v>44440</v>
      </c>
      <c r="E297" s="63"/>
      <c r="F297" s="63">
        <v>8.99</v>
      </c>
      <c r="G297" s="63" t="str">
        <f t="shared" si="0"/>
        <v>USD,FLAT 8.99</v>
      </c>
      <c r="H297" s="69">
        <f>K297/J297</f>
        <v>8.99</v>
      </c>
      <c r="I297" s="63" t="s">
        <v>22</v>
      </c>
      <c r="J297" s="64">
        <v>3</v>
      </c>
      <c r="K297" s="69">
        <f t="shared" si="1"/>
        <v>26.97</v>
      </c>
      <c r="L297" s="63" t="str">
        <f>TEXT(IFERROR(((K297-K298)/K298*100),"0.00"),"0.00")</f>
        <v>-8.45</v>
      </c>
      <c r="M297" s="69">
        <f>(10+J297*3)</f>
        <v>19</v>
      </c>
      <c r="N297" s="63"/>
      <c r="O297" s="63"/>
      <c r="P297" s="63"/>
      <c r="Q297" s="63"/>
      <c r="R297" s="63"/>
    </row>
    <row r="298" spans="1:18" x14ac:dyDescent="0.35">
      <c r="A298" s="59"/>
      <c r="B298" s="8"/>
      <c r="C298" s="44" t="s">
        <v>198</v>
      </c>
      <c r="D298" s="44"/>
      <c r="E298" s="44"/>
      <c r="F298" s="107">
        <v>9.82</v>
      </c>
      <c r="G298" s="107" t="str">
        <f t="shared" si="0"/>
        <v>USD,FLAT 9.82</v>
      </c>
      <c r="H298" s="108"/>
      <c r="I298" s="107"/>
      <c r="J298" s="109">
        <v>3</v>
      </c>
      <c r="K298" s="108">
        <f t="shared" si="1"/>
        <v>29.46</v>
      </c>
      <c r="L298" s="107" t="str">
        <f>TEXT(IFERROR(((K298-K296)/K296*100),"0.00"),"0.00")</f>
        <v>0.00</v>
      </c>
      <c r="M298" s="108"/>
      <c r="N298" s="44"/>
      <c r="O298" s="44"/>
      <c r="P298" s="44"/>
      <c r="Q298" s="44"/>
      <c r="R298" s="44"/>
    </row>
    <row r="299" spans="1:18" x14ac:dyDescent="0.35">
      <c r="A299" s="59" t="s">
        <v>207</v>
      </c>
      <c r="B299" s="8"/>
      <c r="C299" s="30" t="s">
        <v>201</v>
      </c>
      <c r="D299" s="71">
        <v>44197</v>
      </c>
      <c r="E299" s="72">
        <f>D301-1</f>
        <v>44439</v>
      </c>
      <c r="F299" s="63">
        <v>111.08</v>
      </c>
      <c r="G299" s="30" t="str">
        <f t="shared" si="0"/>
        <v>USD,FLAT 111.08</v>
      </c>
      <c r="H299" s="36">
        <f>F299</f>
        <v>111.08</v>
      </c>
      <c r="I299" s="30"/>
      <c r="J299" s="32"/>
      <c r="K299" s="36">
        <f>(F299*5*5)</f>
        <v>2777</v>
      </c>
      <c r="L299" s="30" t="str">
        <f>TEXT(IFERROR(((K299-K300)/K300*100),"0.00"),"0.00")</f>
        <v>0.00</v>
      </c>
      <c r="M299" s="36">
        <v>0</v>
      </c>
      <c r="N299" s="30"/>
      <c r="O299" s="30"/>
      <c r="P299" s="30"/>
      <c r="Q299" s="30"/>
      <c r="R299" s="30"/>
    </row>
    <row r="300" spans="1:18" hidden="1" x14ac:dyDescent="0.35">
      <c r="A300" s="59"/>
      <c r="B300" s="8"/>
      <c r="C300" s="33" t="s">
        <v>196</v>
      </c>
      <c r="D300" s="33"/>
      <c r="E300" s="33"/>
      <c r="F300" s="33"/>
      <c r="G300" s="33"/>
      <c r="H300" s="38"/>
      <c r="I300" s="33"/>
      <c r="J300" s="34"/>
      <c r="K300" s="38"/>
      <c r="L300" s="33"/>
      <c r="M300" s="38"/>
      <c r="N300" s="33"/>
      <c r="O300" s="33"/>
      <c r="P300" s="33"/>
      <c r="Q300" s="33"/>
      <c r="R300" s="33"/>
    </row>
    <row r="301" spans="1:18" hidden="1" x14ac:dyDescent="0.35">
      <c r="A301" s="59"/>
      <c r="B301" s="8"/>
      <c r="C301" s="63" t="s">
        <v>197</v>
      </c>
      <c r="D301" s="68">
        <f>B284</f>
        <v>44440</v>
      </c>
      <c r="E301" s="63"/>
      <c r="F301" s="63">
        <v>109.9</v>
      </c>
      <c r="G301" s="63" t="str">
        <f>CONCATENATE("USD,FLAT ",TEXT(F301,"0.00"))</f>
        <v>USD,FLAT 109.90</v>
      </c>
      <c r="H301" s="69">
        <f>F301</f>
        <v>109.9</v>
      </c>
      <c r="I301" s="63" t="s">
        <v>22</v>
      </c>
      <c r="J301" s="64"/>
      <c r="K301" s="69">
        <f>(F301*5*5)</f>
        <v>2747.5</v>
      </c>
      <c r="L301" s="63" t="str">
        <f>TEXT(IFERROR(((K301-K302)/K302*100),"0.00"),"0.00")</f>
        <v>-0.11</v>
      </c>
      <c r="M301" s="69">
        <v>0</v>
      </c>
      <c r="N301" s="63"/>
      <c r="O301" s="63"/>
      <c r="P301" s="63"/>
      <c r="Q301" s="63"/>
      <c r="R301" s="63"/>
    </row>
    <row r="302" spans="1:18" x14ac:dyDescent="0.35">
      <c r="A302" s="59"/>
      <c r="B302" s="8"/>
      <c r="C302" s="44" t="s">
        <v>198</v>
      </c>
      <c r="D302" s="44"/>
      <c r="E302" s="44"/>
      <c r="F302" s="107">
        <v>110.02</v>
      </c>
      <c r="G302" s="107" t="str">
        <f>CONCATENATE("USD,FLAT ",TEXT(F302,"0.00"))</f>
        <v>USD,FLAT 110.02</v>
      </c>
      <c r="H302" s="108"/>
      <c r="I302" s="107"/>
      <c r="J302" s="109"/>
      <c r="K302" s="108">
        <f>(F302*5*5)</f>
        <v>2750.5</v>
      </c>
      <c r="L302" s="107" t="str">
        <f>TEXT(IFERROR(((K302-K300)/K300*100),"0.00"),"0.00")</f>
        <v>0.00</v>
      </c>
      <c r="M302" s="108"/>
      <c r="N302" s="44"/>
      <c r="O302" s="44"/>
      <c r="P302" s="44"/>
      <c r="Q302" s="44"/>
      <c r="R302" s="44"/>
    </row>
    <row r="303" spans="1:18" hidden="1" x14ac:dyDescent="0.35">
      <c r="A303" s="59" t="s">
        <v>102</v>
      </c>
      <c r="B303" s="8"/>
      <c r="C303" s="30" t="s">
        <v>201</v>
      </c>
      <c r="D303" s="30"/>
      <c r="E303" s="30"/>
      <c r="F303" s="30">
        <v>276.25</v>
      </c>
      <c r="G303" s="30" t="str">
        <f>CONCATENATE("USD,FLAT ",TEXT(F303,"0.00"))</f>
        <v>USD,FLAT 276.25</v>
      </c>
      <c r="H303" s="36">
        <f>F303</f>
        <v>276.25</v>
      </c>
      <c r="I303" s="30"/>
      <c r="J303" s="32"/>
      <c r="K303" s="36">
        <f>(F303*5*5)</f>
        <v>6906.25</v>
      </c>
      <c r="L303" s="30" t="str">
        <f>TEXT(IFERROR(((K303-K304)/K304*100),"0.00"),"0.00")</f>
        <v>0.00</v>
      </c>
      <c r="M303" s="36">
        <v>0</v>
      </c>
      <c r="N303" s="30"/>
      <c r="O303" s="30"/>
      <c r="P303" s="30"/>
      <c r="Q303" s="30"/>
      <c r="R303" s="30"/>
    </row>
    <row r="304" spans="1:18" hidden="1" x14ac:dyDescent="0.35">
      <c r="A304" s="59"/>
      <c r="B304" s="8"/>
      <c r="C304" s="33" t="s">
        <v>196</v>
      </c>
      <c r="D304" s="33"/>
      <c r="E304" s="33"/>
      <c r="F304" s="33"/>
      <c r="G304" s="33"/>
      <c r="H304" s="38"/>
      <c r="I304" s="33"/>
      <c r="J304" s="34"/>
      <c r="K304" s="38"/>
      <c r="L304" s="33"/>
      <c r="M304" s="38"/>
      <c r="N304" s="33"/>
      <c r="O304" s="33"/>
      <c r="P304" s="33"/>
      <c r="Q304" s="33"/>
      <c r="R304" s="33"/>
    </row>
    <row r="305" spans="1:18" hidden="1" x14ac:dyDescent="0.35">
      <c r="A305" s="59"/>
      <c r="B305" s="8"/>
      <c r="C305" s="43" t="s">
        <v>197</v>
      </c>
      <c r="D305" s="43"/>
      <c r="E305" s="43"/>
      <c r="F305" s="43"/>
      <c r="G305" s="43"/>
      <c r="H305" s="43"/>
      <c r="I305" s="43"/>
      <c r="J305" s="43"/>
      <c r="K305" s="43"/>
      <c r="L305" s="43"/>
      <c r="M305" s="43"/>
      <c r="N305" s="43"/>
      <c r="O305" s="43"/>
      <c r="P305" s="43"/>
      <c r="Q305" s="43"/>
      <c r="R305" s="43"/>
    </row>
    <row r="306" spans="1:18" hidden="1" x14ac:dyDescent="0.35">
      <c r="A306" s="59"/>
      <c r="B306" s="8"/>
      <c r="C306" s="44" t="s">
        <v>198</v>
      </c>
      <c r="D306" s="44"/>
      <c r="E306" s="44"/>
      <c r="F306" s="44"/>
      <c r="G306" s="44"/>
      <c r="H306" s="44"/>
      <c r="I306" s="44"/>
      <c r="J306" s="44"/>
      <c r="K306" s="44"/>
      <c r="L306" s="44"/>
      <c r="M306" s="44"/>
      <c r="N306" s="44"/>
      <c r="O306" s="44"/>
      <c r="P306" s="44"/>
      <c r="Q306" s="44"/>
      <c r="R306" s="44"/>
    </row>
    <row r="307" spans="1:18" hidden="1" x14ac:dyDescent="0.35">
      <c r="A307" s="59" t="s">
        <v>194</v>
      </c>
      <c r="B307" s="52"/>
      <c r="C307" s="52" t="s">
        <v>201</v>
      </c>
      <c r="D307" s="52"/>
      <c r="E307" s="52"/>
      <c r="F307" s="52"/>
      <c r="G307" s="52"/>
      <c r="H307" s="52"/>
      <c r="I307" s="52"/>
      <c r="J307" s="53"/>
      <c r="K307" s="54">
        <f>SUMIFS(K309:K320,C309:C320,C307)</f>
        <v>6092880</v>
      </c>
      <c r="L307" s="52"/>
      <c r="M307" s="54">
        <f>SUMIFS(M309:M320,C309:C320,C307)</f>
        <v>864030</v>
      </c>
      <c r="N307" s="52"/>
      <c r="O307" s="52"/>
      <c r="P307" s="52"/>
      <c r="Q307" s="52"/>
      <c r="R307" s="52"/>
    </row>
    <row r="308" spans="1:18" hidden="1" x14ac:dyDescent="0.35">
      <c r="A308" s="59" t="s">
        <v>194</v>
      </c>
      <c r="B308" s="52"/>
      <c r="C308" s="52" t="s">
        <v>196</v>
      </c>
      <c r="D308" s="52"/>
      <c r="E308" s="52"/>
      <c r="F308" s="52"/>
      <c r="G308" s="52"/>
      <c r="H308" s="52"/>
      <c r="I308" s="52"/>
      <c r="J308" s="53"/>
      <c r="K308" s="54">
        <f>SUMIFS(K309:K318,C309:C318,C308)</f>
        <v>0</v>
      </c>
      <c r="L308" s="52"/>
      <c r="M308" s="54">
        <f>SUMIFS(M309:M318,C309:C318,C308)</f>
        <v>0</v>
      </c>
      <c r="N308" s="52"/>
      <c r="O308" s="52"/>
      <c r="P308" s="52"/>
      <c r="Q308" s="52"/>
      <c r="R308" s="52"/>
    </row>
    <row r="309" spans="1:18" hidden="1" x14ac:dyDescent="0.35">
      <c r="A309" s="59" t="s">
        <v>103</v>
      </c>
      <c r="B309" s="8"/>
      <c r="C309" s="30" t="s">
        <v>201</v>
      </c>
      <c r="D309" s="71">
        <v>44197</v>
      </c>
      <c r="E309" s="72">
        <f>D311-1</f>
        <v>44439</v>
      </c>
      <c r="F309" s="31" t="s">
        <v>211</v>
      </c>
      <c r="G309" s="30" t="s">
        <v>208</v>
      </c>
      <c r="H309" s="36">
        <f>K309/J309</f>
        <v>12.25</v>
      </c>
      <c r="I309" s="30" t="s">
        <v>22</v>
      </c>
      <c r="J309" s="32">
        <v>72000</v>
      </c>
      <c r="K309" s="36">
        <f>(1000*12.95+4000*12.15+1000*11.95)*12</f>
        <v>882000</v>
      </c>
      <c r="L309" s="30" t="str">
        <f>TEXT(IFERROR(((K309-K310)/K310*100),"0.00"),"0.00")</f>
        <v>0.00</v>
      </c>
      <c r="M309" s="36">
        <f>(10+J309*3)</f>
        <v>216010</v>
      </c>
      <c r="N309" s="35" t="s">
        <v>54</v>
      </c>
      <c r="O309" s="30" t="s">
        <v>213</v>
      </c>
      <c r="P309" s="30"/>
      <c r="Q309" s="30"/>
      <c r="R309" s="30"/>
    </row>
    <row r="310" spans="1:18" hidden="1" x14ac:dyDescent="0.35">
      <c r="A310" s="59"/>
      <c r="B310" s="8"/>
      <c r="C310" s="33" t="s">
        <v>196</v>
      </c>
      <c r="D310" s="33"/>
      <c r="E310" s="33"/>
      <c r="F310" s="33"/>
      <c r="G310" s="33"/>
      <c r="H310" s="38">
        <f>IFERROR(K310/J310,"0")</f>
        <v>0</v>
      </c>
      <c r="I310" s="33" t="s">
        <v>22</v>
      </c>
      <c r="J310" s="34">
        <v>72000</v>
      </c>
      <c r="K310" s="40">
        <v>0</v>
      </c>
      <c r="L310" s="33"/>
      <c r="M310" s="38"/>
      <c r="N310" s="33"/>
      <c r="O310" s="33"/>
      <c r="P310" s="33"/>
      <c r="Q310" s="33"/>
      <c r="R310" s="33"/>
    </row>
    <row r="311" spans="1:18" hidden="1" x14ac:dyDescent="0.35">
      <c r="A311" s="59"/>
      <c r="B311" s="8"/>
      <c r="C311" s="63" t="s">
        <v>197</v>
      </c>
      <c r="D311" s="68">
        <f>B284</f>
        <v>44440</v>
      </c>
      <c r="E311" s="63"/>
      <c r="F311" s="63" t="s">
        <v>244</v>
      </c>
      <c r="G311" s="63" t="str">
        <f>CONCATENATE("USD,FLAT ",TEXT(F311,"0.00"))</f>
        <v>USD,FLAT 13.05,11.15,11.95</v>
      </c>
      <c r="H311" s="69">
        <f>K311/J311</f>
        <v>11.6</v>
      </c>
      <c r="I311" s="63" t="s">
        <v>22</v>
      </c>
      <c r="J311" s="64">
        <v>72000</v>
      </c>
      <c r="K311" s="69">
        <f>(1000*13.05+4000*11.15+1000*11.95)*12</f>
        <v>835200</v>
      </c>
      <c r="L311" s="63" t="str">
        <f>TEXT(IFERROR(((K311-K312)/K312*100),"0.00"),"0.00")</f>
        <v>0.00</v>
      </c>
      <c r="M311" s="69">
        <f>(10+J311*3)</f>
        <v>216010</v>
      </c>
      <c r="N311" s="63"/>
      <c r="O311" s="63"/>
      <c r="P311" s="63"/>
      <c r="Q311" s="63"/>
      <c r="R311" s="63"/>
    </row>
    <row r="312" spans="1:18" hidden="1" x14ac:dyDescent="0.35">
      <c r="A312" s="59"/>
      <c r="B312" s="8"/>
      <c r="C312" s="44" t="s">
        <v>198</v>
      </c>
      <c r="D312" s="44"/>
      <c r="E312" s="44"/>
      <c r="F312" s="44"/>
      <c r="G312" s="44"/>
      <c r="H312" s="44"/>
      <c r="I312" s="44"/>
      <c r="J312" s="44"/>
      <c r="K312" s="46"/>
      <c r="L312" s="44"/>
      <c r="M312" s="44"/>
      <c r="N312" s="44"/>
      <c r="O312" s="44"/>
      <c r="P312" s="44"/>
      <c r="Q312" s="44"/>
      <c r="R312" s="44"/>
    </row>
    <row r="313" spans="1:18" hidden="1" x14ac:dyDescent="0.35">
      <c r="A313" s="59" t="s">
        <v>104</v>
      </c>
      <c r="B313" s="8"/>
      <c r="C313" s="30" t="s">
        <v>201</v>
      </c>
      <c r="D313" s="30"/>
      <c r="E313" s="30"/>
      <c r="F313" s="31" t="s">
        <v>211</v>
      </c>
      <c r="G313" s="30" t="s">
        <v>209</v>
      </c>
      <c r="H313" s="36">
        <f>K313/J313</f>
        <v>11.95</v>
      </c>
      <c r="I313" s="30" t="s">
        <v>22</v>
      </c>
      <c r="J313" s="32">
        <v>96000</v>
      </c>
      <c r="K313" s="36">
        <f>J313*11.95</f>
        <v>1147200</v>
      </c>
      <c r="L313" s="30" t="str">
        <f>TEXT(IFERROR(((K313-K314)/K314*100),"0.00"),"0.00")</f>
        <v>0.00</v>
      </c>
      <c r="M313" s="36">
        <f>(10+J313*3)</f>
        <v>288010</v>
      </c>
      <c r="N313" s="35" t="s">
        <v>54</v>
      </c>
      <c r="O313" s="30" t="s">
        <v>213</v>
      </c>
      <c r="P313" s="30"/>
      <c r="Q313" s="30"/>
      <c r="R313" s="30"/>
    </row>
    <row r="314" spans="1:18" hidden="1" x14ac:dyDescent="0.35">
      <c r="A314" s="59"/>
      <c r="B314" s="8"/>
      <c r="C314" s="33" t="s">
        <v>196</v>
      </c>
      <c r="D314" s="33"/>
      <c r="E314" s="33"/>
      <c r="F314" s="33"/>
      <c r="G314" s="33"/>
      <c r="H314" s="38">
        <f>IFERROR(K314/J314,"0")</f>
        <v>0</v>
      </c>
      <c r="I314" s="33" t="s">
        <v>22</v>
      </c>
      <c r="J314" s="34">
        <v>96000</v>
      </c>
      <c r="K314" s="40">
        <v>0</v>
      </c>
      <c r="L314" s="33"/>
      <c r="M314" s="33"/>
      <c r="N314" s="33"/>
      <c r="O314" s="33"/>
      <c r="P314" s="33"/>
      <c r="Q314" s="33"/>
      <c r="R314" s="33"/>
    </row>
    <row r="315" spans="1:18" hidden="1" x14ac:dyDescent="0.35">
      <c r="A315" s="59"/>
      <c r="B315" s="8"/>
      <c r="C315" s="43" t="s">
        <v>197</v>
      </c>
      <c r="D315" s="43"/>
      <c r="E315" s="43"/>
      <c r="F315" s="43"/>
      <c r="G315" s="43"/>
      <c r="H315" s="43"/>
      <c r="I315" s="43"/>
      <c r="J315" s="43"/>
      <c r="K315" s="45"/>
      <c r="L315" s="43"/>
      <c r="M315" s="43"/>
      <c r="N315" s="43"/>
      <c r="O315" s="43"/>
      <c r="P315" s="43"/>
      <c r="Q315" s="43"/>
      <c r="R315" s="43"/>
    </row>
    <row r="316" spans="1:18" hidden="1" x14ac:dyDescent="0.35">
      <c r="A316" s="59"/>
      <c r="B316" s="8"/>
      <c r="C316" s="44" t="s">
        <v>198</v>
      </c>
      <c r="D316" s="44"/>
      <c r="E316" s="44"/>
      <c r="F316" s="44"/>
      <c r="G316" s="44"/>
      <c r="H316" s="44"/>
      <c r="I316" s="44"/>
      <c r="J316" s="44"/>
      <c r="K316" s="46"/>
      <c r="L316" s="44"/>
      <c r="M316" s="44"/>
      <c r="N316" s="44"/>
      <c r="O316" s="44"/>
      <c r="P316" s="44"/>
      <c r="Q316" s="44"/>
      <c r="R316" s="44"/>
    </row>
    <row r="317" spans="1:18" ht="29" hidden="1" x14ac:dyDescent="0.35">
      <c r="A317" s="59" t="s">
        <v>105</v>
      </c>
      <c r="B317" s="8"/>
      <c r="C317" s="30" t="s">
        <v>201</v>
      </c>
      <c r="D317" s="30"/>
      <c r="E317" s="30"/>
      <c r="F317" s="31" t="s">
        <v>212</v>
      </c>
      <c r="G317" s="30" t="s">
        <v>210</v>
      </c>
      <c r="H317" s="36">
        <f>K317/J317</f>
        <v>33.863999999999997</v>
      </c>
      <c r="I317" s="30" t="s">
        <v>22</v>
      </c>
      <c r="J317" s="32">
        <v>120000</v>
      </c>
      <c r="K317" s="36">
        <f>'UC01 - CALCULATOIN'!C13</f>
        <v>4063680</v>
      </c>
      <c r="L317" s="30" t="str">
        <f>TEXT(IFERROR(((K317-K318)/K318*100),"0.00"),"0.00")</f>
        <v>0.00</v>
      </c>
      <c r="M317" s="36">
        <f>(10+J317*3)</f>
        <v>360010</v>
      </c>
      <c r="N317" s="35" t="s">
        <v>54</v>
      </c>
      <c r="O317" s="30" t="s">
        <v>213</v>
      </c>
      <c r="P317" s="30"/>
      <c r="Q317" s="30"/>
      <c r="R317" s="30"/>
    </row>
    <row r="318" spans="1:18" hidden="1" x14ac:dyDescent="0.35">
      <c r="A318" s="59"/>
      <c r="B318" s="8"/>
      <c r="C318" s="33" t="s">
        <v>196</v>
      </c>
      <c r="D318" s="33"/>
      <c r="E318" s="33"/>
      <c r="F318" s="33"/>
      <c r="G318" s="33"/>
      <c r="H318" s="38">
        <f>IFERROR(K318/J318,"0")</f>
        <v>0</v>
      </c>
      <c r="I318" s="33" t="s">
        <v>22</v>
      </c>
      <c r="J318" s="34">
        <v>120000</v>
      </c>
      <c r="K318" s="40">
        <v>0</v>
      </c>
      <c r="L318" s="33"/>
      <c r="M318" s="33"/>
      <c r="N318" s="33"/>
      <c r="O318" s="33"/>
      <c r="P318" s="33"/>
      <c r="Q318" s="33"/>
      <c r="R318" s="33"/>
    </row>
    <row r="319" spans="1:18" hidden="1" x14ac:dyDescent="0.35">
      <c r="A319" s="59"/>
      <c r="B319" s="8"/>
      <c r="C319" s="43" t="s">
        <v>197</v>
      </c>
      <c r="D319" s="43"/>
      <c r="E319" s="43"/>
      <c r="F319" s="43"/>
      <c r="G319" s="43"/>
      <c r="H319" s="43"/>
      <c r="I319" s="43"/>
      <c r="J319" s="43"/>
      <c r="K319" s="45"/>
      <c r="L319" s="43"/>
      <c r="M319" s="43"/>
      <c r="N319" s="43"/>
      <c r="O319" s="43"/>
      <c r="P319" s="43"/>
      <c r="Q319" s="43"/>
      <c r="R319" s="43"/>
    </row>
    <row r="320" spans="1:18" hidden="1" x14ac:dyDescent="0.35">
      <c r="A320" s="59"/>
      <c r="B320" s="8"/>
      <c r="C320" s="44" t="s">
        <v>198</v>
      </c>
      <c r="D320" s="44"/>
      <c r="E320" s="44"/>
      <c r="F320" s="44"/>
      <c r="G320" s="44"/>
      <c r="H320" s="44"/>
      <c r="I320" s="44"/>
      <c r="J320" s="44"/>
      <c r="K320" s="46"/>
      <c r="L320" s="44"/>
      <c r="M320" s="44"/>
      <c r="N320" s="44"/>
      <c r="O320" s="44"/>
      <c r="P320" s="44"/>
      <c r="Q320" s="44"/>
      <c r="R320" s="44"/>
    </row>
    <row r="321" spans="1:18" hidden="1" x14ac:dyDescent="0.35">
      <c r="A321" s="59" t="s">
        <v>195</v>
      </c>
      <c r="B321" s="52"/>
      <c r="C321" s="52" t="s">
        <v>201</v>
      </c>
      <c r="D321" s="52"/>
      <c r="E321" s="52"/>
      <c r="F321" s="52"/>
      <c r="G321" s="52"/>
      <c r="H321" s="52"/>
      <c r="I321" s="52"/>
      <c r="J321" s="53"/>
      <c r="K321" s="54">
        <f>SUMIFS(K323:K354,C323:C354,C321)</f>
        <v>3029.6500000000005</v>
      </c>
      <c r="L321" s="52"/>
      <c r="M321" s="54">
        <f>SUMIFS(M323:M354,C323:C354,C321)</f>
        <v>110</v>
      </c>
      <c r="N321" s="52"/>
      <c r="O321" s="52"/>
      <c r="P321" s="52"/>
      <c r="Q321" s="52"/>
      <c r="R321" s="52"/>
    </row>
    <row r="322" spans="1:18" hidden="1" x14ac:dyDescent="0.35">
      <c r="A322" s="59" t="s">
        <v>195</v>
      </c>
      <c r="B322" s="52"/>
      <c r="C322" s="52" t="s">
        <v>196</v>
      </c>
      <c r="D322" s="52"/>
      <c r="E322" s="52"/>
      <c r="F322" s="52"/>
      <c r="G322" s="52"/>
      <c r="H322" s="52"/>
      <c r="I322" s="52"/>
      <c r="J322" s="53"/>
      <c r="K322" s="54">
        <f>SUMIFS(K323:K354,C323:C354,C322)</f>
        <v>0</v>
      </c>
      <c r="L322" s="52"/>
      <c r="M322" s="54">
        <f>SUMIFS(M323:M354,C323:C354,C322)</f>
        <v>0</v>
      </c>
      <c r="N322" s="52"/>
      <c r="O322" s="52"/>
      <c r="P322" s="52"/>
      <c r="Q322" s="52"/>
      <c r="R322" s="52"/>
    </row>
    <row r="323" spans="1:18" x14ac:dyDescent="0.35">
      <c r="A323" s="59" t="s">
        <v>106</v>
      </c>
      <c r="B323" s="8"/>
      <c r="C323" s="30" t="s">
        <v>201</v>
      </c>
      <c r="D323" s="30"/>
      <c r="E323" s="30"/>
      <c r="F323" s="65">
        <v>0.14000000000000001</v>
      </c>
      <c r="G323" s="30" t="str">
        <f>CONCATENATE("USD,FLAT ",TEXT(F323,"0.00"))</f>
        <v>USD,FLAT 0.14</v>
      </c>
      <c r="H323" s="36">
        <f>(K323/J323)</f>
        <v>1500.14</v>
      </c>
      <c r="I323" s="30" t="s">
        <v>22</v>
      </c>
      <c r="J323" s="64">
        <v>2</v>
      </c>
      <c r="K323" s="39">
        <f>J323*F323+3000</f>
        <v>3000.28</v>
      </c>
      <c r="L323" s="30" t="str">
        <f>TEXT(IFERROR(((K323-K324)/K324*100),"0.00"),"0.00")</f>
        <v>0.00</v>
      </c>
      <c r="M323" s="36">
        <f>(10+J323*3)</f>
        <v>16</v>
      </c>
      <c r="N323" s="30"/>
      <c r="O323" s="30"/>
      <c r="P323" s="30"/>
      <c r="Q323" s="30"/>
      <c r="R323" s="30"/>
    </row>
    <row r="324" spans="1:18" hidden="1" x14ac:dyDescent="0.35">
      <c r="A324" s="59"/>
      <c r="B324" s="8"/>
      <c r="C324" s="33" t="s">
        <v>196</v>
      </c>
      <c r="D324" s="33"/>
      <c r="E324" s="33"/>
      <c r="F324" s="33"/>
      <c r="G324" s="33"/>
      <c r="H324" s="38" t="str">
        <f>IFERROR(K324/J324,"0")</f>
        <v>0</v>
      </c>
      <c r="I324" s="33"/>
      <c r="J324" s="34"/>
      <c r="K324" s="40"/>
      <c r="L324" s="33"/>
      <c r="M324" s="33"/>
      <c r="N324" s="33"/>
      <c r="O324" s="33"/>
      <c r="P324" s="33"/>
      <c r="Q324" s="33"/>
      <c r="R324" s="33"/>
    </row>
    <row r="325" spans="1:18" hidden="1" x14ac:dyDescent="0.35">
      <c r="A325" s="59"/>
      <c r="B325" s="8"/>
      <c r="C325" s="43" t="s">
        <v>197</v>
      </c>
      <c r="D325" s="43"/>
      <c r="E325" s="43"/>
      <c r="F325" s="43"/>
      <c r="G325" s="43"/>
      <c r="H325" s="43"/>
      <c r="I325" s="43"/>
      <c r="J325" s="43"/>
      <c r="K325" s="45"/>
      <c r="L325" s="43"/>
      <c r="M325" s="43"/>
      <c r="N325" s="43"/>
      <c r="O325" s="43"/>
      <c r="P325" s="43"/>
      <c r="Q325" s="43"/>
      <c r="R325" s="43"/>
    </row>
    <row r="326" spans="1:18" x14ac:dyDescent="0.35">
      <c r="A326" s="59"/>
      <c r="B326" s="8"/>
      <c r="C326" s="44" t="s">
        <v>198</v>
      </c>
      <c r="D326" s="44"/>
      <c r="E326" s="44"/>
      <c r="F326" s="107">
        <v>0.11</v>
      </c>
      <c r="G326" s="107" t="str">
        <f>CONCATENATE("USD,FLAT ",TEXT(F326,"0.00"))</f>
        <v>USD,FLAT 0.11</v>
      </c>
      <c r="H326" s="108"/>
      <c r="I326" s="107"/>
      <c r="J326" s="109">
        <v>2</v>
      </c>
      <c r="K326" s="110">
        <f>J326*F326+3000</f>
        <v>3000.22</v>
      </c>
      <c r="L326" s="107" t="str">
        <f>TEXT(IFERROR(((K326-K324)/K324*100),"0.00"),"0.00")</f>
        <v>0.00</v>
      </c>
      <c r="M326" s="108"/>
      <c r="N326" s="44"/>
      <c r="O326" s="44"/>
      <c r="P326" s="44"/>
      <c r="Q326" s="44"/>
      <c r="R326" s="44"/>
    </row>
    <row r="327" spans="1:18" hidden="1" x14ac:dyDescent="0.35">
      <c r="A327" s="59" t="s">
        <v>107</v>
      </c>
      <c r="B327" s="8"/>
      <c r="C327" s="30" t="s">
        <v>201</v>
      </c>
      <c r="D327" s="30"/>
      <c r="E327" s="30"/>
      <c r="F327" s="65">
        <v>1.99</v>
      </c>
      <c r="G327" s="30" t="str">
        <f>CONCATENATE("USD,FLAT ",TEXT(F327,"0.00"))</f>
        <v>USD,FLAT 1.99</v>
      </c>
      <c r="H327" s="36">
        <f>K327/J327</f>
        <v>1.99</v>
      </c>
      <c r="I327" s="30" t="s">
        <v>22</v>
      </c>
      <c r="J327" s="64">
        <v>2</v>
      </c>
      <c r="K327" s="39">
        <f>J327*F327</f>
        <v>3.98</v>
      </c>
      <c r="L327" s="30" t="str">
        <f>TEXT(IFERROR(((K327-K328)/K328*100),"0.00"),"0.00")</f>
        <v>0.00</v>
      </c>
      <c r="M327" s="36">
        <f>(10+J327*3)</f>
        <v>16</v>
      </c>
      <c r="N327" s="30"/>
      <c r="O327" s="30"/>
      <c r="P327" s="30"/>
      <c r="Q327" s="30"/>
      <c r="R327" s="30"/>
    </row>
    <row r="328" spans="1:18" hidden="1" x14ac:dyDescent="0.35">
      <c r="A328" s="59"/>
      <c r="B328" s="8"/>
      <c r="C328" s="33" t="s">
        <v>196</v>
      </c>
      <c r="D328" s="33"/>
      <c r="E328" s="33"/>
      <c r="F328" s="33"/>
      <c r="G328" s="33"/>
      <c r="H328" s="38" t="str">
        <f>IFERROR(K328/J328,"0")</f>
        <v>0</v>
      </c>
      <c r="I328" s="33"/>
      <c r="J328" s="34"/>
      <c r="K328" s="40"/>
      <c r="L328" s="33"/>
      <c r="M328" s="33"/>
      <c r="N328" s="33"/>
      <c r="O328" s="33"/>
      <c r="P328" s="33"/>
      <c r="Q328" s="33"/>
      <c r="R328" s="33"/>
    </row>
    <row r="329" spans="1:18" hidden="1" x14ac:dyDescent="0.35">
      <c r="A329" s="59"/>
      <c r="B329" s="8"/>
      <c r="C329" s="43" t="s">
        <v>197</v>
      </c>
      <c r="D329" s="43"/>
      <c r="E329" s="43"/>
      <c r="F329" s="43"/>
      <c r="G329" s="43"/>
      <c r="H329" s="43"/>
      <c r="I329" s="43"/>
      <c r="J329" s="43"/>
      <c r="K329" s="45"/>
      <c r="L329" s="43"/>
      <c r="M329" s="43"/>
      <c r="N329" s="43"/>
      <c r="O329" s="43"/>
      <c r="P329" s="43"/>
      <c r="Q329" s="43"/>
      <c r="R329" s="43"/>
    </row>
    <row r="330" spans="1:18" hidden="1" x14ac:dyDescent="0.35">
      <c r="A330" s="59"/>
      <c r="B330" s="8"/>
      <c r="C330" s="44" t="s">
        <v>198</v>
      </c>
      <c r="D330" s="44"/>
      <c r="E330" s="44"/>
      <c r="F330" s="107"/>
      <c r="G330" s="107"/>
      <c r="H330" s="108"/>
      <c r="I330" s="107"/>
      <c r="J330" s="109"/>
      <c r="K330" s="108"/>
      <c r="L330" s="107"/>
      <c r="M330" s="108"/>
      <c r="N330" s="44"/>
      <c r="O330" s="44"/>
      <c r="P330" s="44"/>
      <c r="Q330" s="44"/>
      <c r="R330" s="44"/>
    </row>
    <row r="331" spans="1:18" hidden="1" x14ac:dyDescent="0.35">
      <c r="A331" s="59" t="s">
        <v>107</v>
      </c>
      <c r="B331" s="8" t="s">
        <v>51</v>
      </c>
      <c r="C331" s="30" t="s">
        <v>201</v>
      </c>
      <c r="D331" s="30"/>
      <c r="E331" s="30"/>
      <c r="F331" s="39">
        <v>0.75</v>
      </c>
      <c r="G331" s="30" t="str">
        <f>CONCATENATE("USD,FLAT ",TEXT(F331,"0.00"))</f>
        <v>USD,FLAT 0.75</v>
      </c>
      <c r="H331" s="36">
        <f>K331/J331</f>
        <v>0.75</v>
      </c>
      <c r="I331" s="30" t="s">
        <v>22</v>
      </c>
      <c r="J331" s="32">
        <v>1</v>
      </c>
      <c r="K331" s="39">
        <f>J331*F331</f>
        <v>0.75</v>
      </c>
      <c r="L331" s="30" t="str">
        <f>TEXT(IFERROR(((K331-K332)/K332*100),"0.00"),"0.00")</f>
        <v>0.00</v>
      </c>
      <c r="M331" s="36">
        <f>(10+J331*3)</f>
        <v>13</v>
      </c>
      <c r="N331" s="30"/>
      <c r="O331" s="30"/>
      <c r="P331" s="30"/>
      <c r="Q331" s="30"/>
      <c r="R331" s="30"/>
    </row>
    <row r="332" spans="1:18" hidden="1" x14ac:dyDescent="0.35">
      <c r="A332" s="59"/>
      <c r="B332" s="8"/>
      <c r="C332" s="33" t="s">
        <v>196</v>
      </c>
      <c r="D332" s="33"/>
      <c r="E332" s="33"/>
      <c r="F332" s="33"/>
      <c r="G332" s="33"/>
      <c r="H332" s="38" t="str">
        <f>IFERROR(K332/J332,"0")</f>
        <v>0</v>
      </c>
      <c r="I332" s="33"/>
      <c r="J332" s="34"/>
      <c r="K332" s="40"/>
      <c r="L332" s="33"/>
      <c r="M332" s="33"/>
      <c r="N332" s="33"/>
      <c r="O332" s="33"/>
      <c r="P332" s="33"/>
      <c r="Q332" s="33"/>
      <c r="R332" s="33"/>
    </row>
    <row r="333" spans="1:18" hidden="1" x14ac:dyDescent="0.35">
      <c r="A333" s="59"/>
      <c r="B333" s="8"/>
      <c r="C333" s="43" t="s">
        <v>197</v>
      </c>
      <c r="D333" s="43"/>
      <c r="E333" s="43"/>
      <c r="F333" s="43"/>
      <c r="G333" s="43"/>
      <c r="H333" s="43"/>
      <c r="I333" s="43"/>
      <c r="J333" s="43"/>
      <c r="K333" s="45"/>
      <c r="L333" s="43"/>
      <c r="M333" s="43"/>
      <c r="N333" s="43"/>
      <c r="O333" s="43"/>
      <c r="P333" s="43"/>
      <c r="Q333" s="43"/>
      <c r="R333" s="43"/>
    </row>
    <row r="334" spans="1:18" hidden="1" x14ac:dyDescent="0.35">
      <c r="A334" s="59"/>
      <c r="B334" s="8"/>
      <c r="C334" s="44" t="s">
        <v>198</v>
      </c>
      <c r="D334" s="44"/>
      <c r="E334" s="44"/>
      <c r="F334" s="44"/>
      <c r="G334" s="44"/>
      <c r="H334" s="44"/>
      <c r="I334" s="44"/>
      <c r="J334" s="44"/>
      <c r="K334" s="46"/>
      <c r="L334" s="44"/>
      <c r="M334" s="44"/>
      <c r="N334" s="44"/>
      <c r="O334" s="44"/>
      <c r="P334" s="44"/>
      <c r="Q334" s="44"/>
      <c r="R334" s="44"/>
    </row>
    <row r="335" spans="1:18" hidden="1" x14ac:dyDescent="0.35">
      <c r="A335" s="59" t="s">
        <v>107</v>
      </c>
      <c r="B335" s="8" t="s">
        <v>202</v>
      </c>
      <c r="C335" s="30" t="s">
        <v>201</v>
      </c>
      <c r="D335" s="30"/>
      <c r="E335" s="30"/>
      <c r="F335" s="39">
        <v>0.3</v>
      </c>
      <c r="G335" s="30" t="str">
        <f>CONCATENATE("USD,FLAT ",TEXT(F335,"0.00"))</f>
        <v>USD,FLAT 0.30</v>
      </c>
      <c r="H335" s="36">
        <f>K335/J335</f>
        <v>0.3</v>
      </c>
      <c r="I335" s="30" t="s">
        <v>22</v>
      </c>
      <c r="J335" s="32">
        <v>1</v>
      </c>
      <c r="K335" s="39">
        <f>J335*F335</f>
        <v>0.3</v>
      </c>
      <c r="L335" s="30" t="str">
        <f>TEXT(IFERROR(((K335-K336)/K336*100),"0.00"),"0.00")</f>
        <v>0.00</v>
      </c>
      <c r="M335" s="36">
        <f>(10+J335*3)</f>
        <v>13</v>
      </c>
      <c r="N335" s="30"/>
      <c r="O335" s="30"/>
      <c r="P335" s="30"/>
      <c r="Q335" s="30"/>
      <c r="R335" s="30"/>
    </row>
    <row r="336" spans="1:18" hidden="1" x14ac:dyDescent="0.35">
      <c r="A336" s="59"/>
      <c r="B336" s="8"/>
      <c r="C336" s="33" t="s">
        <v>196</v>
      </c>
      <c r="D336" s="33"/>
      <c r="E336" s="33"/>
      <c r="F336" s="33"/>
      <c r="G336" s="33"/>
      <c r="H336" s="38" t="str">
        <f>IFERROR(K336/J336,"0")</f>
        <v>0</v>
      </c>
      <c r="I336" s="33"/>
      <c r="J336" s="34"/>
      <c r="K336" s="40"/>
      <c r="L336" s="33"/>
      <c r="M336" s="33"/>
      <c r="N336" s="33"/>
      <c r="O336" s="33"/>
      <c r="P336" s="33"/>
      <c r="Q336" s="33"/>
      <c r="R336" s="33"/>
    </row>
    <row r="337" spans="1:18" hidden="1" x14ac:dyDescent="0.35">
      <c r="A337" s="59"/>
      <c r="B337" s="8"/>
      <c r="C337" s="43" t="s">
        <v>197</v>
      </c>
      <c r="D337" s="43"/>
      <c r="E337" s="43"/>
      <c r="F337" s="43"/>
      <c r="G337" s="43"/>
      <c r="H337" s="43"/>
      <c r="I337" s="43"/>
      <c r="J337" s="43"/>
      <c r="K337" s="45"/>
      <c r="L337" s="43"/>
      <c r="M337" s="43"/>
      <c r="N337" s="43"/>
      <c r="O337" s="43"/>
      <c r="P337" s="43"/>
      <c r="Q337" s="43"/>
      <c r="R337" s="43"/>
    </row>
    <row r="338" spans="1:18" hidden="1" x14ac:dyDescent="0.35">
      <c r="A338" s="59"/>
      <c r="B338" s="8"/>
      <c r="C338" s="44" t="s">
        <v>198</v>
      </c>
      <c r="D338" s="44"/>
      <c r="E338" s="44"/>
      <c r="F338" s="44"/>
      <c r="G338" s="44"/>
      <c r="H338" s="44"/>
      <c r="I338" s="44"/>
      <c r="J338" s="44"/>
      <c r="K338" s="46"/>
      <c r="L338" s="44"/>
      <c r="M338" s="44"/>
      <c r="N338" s="44"/>
      <c r="O338" s="44"/>
      <c r="P338" s="44"/>
      <c r="Q338" s="44"/>
      <c r="R338" s="44"/>
    </row>
    <row r="339" spans="1:18" hidden="1" x14ac:dyDescent="0.35">
      <c r="A339" s="59" t="s">
        <v>107</v>
      </c>
      <c r="B339" s="8" t="s">
        <v>4</v>
      </c>
      <c r="C339" s="30" t="s">
        <v>201</v>
      </c>
      <c r="D339" s="30"/>
      <c r="E339" s="30"/>
      <c r="F339" s="39">
        <v>6.67</v>
      </c>
      <c r="G339" s="30" t="str">
        <f>CONCATENATE("USD,FLAT ",TEXT(F339,"0.00"))</f>
        <v>USD,FLAT 6.67</v>
      </c>
      <c r="H339" s="36">
        <f>K339/J339</f>
        <v>6.67</v>
      </c>
      <c r="I339" s="30" t="s">
        <v>22</v>
      </c>
      <c r="J339" s="32">
        <v>1</v>
      </c>
      <c r="K339" s="39">
        <f>J339*F339</f>
        <v>6.67</v>
      </c>
      <c r="L339" s="39" t="str">
        <f>IFERROR(((K339-K340)/K340*100),"0.00")</f>
        <v>0.00</v>
      </c>
      <c r="M339" s="36">
        <f>(10+J339*3)</f>
        <v>13</v>
      </c>
      <c r="N339" s="30"/>
      <c r="O339" s="30"/>
      <c r="P339" s="30"/>
      <c r="Q339" s="30"/>
      <c r="R339" s="30"/>
    </row>
    <row r="340" spans="1:18" hidden="1" x14ac:dyDescent="0.35">
      <c r="A340" s="59"/>
      <c r="B340" s="8"/>
      <c r="C340" s="33" t="s">
        <v>196</v>
      </c>
      <c r="D340" s="33"/>
      <c r="E340" s="33"/>
      <c r="F340" s="33"/>
      <c r="G340" s="33"/>
      <c r="H340" s="38" t="str">
        <f>IFERROR(K340/J340,"0")</f>
        <v>0</v>
      </c>
      <c r="I340" s="33"/>
      <c r="J340" s="34"/>
      <c r="K340" s="40"/>
      <c r="L340" s="33"/>
      <c r="M340" s="33"/>
      <c r="N340" s="33"/>
      <c r="O340" s="33"/>
      <c r="P340" s="33"/>
      <c r="Q340" s="33"/>
      <c r="R340" s="33"/>
    </row>
    <row r="341" spans="1:18" hidden="1" x14ac:dyDescent="0.35">
      <c r="A341" s="59"/>
      <c r="B341" s="8"/>
      <c r="C341" s="43" t="s">
        <v>197</v>
      </c>
      <c r="D341" s="43"/>
      <c r="E341" s="43"/>
      <c r="F341" s="43"/>
      <c r="G341" s="43"/>
      <c r="H341" s="43"/>
      <c r="I341" s="43"/>
      <c r="J341" s="43"/>
      <c r="K341" s="45"/>
      <c r="L341" s="43"/>
      <c r="M341" s="43"/>
      <c r="N341" s="43"/>
      <c r="O341" s="43"/>
      <c r="P341" s="43"/>
      <c r="Q341" s="43"/>
      <c r="R341" s="43"/>
    </row>
    <row r="342" spans="1:18" hidden="1" x14ac:dyDescent="0.35">
      <c r="A342" s="59"/>
      <c r="B342" s="8"/>
      <c r="C342" s="44" t="s">
        <v>198</v>
      </c>
      <c r="D342" s="44"/>
      <c r="E342" s="44"/>
      <c r="F342" s="44"/>
      <c r="G342" s="44"/>
      <c r="H342" s="44"/>
      <c r="I342" s="44"/>
      <c r="J342" s="44"/>
      <c r="K342" s="46"/>
      <c r="L342" s="44"/>
      <c r="M342" s="44"/>
      <c r="N342" s="44"/>
      <c r="O342" s="44"/>
      <c r="P342" s="44"/>
      <c r="Q342" s="44"/>
      <c r="R342" s="44"/>
    </row>
    <row r="343" spans="1:18" hidden="1" x14ac:dyDescent="0.35">
      <c r="A343" s="59" t="s">
        <v>108</v>
      </c>
      <c r="B343" s="8"/>
      <c r="C343" s="30" t="s">
        <v>201</v>
      </c>
      <c r="D343" s="30"/>
      <c r="E343" s="30"/>
      <c r="F343" s="39">
        <v>0.4</v>
      </c>
      <c r="G343" s="30" t="str">
        <f>CONCATENATE("USD,FLAT ",TEXT(F343,"0.00"))</f>
        <v>USD,FLAT 0.40</v>
      </c>
      <c r="H343" s="36">
        <f>K343/J343</f>
        <v>0.4</v>
      </c>
      <c r="I343" s="30" t="s">
        <v>22</v>
      </c>
      <c r="J343" s="32">
        <v>1</v>
      </c>
      <c r="K343" s="39">
        <f>J343*F343</f>
        <v>0.4</v>
      </c>
      <c r="L343" s="30" t="str">
        <f>TEXT(IFERROR(((K343-K344)/K344*100),"0.00"),"0.00")</f>
        <v>0.00</v>
      </c>
      <c r="M343" s="36">
        <f>(10+J343*3)</f>
        <v>13</v>
      </c>
      <c r="N343" s="30"/>
      <c r="O343" s="30"/>
      <c r="P343" s="30"/>
      <c r="Q343" s="30"/>
      <c r="R343" s="30"/>
    </row>
    <row r="344" spans="1:18" hidden="1" x14ac:dyDescent="0.35">
      <c r="A344" s="59"/>
      <c r="B344" s="8"/>
      <c r="C344" s="33" t="s">
        <v>196</v>
      </c>
      <c r="D344" s="33"/>
      <c r="E344" s="33"/>
      <c r="F344" s="33"/>
      <c r="G344" s="33"/>
      <c r="H344" s="38" t="str">
        <f>IFERROR(K344/J344,"0")</f>
        <v>0</v>
      </c>
      <c r="I344" s="33"/>
      <c r="J344" s="34"/>
      <c r="K344" s="40"/>
      <c r="L344" s="33"/>
      <c r="M344" s="33"/>
      <c r="N344" s="33"/>
      <c r="O344" s="33"/>
      <c r="P344" s="33"/>
      <c r="Q344" s="33"/>
      <c r="R344" s="33"/>
    </row>
    <row r="345" spans="1:18" hidden="1" x14ac:dyDescent="0.35">
      <c r="A345" s="59"/>
      <c r="B345" s="8"/>
      <c r="C345" s="43" t="s">
        <v>197</v>
      </c>
      <c r="D345" s="43"/>
      <c r="E345" s="43"/>
      <c r="F345" s="43"/>
      <c r="G345" s="43"/>
      <c r="H345" s="43"/>
      <c r="I345" s="43"/>
      <c r="J345" s="43"/>
      <c r="K345" s="45"/>
      <c r="L345" s="43"/>
      <c r="M345" s="43"/>
      <c r="N345" s="43"/>
      <c r="O345" s="43"/>
      <c r="P345" s="43"/>
      <c r="Q345" s="43"/>
      <c r="R345" s="43"/>
    </row>
    <row r="346" spans="1:18" hidden="1" x14ac:dyDescent="0.35">
      <c r="A346" s="59"/>
      <c r="B346" s="8"/>
      <c r="C346" s="44" t="s">
        <v>198</v>
      </c>
      <c r="D346" s="44"/>
      <c r="E346" s="44"/>
      <c r="F346" s="44"/>
      <c r="G346" s="44"/>
      <c r="H346" s="44"/>
      <c r="I346" s="44"/>
      <c r="J346" s="44"/>
      <c r="K346" s="46"/>
      <c r="L346" s="44"/>
      <c r="M346" s="44"/>
      <c r="N346" s="44"/>
      <c r="O346" s="44"/>
      <c r="P346" s="44"/>
      <c r="Q346" s="44"/>
      <c r="R346" s="44"/>
    </row>
    <row r="347" spans="1:18" x14ac:dyDescent="0.35">
      <c r="A347" s="59" t="s">
        <v>109</v>
      </c>
      <c r="B347" s="8"/>
      <c r="C347" s="30" t="s">
        <v>201</v>
      </c>
      <c r="D347" s="30"/>
      <c r="E347" s="30"/>
      <c r="F347" s="39">
        <v>0.6</v>
      </c>
      <c r="G347" s="30" t="str">
        <f>CONCATENATE("USD,FLAT ",TEXT(F347,"0.00"))</f>
        <v>USD,FLAT 0.60</v>
      </c>
      <c r="H347" s="36">
        <f>K347/J347</f>
        <v>0.6</v>
      </c>
      <c r="I347" s="30" t="s">
        <v>22</v>
      </c>
      <c r="J347" s="32">
        <v>1</v>
      </c>
      <c r="K347" s="39">
        <f>J347*F347</f>
        <v>0.6</v>
      </c>
      <c r="L347" s="30" t="str">
        <f>TEXT(IFERROR(((K347-K348)/K348*100),"0.00"),"0.00")</f>
        <v>0.00</v>
      </c>
      <c r="M347" s="36">
        <f>(10+J347*3)</f>
        <v>13</v>
      </c>
      <c r="N347" s="30"/>
      <c r="O347" s="30"/>
      <c r="P347" s="30"/>
      <c r="Q347" s="30"/>
      <c r="R347" s="30"/>
    </row>
    <row r="348" spans="1:18" hidden="1" x14ac:dyDescent="0.35">
      <c r="A348" s="8"/>
      <c r="B348" s="8"/>
      <c r="C348" s="33" t="s">
        <v>196</v>
      </c>
      <c r="D348" s="33"/>
      <c r="E348" s="33"/>
      <c r="F348" s="33"/>
      <c r="G348" s="33"/>
      <c r="H348" s="38" t="str">
        <f>IFERROR(K348/J348,"0")</f>
        <v>0</v>
      </c>
      <c r="I348" s="33"/>
      <c r="J348" s="34"/>
      <c r="K348" s="40"/>
      <c r="L348" s="33"/>
      <c r="M348" s="33"/>
      <c r="N348" s="33"/>
      <c r="O348" s="33"/>
      <c r="P348" s="33"/>
      <c r="Q348" s="33"/>
      <c r="R348" s="33"/>
    </row>
    <row r="349" spans="1:18" hidden="1" x14ac:dyDescent="0.35">
      <c r="A349" s="8"/>
      <c r="B349" s="8"/>
      <c r="C349" s="43" t="s">
        <v>197</v>
      </c>
      <c r="D349" s="43"/>
      <c r="E349" s="43"/>
      <c r="F349" s="43"/>
      <c r="G349" s="43"/>
      <c r="H349" s="43"/>
      <c r="I349" s="43"/>
      <c r="J349" s="43"/>
      <c r="K349" s="45"/>
      <c r="L349" s="43"/>
      <c r="M349" s="43"/>
      <c r="N349" s="43"/>
      <c r="O349" s="43"/>
      <c r="P349" s="43"/>
      <c r="Q349" s="43"/>
      <c r="R349" s="43"/>
    </row>
    <row r="350" spans="1:18" x14ac:dyDescent="0.35">
      <c r="A350" s="8"/>
      <c r="B350" s="8"/>
      <c r="C350" s="44" t="s">
        <v>198</v>
      </c>
      <c r="D350" s="44"/>
      <c r="E350" s="44"/>
      <c r="F350" s="107">
        <v>0.45</v>
      </c>
      <c r="G350" s="107" t="str">
        <f>CONCATENATE("USD,FLAT ",TEXT(F350,"0.00"))</f>
        <v>USD,FLAT 0.45</v>
      </c>
      <c r="H350" s="108"/>
      <c r="I350" s="107"/>
      <c r="J350" s="109">
        <v>1</v>
      </c>
      <c r="K350" s="108">
        <f>J350*F350</f>
        <v>0.45</v>
      </c>
      <c r="L350" s="107" t="str">
        <f>TEXT(IFERROR(((K350-K348)/K348*100),"0.00"),"0.00")</f>
        <v>0.00</v>
      </c>
      <c r="M350" s="108"/>
      <c r="N350" s="44"/>
      <c r="O350" s="44"/>
      <c r="P350" s="44"/>
      <c r="Q350" s="44"/>
      <c r="R350" s="44"/>
    </row>
    <row r="351" spans="1:18" hidden="1" x14ac:dyDescent="0.35">
      <c r="A351" s="62" t="s">
        <v>110</v>
      </c>
      <c r="B351" s="47"/>
      <c r="C351" s="30" t="s">
        <v>201</v>
      </c>
      <c r="D351" s="30"/>
      <c r="E351" s="30"/>
      <c r="F351" s="63">
        <v>16.670000000000002</v>
      </c>
      <c r="G351" s="30" t="str">
        <f>CONCATENATE("USD,FLAT ",TEXT(F351,"0.00"))</f>
        <v>USD,FLAT 16.67</v>
      </c>
      <c r="H351" s="36">
        <f>K351/J351</f>
        <v>16.670000000000002</v>
      </c>
      <c r="I351" s="30" t="s">
        <v>22</v>
      </c>
      <c r="J351" s="32">
        <v>1</v>
      </c>
      <c r="K351" s="39">
        <f>J351*F351</f>
        <v>16.670000000000002</v>
      </c>
      <c r="L351" s="30" t="str">
        <f>TEXT(IFERROR(((K351-K352)/K352*100),"0.00"),"0.00")</f>
        <v>0.00</v>
      </c>
      <c r="M351" s="36">
        <f>(10+J351*3)</f>
        <v>13</v>
      </c>
      <c r="N351" s="30"/>
      <c r="O351" s="30"/>
      <c r="P351" s="30"/>
      <c r="Q351" s="30"/>
      <c r="R351" s="30"/>
    </row>
    <row r="352" spans="1:18" hidden="1" x14ac:dyDescent="0.35">
      <c r="A352" s="8"/>
      <c r="B352" s="47"/>
      <c r="C352" s="33" t="s">
        <v>196</v>
      </c>
      <c r="D352" s="33"/>
      <c r="E352" s="33"/>
      <c r="F352" s="33"/>
      <c r="G352" s="33"/>
      <c r="H352" s="38" t="str">
        <f>IFERROR(K352/J352,"0")</f>
        <v>0</v>
      </c>
      <c r="I352" s="33"/>
      <c r="J352" s="34"/>
      <c r="K352" s="40"/>
      <c r="L352" s="33"/>
      <c r="M352" s="33"/>
      <c r="N352" s="33"/>
      <c r="O352" s="33"/>
      <c r="P352" s="33"/>
      <c r="Q352" s="33"/>
      <c r="R352" s="33"/>
    </row>
    <row r="353" spans="1:18" hidden="1" x14ac:dyDescent="0.35">
      <c r="A353" s="8"/>
      <c r="B353" s="47"/>
      <c r="C353" s="43" t="s">
        <v>197</v>
      </c>
      <c r="D353" s="43"/>
      <c r="E353" s="43"/>
      <c r="F353" s="43"/>
      <c r="G353" s="43"/>
      <c r="H353" s="43"/>
      <c r="I353" s="43"/>
      <c r="J353" s="43"/>
      <c r="K353" s="45"/>
      <c r="L353" s="43"/>
      <c r="M353" s="43"/>
      <c r="N353" s="43"/>
      <c r="O353" s="43"/>
      <c r="P353" s="43"/>
      <c r="Q353" s="43"/>
      <c r="R353" s="43"/>
    </row>
    <row r="354" spans="1:18" hidden="1" x14ac:dyDescent="0.35">
      <c r="A354" s="8"/>
      <c r="B354" s="47"/>
      <c r="C354" s="44" t="s">
        <v>198</v>
      </c>
      <c r="D354" s="44"/>
      <c r="E354" s="44"/>
      <c r="F354" s="44"/>
      <c r="G354" s="44"/>
      <c r="H354" s="44"/>
      <c r="I354" s="44"/>
      <c r="J354" s="44"/>
      <c r="K354" s="46"/>
      <c r="L354" s="44"/>
      <c r="M354" s="44"/>
      <c r="N354" s="44"/>
      <c r="O354" s="44"/>
      <c r="P354" s="44"/>
      <c r="Q354" s="44"/>
      <c r="R354" s="44"/>
    </row>
    <row r="355" spans="1:18" x14ac:dyDescent="0.35">
      <c r="J355" s="48"/>
    </row>
    <row r="356" spans="1:18" x14ac:dyDescent="0.35">
      <c r="A356" s="251" t="s">
        <v>220</v>
      </c>
      <c r="B356" s="252"/>
      <c r="C356" s="252"/>
      <c r="D356" s="252"/>
      <c r="E356" s="252"/>
      <c r="F356" s="252"/>
      <c r="G356" s="252"/>
      <c r="H356" s="252"/>
      <c r="I356" s="252"/>
      <c r="J356" s="252"/>
    </row>
    <row r="357" spans="1:18" x14ac:dyDescent="0.35">
      <c r="A357" s="253" t="s">
        <v>222</v>
      </c>
      <c r="B357" s="255" t="s">
        <v>225</v>
      </c>
      <c r="C357" s="256"/>
      <c r="D357" s="256"/>
      <c r="E357" s="257"/>
      <c r="F357" s="270" t="s">
        <v>358</v>
      </c>
      <c r="G357" s="271"/>
      <c r="H357" s="272"/>
      <c r="I357" s="267" t="s">
        <v>226</v>
      </c>
      <c r="J357" s="268"/>
      <c r="K357" s="268"/>
      <c r="L357" s="269"/>
      <c r="M357" s="161" t="s">
        <v>224</v>
      </c>
    </row>
    <row r="358" spans="1:18" x14ac:dyDescent="0.35">
      <c r="A358" s="254"/>
      <c r="B358" s="111" t="s">
        <v>187</v>
      </c>
      <c r="C358" s="111" t="s">
        <v>189</v>
      </c>
      <c r="D358" s="111" t="s">
        <v>223</v>
      </c>
      <c r="E358" s="111" t="s">
        <v>229</v>
      </c>
      <c r="F358" s="112" t="s">
        <v>187</v>
      </c>
      <c r="G358" s="112" t="s">
        <v>223</v>
      </c>
      <c r="H358" s="112" t="s">
        <v>229</v>
      </c>
      <c r="I358" s="113" t="s">
        <v>187</v>
      </c>
      <c r="J358" s="113" t="s">
        <v>189</v>
      </c>
      <c r="K358" s="113" t="s">
        <v>223</v>
      </c>
      <c r="L358" s="113" t="s">
        <v>229</v>
      </c>
      <c r="M358" s="162"/>
    </row>
    <row r="359" spans="1:18" x14ac:dyDescent="0.35">
      <c r="A359" s="21"/>
      <c r="B359" s="56">
        <f>K287+C179+C180</f>
        <v>6755622.5700000003</v>
      </c>
      <c r="C359" s="56">
        <f>M287+C181+C182</f>
        <v>1010169</v>
      </c>
      <c r="D359" s="56">
        <f>B359-C359</f>
        <v>5745453.5700000003</v>
      </c>
      <c r="E359" s="55">
        <f>((B359-C359)/B359*100)</f>
        <v>85.046988792921866</v>
      </c>
      <c r="F359" s="56">
        <f>(K294+K298+K302+K303+K309+K313+K317+K326+K327+K331+K335+K339+K343+K350+K351)+C179+C180</f>
        <v>6745995.6500000004</v>
      </c>
      <c r="G359" s="55">
        <f>F359-C359</f>
        <v>5735826.6500000004</v>
      </c>
      <c r="H359" s="55">
        <f>(F359-C359)/F359*100</f>
        <v>85.025649994304402</v>
      </c>
      <c r="I359" s="56">
        <f>K288</f>
        <v>648000</v>
      </c>
      <c r="J359" s="56">
        <f>M288</f>
        <v>144010</v>
      </c>
      <c r="K359" s="56">
        <f>I359-J359</f>
        <v>503990</v>
      </c>
      <c r="L359" s="55">
        <f>((I359-J359)/I359*100)</f>
        <v>77.776234567901241</v>
      </c>
      <c r="M359" s="55">
        <f>((B359-I359)/I359*100)</f>
        <v>942.53434722222221</v>
      </c>
    </row>
    <row r="360" spans="1:18" x14ac:dyDescent="0.35">
      <c r="A360" s="251" t="s">
        <v>221</v>
      </c>
      <c r="B360" s="252"/>
      <c r="C360" s="252"/>
      <c r="D360" s="252"/>
      <c r="E360" s="252"/>
      <c r="F360" s="252"/>
      <c r="G360" s="252"/>
      <c r="H360" s="252"/>
    </row>
    <row r="361" spans="1:18" x14ac:dyDescent="0.35">
      <c r="A361" s="24" t="s">
        <v>1</v>
      </c>
      <c r="B361" s="24" t="s">
        <v>0</v>
      </c>
      <c r="C361" s="24" t="s">
        <v>204</v>
      </c>
      <c r="D361" s="24" t="s">
        <v>216</v>
      </c>
      <c r="E361" s="24" t="s">
        <v>227</v>
      </c>
      <c r="F361" s="24" t="s">
        <v>228</v>
      </c>
      <c r="G361" s="24" t="s">
        <v>217</v>
      </c>
      <c r="H361" s="24" t="s">
        <v>218</v>
      </c>
    </row>
    <row r="362" spans="1:18" x14ac:dyDescent="0.35">
      <c r="A362" s="21"/>
      <c r="B362" s="23"/>
      <c r="C362" s="21" t="s">
        <v>219</v>
      </c>
      <c r="D362" s="56">
        <f>(E362-G362)/G362*100</f>
        <v>942.53434722222221</v>
      </c>
      <c r="E362" s="56">
        <f>K287+C179+C180</f>
        <v>6755622.5700000003</v>
      </c>
      <c r="F362" s="56">
        <f>M287+C181+C182</f>
        <v>1010169</v>
      </c>
      <c r="G362" s="56">
        <f>K288</f>
        <v>648000</v>
      </c>
      <c r="H362" s="56">
        <f>M288</f>
        <v>144010</v>
      </c>
    </row>
    <row r="363" spans="1:18" x14ac:dyDescent="0.35">
      <c r="A363" s="74"/>
      <c r="B363" s="75"/>
      <c r="C363" s="75"/>
      <c r="D363" s="75"/>
      <c r="E363" s="76"/>
      <c r="F363" s="75"/>
      <c r="G363" s="75"/>
      <c r="H363" s="75"/>
      <c r="I363" s="76"/>
      <c r="J363" s="76"/>
    </row>
    <row r="364" spans="1:18" x14ac:dyDescent="0.35">
      <c r="A364" s="57" t="s">
        <v>153</v>
      </c>
      <c r="B364" s="58"/>
      <c r="C364" s="58"/>
    </row>
    <row r="365" spans="1:18" x14ac:dyDescent="0.35">
      <c r="A365" s="24" t="s">
        <v>153</v>
      </c>
      <c r="B365" s="24" t="s">
        <v>162</v>
      </c>
      <c r="C365" s="24" t="s">
        <v>163</v>
      </c>
    </row>
    <row r="366" spans="1:18" ht="72.5" x14ac:dyDescent="0.35">
      <c r="A366" s="60" t="s">
        <v>154</v>
      </c>
      <c r="B366" s="61" t="s">
        <v>240</v>
      </c>
      <c r="C366" s="61" t="s">
        <v>240</v>
      </c>
    </row>
  </sheetData>
  <mergeCells count="46">
    <mergeCell ref="A1:J1"/>
    <mergeCell ref="B2:E2"/>
    <mergeCell ref="A6:J6"/>
    <mergeCell ref="A10:G10"/>
    <mergeCell ref="A26:C26"/>
    <mergeCell ref="A93:E93"/>
    <mergeCell ref="A31:J31"/>
    <mergeCell ref="A58:D58"/>
    <mergeCell ref="A63:D63"/>
    <mergeCell ref="A68:K68"/>
    <mergeCell ref="A70:D70"/>
    <mergeCell ref="A74:R74"/>
    <mergeCell ref="A78:R78"/>
    <mergeCell ref="A82:E82"/>
    <mergeCell ref="A86:E86"/>
    <mergeCell ref="A94:E94"/>
    <mergeCell ref="A165:H165"/>
    <mergeCell ref="A169:J169"/>
    <mergeCell ref="A170:A171"/>
    <mergeCell ref="B170:E170"/>
    <mergeCell ref="F170:I170"/>
    <mergeCell ref="J170:J171"/>
    <mergeCell ref="A177:H177"/>
    <mergeCell ref="A186:E186"/>
    <mergeCell ref="A187:J187"/>
    <mergeCell ref="A188:A189"/>
    <mergeCell ref="B188:E188"/>
    <mergeCell ref="F188:I188"/>
    <mergeCell ref="J188:J189"/>
    <mergeCell ref="A191:H191"/>
    <mergeCell ref="A199:L199"/>
    <mergeCell ref="A201:E201"/>
    <mergeCell ref="A271:J271"/>
    <mergeCell ref="A272:A273"/>
    <mergeCell ref="B272:E272"/>
    <mergeCell ref="F272:I272"/>
    <mergeCell ref="J272:J273"/>
    <mergeCell ref="A360:H360"/>
    <mergeCell ref="A275:H275"/>
    <mergeCell ref="A283:L283"/>
    <mergeCell ref="A285:E285"/>
    <mergeCell ref="A356:J356"/>
    <mergeCell ref="A357:A358"/>
    <mergeCell ref="B357:E357"/>
    <mergeCell ref="F357:H357"/>
    <mergeCell ref="I357:L357"/>
  </mergeCells>
  <dataValidations count="4">
    <dataValidation type="list" allowBlank="1" showInputMessage="1" showErrorMessage="1" sqref="C167 C193 C277 C362">
      <formula1>"APPROVED, PENDING FOR APPROVAL, ERROR, ,"</formula1>
    </dataValidation>
    <dataValidation type="list" allowBlank="1" showInputMessage="1" showErrorMessage="1" sqref="C100 C104 C108 C118 C122 C126 C132 C136 C152 C156 C160 C140 C144 C148 C130 C116 C98 C96 C112 C203 C205 C10 C255 C26 C251 C229 C233 C239 C243 C225 C259 C263 C267 C247 C237 C6 C223 C219 C207 C211 C215 C287 C289 C339 C335 C313 C317 C323 C327 C309 C343 C347 C351 C331 C321 C307 C303 C291 C295 C299">
      <formula1>"Projected,Original,Seasonal,Recommended"</formula1>
    </dataValidation>
    <dataValidation type="list" allowBlank="1" showInputMessage="1" showErrorMessage="1" sqref="C101:C103 C105:C107 C97 C119:C121 C123:C125 C127:C129 C133:C135 C153:C155 C157:C159 C161:C163 C137:C139 C141:C143 C145:C147 C149:C151 C131 C117 C99 C109:C111 C113:C115 C206 C212:C214 C252:C254 C226:C228 C248:C250 C230:C232 C204 C234:C236 C31 C240:C242 C260:C262 C264:C266 C268:C270 C244:C246 C256:C258 C216:C218 C238 C224 C208:C210 C220:C222 C58 C290 C304:C306 C336:C338 C310:C312 C332:C334 C314:C316 C288 C318:C320 C324:C326 C344:C346 C348:C350 C352:C354 C328:C330 C340:C342 C296:C298 C322 C308 C292:C294 C300:C302">
      <formula1>"Proposed,Original,Seasonal,Recommended"</formula1>
    </dataValidation>
    <dataValidation type="list" allowBlank="1" showInputMessage="1" showErrorMessage="1" sqref="L76:N76 N80 N176">
      <formula1>"Yes,No"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16"/>
  <sheetViews>
    <sheetView topLeftCell="A109" zoomScale="80" zoomScaleNormal="80" workbookViewId="0">
      <selection activeCell="A4" sqref="A4"/>
    </sheetView>
  </sheetViews>
  <sheetFormatPr defaultRowHeight="14.5" x14ac:dyDescent="0.35"/>
  <cols>
    <col min="1" max="1" width="28.81640625" bestFit="1" customWidth="1"/>
    <col min="2" max="2" width="20" customWidth="1"/>
    <col min="3" max="3" width="22.81640625" bestFit="1" customWidth="1"/>
    <col min="4" max="4" width="20.81640625" customWidth="1"/>
    <col min="5" max="5" width="18.453125" customWidth="1"/>
    <col min="6" max="6" width="20.453125" bestFit="1" customWidth="1"/>
    <col min="7" max="7" width="17.81640625" customWidth="1"/>
    <col min="8" max="9" width="14.453125" customWidth="1"/>
    <col min="10" max="10" width="14.81640625" customWidth="1"/>
    <col min="11" max="11" width="14.1796875" customWidth="1"/>
    <col min="12" max="12" width="14.81640625" bestFit="1" customWidth="1"/>
    <col min="13" max="13" width="14" customWidth="1"/>
    <col min="14" max="14" width="13.453125" bestFit="1" customWidth="1"/>
    <col min="15" max="15" width="9.54296875" customWidth="1"/>
    <col min="16" max="16" width="11.81640625" customWidth="1"/>
    <col min="17" max="17" width="12" customWidth="1"/>
    <col min="18" max="18" width="11.81640625" customWidth="1"/>
    <col min="20" max="20" width="9.81640625" bestFit="1" customWidth="1"/>
    <col min="21" max="21" width="16.54296875" bestFit="1" customWidth="1"/>
  </cols>
  <sheetData>
    <row r="1" spans="1:118" s="81" customFormat="1" ht="23.5" x14ac:dyDescent="0.35">
      <c r="A1" s="273" t="s">
        <v>247</v>
      </c>
      <c r="B1" s="273"/>
      <c r="C1" s="273"/>
      <c r="D1" s="273"/>
      <c r="E1" s="273"/>
      <c r="F1" s="273"/>
      <c r="G1" s="273"/>
      <c r="H1" s="273"/>
      <c r="I1" s="273"/>
      <c r="J1" s="273"/>
      <c r="L1" s="82"/>
      <c r="N1" s="82"/>
      <c r="O1" s="82"/>
      <c r="P1" s="82"/>
      <c r="Q1" s="82"/>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row>
    <row r="2" spans="1:118" s="85" customFormat="1" ht="18.5" x14ac:dyDescent="0.35">
      <c r="A2" s="84" t="s">
        <v>248</v>
      </c>
      <c r="B2" s="274" t="s">
        <v>249</v>
      </c>
      <c r="C2" s="275"/>
      <c r="D2" s="275"/>
      <c r="E2" s="276"/>
      <c r="F2" s="81"/>
      <c r="G2" s="82"/>
      <c r="H2" s="81"/>
      <c r="I2" s="81"/>
      <c r="L2" s="86"/>
      <c r="V2" s="81"/>
      <c r="AB2" s="81"/>
      <c r="AJ2" s="81"/>
      <c r="BA2" s="81"/>
      <c r="BJ2" s="81"/>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row>
    <row r="3" spans="1:118" ht="15.5" x14ac:dyDescent="0.35">
      <c r="A3" s="88" t="s">
        <v>250</v>
      </c>
      <c r="B3" s="88" t="s">
        <v>0</v>
      </c>
      <c r="C3" s="88" t="s">
        <v>1</v>
      </c>
      <c r="D3" s="5" t="s">
        <v>251</v>
      </c>
      <c r="E3" s="5" t="s">
        <v>252</v>
      </c>
      <c r="F3" s="88" t="s">
        <v>253</v>
      </c>
      <c r="G3" s="88" t="s">
        <v>254</v>
      </c>
    </row>
    <row r="4" spans="1:118" x14ac:dyDescent="0.35">
      <c r="A4" s="89" t="s">
        <v>590</v>
      </c>
      <c r="B4" s="2" t="s">
        <v>6</v>
      </c>
      <c r="C4" s="4" t="s">
        <v>572</v>
      </c>
      <c r="D4" s="4"/>
      <c r="E4" s="4"/>
      <c r="F4" s="3"/>
      <c r="G4" s="90"/>
    </row>
    <row r="6" spans="1:118" s="81" customFormat="1" ht="18.5" x14ac:dyDescent="0.35">
      <c r="A6" s="277" t="s">
        <v>256</v>
      </c>
      <c r="B6" s="277"/>
      <c r="C6" s="277"/>
      <c r="D6" s="277"/>
      <c r="E6" s="277"/>
      <c r="F6" s="277"/>
      <c r="G6" s="277"/>
      <c r="H6" s="277"/>
      <c r="I6" s="277"/>
      <c r="J6" s="277"/>
      <c r="L6" s="82"/>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row>
    <row r="7" spans="1:118" s="81" customFormat="1" ht="77.5" x14ac:dyDescent="0.35">
      <c r="A7" s="91" t="s">
        <v>250</v>
      </c>
      <c r="B7" s="91" t="s">
        <v>1</v>
      </c>
      <c r="C7" s="91" t="s">
        <v>2</v>
      </c>
      <c r="D7" s="91" t="s">
        <v>3</v>
      </c>
      <c r="E7" s="91" t="s">
        <v>257</v>
      </c>
      <c r="F7" s="91" t="s">
        <v>258</v>
      </c>
      <c r="G7" s="92" t="s">
        <v>259</v>
      </c>
      <c r="H7" s="91" t="s">
        <v>260</v>
      </c>
      <c r="I7" s="92" t="s">
        <v>261</v>
      </c>
      <c r="J7" s="92" t="s">
        <v>262</v>
      </c>
      <c r="L7" s="82"/>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c r="BR7" s="85"/>
      <c r="BS7" s="85"/>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row>
    <row r="8" spans="1:118" ht="33.65" customHeight="1" x14ac:dyDescent="0.35">
      <c r="A8" s="89" t="s">
        <v>590</v>
      </c>
      <c r="B8" s="2" t="str">
        <f>C4</f>
        <v>CurrConv_Cust1Auto,IND</v>
      </c>
      <c r="C8" s="2" t="s">
        <v>591</v>
      </c>
      <c r="D8" s="2" t="s">
        <v>5</v>
      </c>
      <c r="E8" s="2" t="s">
        <v>6</v>
      </c>
      <c r="F8" s="2" t="s">
        <v>263</v>
      </c>
      <c r="G8" s="2" t="s">
        <v>4</v>
      </c>
      <c r="H8" s="2" t="s">
        <v>264</v>
      </c>
      <c r="I8" s="2" t="s">
        <v>573</v>
      </c>
      <c r="J8" s="93" t="s">
        <v>265</v>
      </c>
    </row>
    <row r="10" spans="1:118" s="81" customFormat="1" ht="18" customHeight="1" x14ac:dyDescent="0.35">
      <c r="A10" s="277" t="s">
        <v>266</v>
      </c>
      <c r="B10" s="277"/>
      <c r="C10" s="277"/>
      <c r="D10" s="277"/>
      <c r="E10" s="277"/>
      <c r="F10" s="277"/>
      <c r="G10" s="277"/>
      <c r="H10" s="277"/>
      <c r="L10" s="82"/>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c r="DI10" s="83"/>
      <c r="DJ10" s="83"/>
      <c r="DK10" s="83"/>
      <c r="DL10" s="83"/>
    </row>
    <row r="11" spans="1:118" s="81" customFormat="1" ht="18" customHeight="1" x14ac:dyDescent="0.35">
      <c r="A11" s="91" t="s">
        <v>1</v>
      </c>
      <c r="B11" s="92" t="s">
        <v>2</v>
      </c>
      <c r="C11" s="92" t="s">
        <v>267</v>
      </c>
      <c r="D11" s="92" t="s">
        <v>0</v>
      </c>
      <c r="E11" s="91" t="s">
        <v>7</v>
      </c>
      <c r="F11" s="91" t="s">
        <v>268</v>
      </c>
      <c r="G11" s="92" t="s">
        <v>269</v>
      </c>
      <c r="H11" s="91" t="s">
        <v>270</v>
      </c>
      <c r="L11" s="82"/>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c r="DM11" s="83"/>
      <c r="DN11" s="83"/>
    </row>
    <row r="12" spans="1:118" x14ac:dyDescent="0.35">
      <c r="A12" s="2" t="str">
        <f>C4</f>
        <v>CurrConv_Cust1Auto,IND</v>
      </c>
      <c r="B12" s="6" t="str">
        <f>C8</f>
        <v>6225947218</v>
      </c>
      <c r="C12" s="7">
        <v>6225947831</v>
      </c>
      <c r="D12" s="2" t="s">
        <v>6</v>
      </c>
      <c r="E12" s="3" t="s">
        <v>8</v>
      </c>
      <c r="F12" s="2" t="s">
        <v>263</v>
      </c>
      <c r="G12" s="3"/>
      <c r="H12" s="2" t="s">
        <v>271</v>
      </c>
      <c r="I12" s="81"/>
    </row>
    <row r="14" spans="1:118" ht="18.5" x14ac:dyDescent="0.35">
      <c r="A14" s="278" t="s">
        <v>272</v>
      </c>
      <c r="B14" s="279"/>
      <c r="C14" s="279"/>
      <c r="D14" s="279"/>
      <c r="E14" s="279"/>
      <c r="F14" s="279"/>
      <c r="G14" s="279"/>
    </row>
    <row r="15" spans="1:118" ht="15.5" x14ac:dyDescent="0.35">
      <c r="A15" s="95" t="s">
        <v>273</v>
      </c>
      <c r="B15" s="95" t="s">
        <v>274</v>
      </c>
      <c r="C15" s="88" t="s">
        <v>9</v>
      </c>
      <c r="D15" s="88" t="s">
        <v>275</v>
      </c>
      <c r="E15" s="88" t="s">
        <v>7</v>
      </c>
      <c r="F15" s="88" t="s">
        <v>0</v>
      </c>
      <c r="G15" s="88" t="s">
        <v>276</v>
      </c>
      <c r="H15" s="88" t="s">
        <v>277</v>
      </c>
      <c r="I15" s="88" t="s">
        <v>278</v>
      </c>
      <c r="J15" s="88" t="s">
        <v>279</v>
      </c>
      <c r="K15" s="88" t="s">
        <v>271</v>
      </c>
      <c r="L15" s="88" t="s">
        <v>280</v>
      </c>
      <c r="M15" s="88" t="s">
        <v>281</v>
      </c>
      <c r="N15" s="88" t="s">
        <v>282</v>
      </c>
      <c r="O15" s="88" t="s">
        <v>283</v>
      </c>
      <c r="P15" s="88" t="s">
        <v>284</v>
      </c>
      <c r="Q15" s="88" t="s">
        <v>285</v>
      </c>
      <c r="R15" s="88" t="s">
        <v>18</v>
      </c>
      <c r="S15" s="88" t="s">
        <v>286</v>
      </c>
    </row>
    <row r="16" spans="1:118" x14ac:dyDescent="0.35">
      <c r="A16" s="2" t="s">
        <v>287</v>
      </c>
      <c r="B16" s="2" t="s">
        <v>288</v>
      </c>
      <c r="C16" s="2" t="s">
        <v>574</v>
      </c>
      <c r="D16" s="2" t="s">
        <v>578</v>
      </c>
      <c r="E16" s="2" t="s">
        <v>8</v>
      </c>
      <c r="F16" s="2" t="s">
        <v>6</v>
      </c>
      <c r="G16" s="2" t="s">
        <v>290</v>
      </c>
      <c r="H16" s="2">
        <v>10</v>
      </c>
      <c r="I16" s="2" t="s">
        <v>291</v>
      </c>
      <c r="J16" s="2">
        <v>3</v>
      </c>
      <c r="K16" s="2" t="s">
        <v>90</v>
      </c>
      <c r="L16" s="2" t="s">
        <v>374</v>
      </c>
      <c r="M16" s="2" t="s">
        <v>528</v>
      </c>
      <c r="N16" s="2" t="s">
        <v>592</v>
      </c>
      <c r="O16" s="2" t="s">
        <v>292</v>
      </c>
      <c r="P16" s="2" t="s">
        <v>292</v>
      </c>
      <c r="Q16" s="2" t="s">
        <v>293</v>
      </c>
      <c r="R16" s="2" t="s">
        <v>22</v>
      </c>
      <c r="S16" s="2" t="s">
        <v>4</v>
      </c>
    </row>
    <row r="17" spans="1:117" x14ac:dyDescent="0.35">
      <c r="A17" s="2"/>
      <c r="B17" s="2"/>
      <c r="C17" s="2" t="s">
        <v>575</v>
      </c>
      <c r="D17" s="2" t="s">
        <v>579</v>
      </c>
      <c r="E17" s="2" t="s">
        <v>8</v>
      </c>
      <c r="F17" s="2" t="s">
        <v>6</v>
      </c>
      <c r="G17" s="2" t="s">
        <v>290</v>
      </c>
      <c r="H17" s="2">
        <v>10</v>
      </c>
      <c r="I17" s="2" t="s">
        <v>291</v>
      </c>
      <c r="J17" s="2">
        <v>3</v>
      </c>
      <c r="K17" s="2" t="s">
        <v>90</v>
      </c>
      <c r="L17" s="2" t="s">
        <v>374</v>
      </c>
      <c r="M17" s="2" t="s">
        <v>528</v>
      </c>
      <c r="N17" s="2" t="s">
        <v>592</v>
      </c>
      <c r="O17" s="2" t="s">
        <v>292</v>
      </c>
      <c r="P17" s="2" t="s">
        <v>292</v>
      </c>
      <c r="Q17" s="2" t="s">
        <v>293</v>
      </c>
      <c r="R17" s="2" t="s">
        <v>22</v>
      </c>
      <c r="S17" s="2" t="s">
        <v>4</v>
      </c>
    </row>
    <row r="18" spans="1:117" x14ac:dyDescent="0.35">
      <c r="A18" s="2"/>
      <c r="B18" s="2" t="s">
        <v>296</v>
      </c>
      <c r="C18" s="2" t="s">
        <v>576</v>
      </c>
      <c r="D18" s="2" t="s">
        <v>580</v>
      </c>
      <c r="E18" s="2" t="s">
        <v>8</v>
      </c>
      <c r="F18" s="2" t="s">
        <v>6</v>
      </c>
      <c r="G18" s="2" t="s">
        <v>290</v>
      </c>
      <c r="H18" s="2">
        <v>10</v>
      </c>
      <c r="I18" s="2" t="s">
        <v>291</v>
      </c>
      <c r="J18" s="2">
        <v>3</v>
      </c>
      <c r="K18" s="2" t="s">
        <v>90</v>
      </c>
      <c r="L18" s="2" t="s">
        <v>118</v>
      </c>
      <c r="M18" s="2" t="s">
        <v>528</v>
      </c>
      <c r="N18" s="2" t="s">
        <v>592</v>
      </c>
      <c r="O18" s="2" t="s">
        <v>292</v>
      </c>
      <c r="P18" s="2" t="s">
        <v>292</v>
      </c>
      <c r="Q18" s="2" t="s">
        <v>293</v>
      </c>
      <c r="R18" s="2" t="s">
        <v>22</v>
      </c>
      <c r="S18" s="2" t="s">
        <v>4</v>
      </c>
    </row>
    <row r="19" spans="1:117" x14ac:dyDescent="0.35">
      <c r="A19" s="2"/>
      <c r="B19" s="2"/>
      <c r="C19" s="2" t="s">
        <v>577</v>
      </c>
      <c r="D19" s="2" t="s">
        <v>581</v>
      </c>
      <c r="E19" s="2" t="s">
        <v>8</v>
      </c>
      <c r="F19" s="2" t="s">
        <v>6</v>
      </c>
      <c r="G19" s="2" t="s">
        <v>290</v>
      </c>
      <c r="H19" s="2">
        <v>10</v>
      </c>
      <c r="I19" s="2" t="s">
        <v>291</v>
      </c>
      <c r="J19" s="2">
        <v>3</v>
      </c>
      <c r="K19" s="2" t="s">
        <v>90</v>
      </c>
      <c r="L19" s="2" t="s">
        <v>118</v>
      </c>
      <c r="M19" s="2" t="s">
        <v>528</v>
      </c>
      <c r="N19" s="2" t="s">
        <v>592</v>
      </c>
      <c r="O19" s="2" t="s">
        <v>292</v>
      </c>
      <c r="P19" s="2" t="s">
        <v>292</v>
      </c>
      <c r="Q19" s="2" t="s">
        <v>293</v>
      </c>
      <c r="R19" s="2" t="s">
        <v>22</v>
      </c>
      <c r="S19" s="2" t="s">
        <v>4</v>
      </c>
    </row>
    <row r="20" spans="1:117" ht="18.5" x14ac:dyDescent="0.35">
      <c r="A20" s="282" t="s">
        <v>309</v>
      </c>
      <c r="B20" s="282"/>
      <c r="C20" s="282"/>
    </row>
    <row r="21" spans="1:117" ht="15.5" x14ac:dyDescent="0.35">
      <c r="A21" s="91" t="s">
        <v>310</v>
      </c>
      <c r="B21" s="91" t="s">
        <v>311</v>
      </c>
      <c r="C21" s="92" t="s">
        <v>312</v>
      </c>
      <c r="D21" s="88" t="s">
        <v>0</v>
      </c>
    </row>
    <row r="22" spans="1:117" x14ac:dyDescent="0.35">
      <c r="A22" s="96" t="s">
        <v>594</v>
      </c>
      <c r="B22" s="2" t="s">
        <v>593</v>
      </c>
      <c r="C22" s="2" t="s">
        <v>315</v>
      </c>
      <c r="D22" s="2" t="s">
        <v>6</v>
      </c>
    </row>
    <row r="24" spans="1:117" s="81" customFormat="1" ht="18" customHeight="1" x14ac:dyDescent="0.35">
      <c r="A24" s="277" t="s">
        <v>317</v>
      </c>
      <c r="B24" s="277"/>
      <c r="C24" s="277"/>
      <c r="D24" s="277"/>
      <c r="E24" s="277"/>
      <c r="F24" s="277"/>
      <c r="G24" s="277"/>
      <c r="H24" s="277"/>
      <c r="I24" s="277"/>
      <c r="J24" s="277"/>
      <c r="O24" s="82"/>
      <c r="P24" s="82"/>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row>
    <row r="25" spans="1:117" s="81" customFormat="1" ht="29" x14ac:dyDescent="0.35">
      <c r="A25" s="91" t="s">
        <v>310</v>
      </c>
      <c r="B25" s="91" t="s">
        <v>311</v>
      </c>
      <c r="C25" s="91" t="s">
        <v>318</v>
      </c>
      <c r="D25" s="97" t="s">
        <v>17</v>
      </c>
      <c r="E25" s="97" t="s">
        <v>55</v>
      </c>
      <c r="F25" s="97" t="s">
        <v>56</v>
      </c>
      <c r="G25" s="97" t="s">
        <v>319</v>
      </c>
      <c r="H25" s="97" t="s">
        <v>320</v>
      </c>
      <c r="I25" s="98" t="s">
        <v>57</v>
      </c>
      <c r="J25" s="99" t="s">
        <v>321</v>
      </c>
      <c r="K25" s="100" t="s">
        <v>322</v>
      </c>
      <c r="L25" s="104" t="s">
        <v>323</v>
      </c>
      <c r="M25" s="105" t="s">
        <v>18</v>
      </c>
      <c r="N25" s="105" t="s">
        <v>324</v>
      </c>
      <c r="O25" s="106" t="s">
        <v>353</v>
      </c>
      <c r="P25" s="106" t="s">
        <v>354</v>
      </c>
      <c r="Q25" s="82"/>
      <c r="R25" s="82"/>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row>
    <row r="26" spans="1:117" s="81" customFormat="1" x14ac:dyDescent="0.35">
      <c r="A26" s="96" t="s">
        <v>594</v>
      </c>
      <c r="B26" s="2" t="s">
        <v>593</v>
      </c>
      <c r="C26" s="2" t="s">
        <v>574</v>
      </c>
      <c r="D26" s="2" t="s">
        <v>21</v>
      </c>
      <c r="E26" s="2" t="s">
        <v>315</v>
      </c>
      <c r="F26" s="2"/>
      <c r="G26" s="2" t="s">
        <v>4</v>
      </c>
      <c r="H26" s="2" t="s">
        <v>325</v>
      </c>
      <c r="I26" s="2" t="s">
        <v>586</v>
      </c>
      <c r="J26" s="2"/>
      <c r="K26" s="2"/>
      <c r="L26" s="101"/>
      <c r="M26" s="2"/>
      <c r="N26" s="105" t="s">
        <v>326</v>
      </c>
      <c r="O26" s="106"/>
      <c r="P26" s="106"/>
      <c r="Q26" s="82"/>
      <c r="R26" s="82"/>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row>
    <row r="27" spans="1:117" s="81" customFormat="1" x14ac:dyDescent="0.35">
      <c r="A27" s="96"/>
      <c r="B27" s="2"/>
      <c r="C27" s="2" t="s">
        <v>575</v>
      </c>
      <c r="D27" s="2" t="s">
        <v>21</v>
      </c>
      <c r="E27" s="2" t="s">
        <v>315</v>
      </c>
      <c r="F27" s="2"/>
      <c r="G27" s="2" t="s">
        <v>4</v>
      </c>
      <c r="H27" s="2" t="s">
        <v>325</v>
      </c>
      <c r="I27" s="96" t="s">
        <v>587</v>
      </c>
      <c r="J27" s="2"/>
      <c r="K27" s="2"/>
      <c r="L27" s="101"/>
      <c r="M27" s="2"/>
      <c r="N27" s="105" t="s">
        <v>326</v>
      </c>
      <c r="O27" s="106"/>
      <c r="P27" s="106"/>
      <c r="Q27" s="82"/>
      <c r="R27" s="82"/>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row>
    <row r="28" spans="1:117" s="81" customFormat="1" x14ac:dyDescent="0.35">
      <c r="A28" s="2"/>
      <c r="B28" s="2"/>
      <c r="C28" s="2" t="s">
        <v>576</v>
      </c>
      <c r="D28" s="2" t="s">
        <v>21</v>
      </c>
      <c r="E28" s="2" t="s">
        <v>315</v>
      </c>
      <c r="F28" s="2"/>
      <c r="G28" s="2" t="s">
        <v>4</v>
      </c>
      <c r="H28" s="2" t="s">
        <v>325</v>
      </c>
      <c r="I28" s="96" t="s">
        <v>342</v>
      </c>
      <c r="J28" s="2"/>
      <c r="K28" s="2"/>
      <c r="L28" s="101"/>
      <c r="M28" s="2"/>
      <c r="N28" s="105" t="s">
        <v>326</v>
      </c>
      <c r="O28" s="106"/>
      <c r="P28" s="106"/>
      <c r="Q28" s="82"/>
      <c r="R28" s="82"/>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row>
    <row r="29" spans="1:117" s="81" customFormat="1" x14ac:dyDescent="0.35">
      <c r="A29" s="2"/>
      <c r="B29" s="2"/>
      <c r="C29" s="2" t="s">
        <v>577</v>
      </c>
      <c r="D29" s="2" t="s">
        <v>21</v>
      </c>
      <c r="E29" s="2" t="s">
        <v>315</v>
      </c>
      <c r="F29" s="2"/>
      <c r="G29" s="2" t="s">
        <v>4</v>
      </c>
      <c r="H29" s="2" t="s">
        <v>325</v>
      </c>
      <c r="I29" s="2" t="s">
        <v>343</v>
      </c>
      <c r="J29" s="2"/>
      <c r="K29" s="2"/>
      <c r="L29" s="101"/>
      <c r="M29" s="2"/>
      <c r="N29" s="105" t="s">
        <v>326</v>
      </c>
      <c r="O29" s="106"/>
      <c r="P29" s="106"/>
      <c r="Q29" s="82"/>
      <c r="R29" s="82"/>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row>
    <row r="31" spans="1:117" ht="18.5" x14ac:dyDescent="0.35">
      <c r="A31" s="277" t="s">
        <v>317</v>
      </c>
      <c r="B31" s="277"/>
      <c r="C31" s="277"/>
      <c r="D31" s="277"/>
      <c r="E31" s="277"/>
      <c r="F31" s="277"/>
      <c r="G31" s="277"/>
      <c r="H31" s="277"/>
      <c r="I31" s="277"/>
      <c r="J31" s="277"/>
    </row>
    <row r="32" spans="1:117" ht="15.5" x14ac:dyDescent="0.35">
      <c r="A32" s="91" t="s">
        <v>74</v>
      </c>
      <c r="B32" s="91" t="s">
        <v>582</v>
      </c>
      <c r="C32" s="91" t="s">
        <v>583</v>
      </c>
      <c r="D32" s="97" t="s">
        <v>0</v>
      </c>
      <c r="E32" s="97" t="s">
        <v>584</v>
      </c>
      <c r="F32" s="97" t="s">
        <v>55</v>
      </c>
      <c r="G32" s="97"/>
      <c r="H32" s="97"/>
      <c r="I32" s="98"/>
    </row>
    <row r="33" spans="1:18" x14ac:dyDescent="0.35">
      <c r="A33" s="1"/>
      <c r="B33" s="1" t="s">
        <v>4</v>
      </c>
      <c r="C33" s="1" t="s">
        <v>51</v>
      </c>
      <c r="D33" s="1" t="s">
        <v>6</v>
      </c>
      <c r="E33" s="19">
        <v>74.239999999999995</v>
      </c>
      <c r="F33" s="1"/>
      <c r="G33" s="1"/>
      <c r="H33" s="1"/>
      <c r="I33" s="1"/>
    </row>
    <row r="34" spans="1:18" x14ac:dyDescent="0.35">
      <c r="A34" s="1"/>
      <c r="B34" s="1" t="s">
        <v>51</v>
      </c>
      <c r="C34" s="1" t="s">
        <v>4</v>
      </c>
      <c r="D34" s="1" t="s">
        <v>6</v>
      </c>
      <c r="E34" s="195" t="s">
        <v>585</v>
      </c>
      <c r="F34" s="1"/>
      <c r="G34" s="1"/>
      <c r="H34" s="1"/>
      <c r="I34" s="1"/>
    </row>
    <row r="35" spans="1:18" ht="50.5" customHeight="1" x14ac:dyDescent="0.35">
      <c r="A35" s="280" t="s">
        <v>127</v>
      </c>
      <c r="B35" s="280"/>
      <c r="C35" s="280"/>
      <c r="D35" s="280"/>
      <c r="E35" s="280"/>
      <c r="F35" s="280"/>
      <c r="G35" s="280"/>
      <c r="H35" s="280"/>
      <c r="I35" s="280"/>
      <c r="J35" s="280"/>
      <c r="K35" s="280"/>
    </row>
    <row r="37" spans="1:18" ht="16.75" customHeight="1" x14ac:dyDescent="0.35">
      <c r="A37" s="281" t="s">
        <v>122</v>
      </c>
      <c r="B37" s="281"/>
      <c r="C37" s="281"/>
      <c r="D37" s="281"/>
    </row>
    <row r="38" spans="1:18" x14ac:dyDescent="0.35">
      <c r="A38" s="24" t="s">
        <v>123</v>
      </c>
      <c r="B38" s="24" t="s">
        <v>124</v>
      </c>
      <c r="C38" s="24" t="s">
        <v>0</v>
      </c>
      <c r="D38" s="24" t="s">
        <v>125</v>
      </c>
    </row>
    <row r="39" spans="1:18" x14ac:dyDescent="0.35">
      <c r="A39" s="3" t="s">
        <v>128</v>
      </c>
      <c r="B39" s="20" t="str">
        <f>A4</f>
        <v>3058702450</v>
      </c>
      <c r="C39" s="6" t="str">
        <f>B4</f>
        <v>IND</v>
      </c>
      <c r="D39" s="3" t="str">
        <f>C4</f>
        <v>CurrConv_Cust1Auto,IND</v>
      </c>
    </row>
    <row r="41" spans="1:18" x14ac:dyDescent="0.35">
      <c r="A41" s="249" t="s">
        <v>129</v>
      </c>
      <c r="B41" s="250"/>
      <c r="C41" s="250"/>
      <c r="D41" s="250"/>
      <c r="E41" s="250"/>
      <c r="F41" s="250"/>
      <c r="G41" s="250"/>
      <c r="H41" s="250"/>
      <c r="I41" s="250"/>
      <c r="J41" s="250"/>
      <c r="K41" s="250"/>
      <c r="L41" s="250"/>
      <c r="M41" s="250"/>
      <c r="N41" s="250"/>
      <c r="O41" s="250"/>
      <c r="P41" s="250"/>
      <c r="Q41" s="250"/>
      <c r="R41" s="250"/>
    </row>
    <row r="42" spans="1:18" x14ac:dyDescent="0.35">
      <c r="A42" s="24" t="s">
        <v>130</v>
      </c>
      <c r="B42" s="24" t="s">
        <v>131</v>
      </c>
      <c r="C42" s="24" t="s">
        <v>132</v>
      </c>
      <c r="D42" s="24" t="s">
        <v>133</v>
      </c>
      <c r="E42" s="24" t="s">
        <v>134</v>
      </c>
      <c r="F42" s="24" t="s">
        <v>135</v>
      </c>
      <c r="G42" s="24" t="s">
        <v>136</v>
      </c>
      <c r="H42" s="24" t="s">
        <v>137</v>
      </c>
      <c r="I42" s="24" t="s">
        <v>138</v>
      </c>
      <c r="J42" s="24" t="s">
        <v>139</v>
      </c>
      <c r="K42" s="24" t="s">
        <v>140</v>
      </c>
      <c r="L42" s="24" t="s">
        <v>141</v>
      </c>
      <c r="M42" s="24" t="s">
        <v>142</v>
      </c>
      <c r="N42" s="24" t="s">
        <v>143</v>
      </c>
      <c r="O42" s="24" t="s">
        <v>144</v>
      </c>
      <c r="P42" s="24" t="s">
        <v>145</v>
      </c>
      <c r="Q42" s="24" t="s">
        <v>145</v>
      </c>
      <c r="R42" s="24" t="s">
        <v>152</v>
      </c>
    </row>
    <row r="43" spans="1:18" x14ac:dyDescent="0.35">
      <c r="A43" s="21" t="s">
        <v>146</v>
      </c>
      <c r="B43" s="22" t="s">
        <v>147</v>
      </c>
      <c r="C43" s="23" t="s">
        <v>51</v>
      </c>
      <c r="D43" s="21" t="s">
        <v>95</v>
      </c>
      <c r="E43" s="11">
        <v>44380</v>
      </c>
      <c r="F43" s="11">
        <v>44380</v>
      </c>
      <c r="G43" s="21" t="s">
        <v>148</v>
      </c>
      <c r="H43" s="21" t="s">
        <v>148</v>
      </c>
      <c r="I43" s="21" t="s">
        <v>148</v>
      </c>
      <c r="J43" s="21" t="s">
        <v>146</v>
      </c>
      <c r="K43" s="21" t="s">
        <v>146</v>
      </c>
      <c r="L43" s="21" t="s">
        <v>90</v>
      </c>
      <c r="M43" s="21" t="s">
        <v>90</v>
      </c>
      <c r="N43" s="21" t="s">
        <v>90</v>
      </c>
      <c r="O43" s="21" t="s">
        <v>149</v>
      </c>
      <c r="P43" s="21" t="s">
        <v>150</v>
      </c>
      <c r="Q43" s="21" t="s">
        <v>151</v>
      </c>
      <c r="R43" s="21" t="s">
        <v>215</v>
      </c>
    </row>
    <row r="45" spans="1:18" x14ac:dyDescent="0.35">
      <c r="A45" s="249" t="s">
        <v>153</v>
      </c>
      <c r="B45" s="250"/>
      <c r="C45" s="250"/>
      <c r="D45" s="250"/>
      <c r="E45" s="250"/>
      <c r="F45" s="250"/>
      <c r="G45" s="250"/>
      <c r="H45" s="250"/>
      <c r="I45" s="250"/>
      <c r="J45" s="250"/>
      <c r="K45" s="250"/>
      <c r="L45" s="250"/>
      <c r="M45" s="250"/>
      <c r="N45" s="250"/>
      <c r="O45" s="250"/>
      <c r="P45" s="250"/>
      <c r="Q45" s="250"/>
      <c r="R45" s="250"/>
    </row>
    <row r="46" spans="1:18" x14ac:dyDescent="0.35">
      <c r="A46" s="24" t="s">
        <v>153</v>
      </c>
      <c r="B46" s="24" t="s">
        <v>162</v>
      </c>
      <c r="C46" s="24" t="s">
        <v>163</v>
      </c>
      <c r="D46" s="24" t="s">
        <v>131</v>
      </c>
      <c r="E46" s="24" t="s">
        <v>132</v>
      </c>
      <c r="F46" s="24" t="s">
        <v>133</v>
      </c>
      <c r="G46" s="24" t="s">
        <v>134</v>
      </c>
      <c r="H46" s="24" t="s">
        <v>158</v>
      </c>
      <c r="I46" s="24" t="s">
        <v>159</v>
      </c>
      <c r="J46" s="24" t="s">
        <v>55</v>
      </c>
      <c r="K46" s="24" t="s">
        <v>56</v>
      </c>
      <c r="L46" s="24" t="s">
        <v>160</v>
      </c>
      <c r="M46" s="24" t="s">
        <v>161</v>
      </c>
      <c r="N46" s="24"/>
      <c r="O46" s="24"/>
      <c r="P46" s="24"/>
      <c r="Q46" s="24"/>
      <c r="R46" s="24"/>
    </row>
    <row r="47" spans="1:18" ht="72.5" x14ac:dyDescent="0.35">
      <c r="A47" s="26" t="s">
        <v>154</v>
      </c>
      <c r="B47" s="27" t="s">
        <v>164</v>
      </c>
      <c r="C47" s="27" t="s">
        <v>164</v>
      </c>
      <c r="D47" s="27" t="s">
        <v>156</v>
      </c>
      <c r="E47" s="23" t="s">
        <v>51</v>
      </c>
      <c r="F47" s="21" t="s">
        <v>157</v>
      </c>
      <c r="G47" s="11">
        <v>44380</v>
      </c>
      <c r="H47" s="11">
        <f ca="1">TODAY()</f>
        <v>44676</v>
      </c>
      <c r="I47" s="21"/>
      <c r="J47" s="21"/>
      <c r="K47" s="21"/>
      <c r="L47" s="21"/>
      <c r="M47" s="21"/>
      <c r="N47" s="21"/>
      <c r="O47" s="21"/>
      <c r="P47" s="21"/>
      <c r="Q47" s="21"/>
      <c r="R47" s="21"/>
    </row>
    <row r="49" spans="1:24" x14ac:dyDescent="0.35">
      <c r="A49" s="249" t="s">
        <v>165</v>
      </c>
      <c r="B49" s="250"/>
      <c r="C49" s="250"/>
      <c r="D49" s="250"/>
      <c r="E49" s="250"/>
    </row>
    <row r="50" spans="1:24" x14ac:dyDescent="0.35">
      <c r="A50" s="28" t="s">
        <v>166</v>
      </c>
      <c r="B50" s="28" t="s">
        <v>167</v>
      </c>
      <c r="C50" s="28" t="s">
        <v>55</v>
      </c>
      <c r="D50" s="28" t="s">
        <v>56</v>
      </c>
      <c r="E50" s="25" t="s">
        <v>168</v>
      </c>
    </row>
    <row r="51" spans="1:24" x14ac:dyDescent="0.35">
      <c r="A51" s="6" t="s">
        <v>541</v>
      </c>
      <c r="B51" s="3">
        <v>1</v>
      </c>
      <c r="C51" s="11">
        <f>E43</f>
        <v>44380</v>
      </c>
      <c r="D51" s="3"/>
      <c r="E51" s="3"/>
    </row>
    <row r="53" spans="1:24" x14ac:dyDescent="0.35">
      <c r="A53" s="284" t="s">
        <v>170</v>
      </c>
      <c r="B53" s="285"/>
      <c r="C53" s="285"/>
      <c r="D53" s="285"/>
      <c r="E53" s="285"/>
    </row>
    <row r="54" spans="1:24" x14ac:dyDescent="0.35">
      <c r="A54" s="181" t="s">
        <v>169</v>
      </c>
      <c r="B54" s="181" t="s">
        <v>172</v>
      </c>
      <c r="C54" s="181" t="s">
        <v>175</v>
      </c>
      <c r="D54" s="181" t="s">
        <v>177</v>
      </c>
      <c r="E54" s="182"/>
      <c r="K54" s="48"/>
    </row>
    <row r="55" spans="1:24" x14ac:dyDescent="0.35">
      <c r="A55" s="184"/>
      <c r="B55" s="183" t="s">
        <v>173</v>
      </c>
      <c r="C55" s="185" t="s">
        <v>176</v>
      </c>
      <c r="D55" s="183" t="s">
        <v>595</v>
      </c>
      <c r="E55" s="183"/>
    </row>
    <row r="56" spans="1:24" x14ac:dyDescent="0.35">
      <c r="A56" s="184"/>
      <c r="B56" s="183" t="s">
        <v>173</v>
      </c>
      <c r="C56" s="185" t="s">
        <v>176</v>
      </c>
      <c r="D56" s="183"/>
      <c r="E56" s="183"/>
    </row>
    <row r="58" spans="1:24" x14ac:dyDescent="0.35">
      <c r="A58" s="258" t="s">
        <v>241</v>
      </c>
      <c r="B58" s="258"/>
      <c r="C58" s="258"/>
      <c r="D58" s="258"/>
      <c r="E58" s="258"/>
    </row>
    <row r="59" spans="1:24" x14ac:dyDescent="0.35">
      <c r="A59" s="249" t="s">
        <v>182</v>
      </c>
      <c r="B59" s="250"/>
      <c r="C59" s="250"/>
      <c r="D59" s="250"/>
      <c r="E59" s="250"/>
      <c r="H59" s="283" t="s">
        <v>588</v>
      </c>
      <c r="I59" s="283"/>
      <c r="J59" s="283"/>
      <c r="K59" s="283"/>
      <c r="L59" s="283"/>
      <c r="M59" s="283"/>
      <c r="N59" s="283" t="s">
        <v>589</v>
      </c>
      <c r="O59" s="283"/>
      <c r="P59" s="283"/>
      <c r="Q59" s="283"/>
      <c r="R59" s="283"/>
      <c r="S59" s="283"/>
    </row>
    <row r="60" spans="1:24" x14ac:dyDescent="0.35">
      <c r="A60" s="180" t="s">
        <v>183</v>
      </c>
      <c r="B60" s="180" t="s">
        <v>44</v>
      </c>
      <c r="C60" s="180" t="s">
        <v>191</v>
      </c>
      <c r="D60" s="42" t="s">
        <v>199</v>
      </c>
      <c r="E60" s="42" t="s">
        <v>200</v>
      </c>
      <c r="F60" s="42" t="s">
        <v>57</v>
      </c>
      <c r="G60" s="180" t="s">
        <v>184</v>
      </c>
      <c r="H60" s="180" t="s">
        <v>185</v>
      </c>
      <c r="I60" s="42" t="s">
        <v>18</v>
      </c>
      <c r="J60" s="42" t="s">
        <v>186</v>
      </c>
      <c r="K60" s="42" t="s">
        <v>187</v>
      </c>
      <c r="L60" s="42" t="s">
        <v>188</v>
      </c>
      <c r="M60" s="42" t="s">
        <v>189</v>
      </c>
      <c r="N60" s="180" t="s">
        <v>185</v>
      </c>
      <c r="O60" s="42" t="s">
        <v>18</v>
      </c>
      <c r="P60" s="42" t="s">
        <v>186</v>
      </c>
      <c r="Q60" s="42" t="s">
        <v>187</v>
      </c>
      <c r="R60" s="42" t="s">
        <v>188</v>
      </c>
      <c r="S60" s="42" t="s">
        <v>189</v>
      </c>
      <c r="T60" s="42" t="s">
        <v>206</v>
      </c>
      <c r="U60" s="42" t="s">
        <v>203</v>
      </c>
      <c r="V60" s="42" t="s">
        <v>204</v>
      </c>
      <c r="W60" s="42" t="s">
        <v>205</v>
      </c>
      <c r="X60" s="42" t="s">
        <v>190</v>
      </c>
    </row>
    <row r="61" spans="1:24" x14ac:dyDescent="0.35">
      <c r="A61" s="49" t="s">
        <v>192</v>
      </c>
      <c r="B61" s="49"/>
      <c r="C61" s="49" t="s">
        <v>201</v>
      </c>
      <c r="D61" s="49"/>
      <c r="E61" s="49"/>
      <c r="F61" s="49"/>
      <c r="G61" s="49"/>
      <c r="H61" s="49"/>
      <c r="I61" s="49"/>
      <c r="J61" s="50">
        <f>J63+J73</f>
        <v>4</v>
      </c>
      <c r="K61" s="189">
        <f>SUMIFS(K63:K82,C63:C82,C61,A63:A82,"*"&amp;"DE_"&amp;"*")</f>
        <v>8410.6495999999988</v>
      </c>
      <c r="L61" s="49"/>
      <c r="M61" s="51">
        <f>SUMIFS(M63:M82,C63:C82,C61,A63:A82,"*"&amp;"DE_"&amp;"*")</f>
        <v>52</v>
      </c>
      <c r="N61" s="49"/>
      <c r="O61" s="49"/>
      <c r="P61" s="50">
        <f>P63+P73</f>
        <v>0</v>
      </c>
      <c r="Q61" s="51">
        <f>SUMIFS(Q63:Q82,I63:I82,I61,G63:G82,"*"&amp;"DE_"&amp;"*")</f>
        <v>0</v>
      </c>
      <c r="R61" s="49"/>
      <c r="S61" s="51">
        <f>SUMIFS(S63:S82,I63:I82,I61,G63:G82,"*"&amp;"DE_"&amp;"*")</f>
        <v>0</v>
      </c>
      <c r="T61" s="49"/>
      <c r="U61" s="49"/>
      <c r="V61" s="49"/>
      <c r="W61" s="49"/>
      <c r="X61" s="49" t="s">
        <v>552</v>
      </c>
    </row>
    <row r="62" spans="1:24" x14ac:dyDescent="0.35">
      <c r="A62" s="49" t="s">
        <v>192</v>
      </c>
      <c r="B62" s="49"/>
      <c r="C62" s="49" t="s">
        <v>196</v>
      </c>
      <c r="D62" s="49"/>
      <c r="E62" s="49"/>
      <c r="F62" s="49"/>
      <c r="G62" s="49"/>
      <c r="H62" s="49"/>
      <c r="I62" s="49"/>
      <c r="J62" s="50">
        <f>(J64+J74)</f>
        <v>0</v>
      </c>
      <c r="K62" s="189">
        <f>SUMIFS(K63:K82,C63:C82,C62,A63:A82,"*"&amp;"DE_"&amp;"*")</f>
        <v>0</v>
      </c>
      <c r="L62" s="49"/>
      <c r="M62" s="51">
        <f>SUMIFS(M63:M82,C63:C82,C62,A63:A82,"*"&amp;"DE_"&amp;"*")</f>
        <v>0</v>
      </c>
      <c r="N62" s="49"/>
      <c r="O62" s="49"/>
      <c r="P62" s="50">
        <f>(P64+P74)</f>
        <v>0</v>
      </c>
      <c r="Q62" s="51">
        <f>SUMIFS(Q63:Q82,I63:I82,I62,G63:G82,"*"&amp;"DE_"&amp;"*")</f>
        <v>0</v>
      </c>
      <c r="R62" s="49"/>
      <c r="S62" s="51">
        <f>SUMIFS(S63:S82,I63:I82,I62,G63:G82,"*"&amp;"DE_"&amp;"*")</f>
        <v>0</v>
      </c>
      <c r="T62" s="49"/>
      <c r="U62" s="49"/>
      <c r="V62" s="49"/>
      <c r="W62" s="49"/>
      <c r="X62" s="49"/>
    </row>
    <row r="63" spans="1:24" x14ac:dyDescent="0.35">
      <c r="A63" s="52" t="s">
        <v>193</v>
      </c>
      <c r="B63" s="52"/>
      <c r="C63" s="52" t="s">
        <v>201</v>
      </c>
      <c r="D63" s="52"/>
      <c r="E63" s="52"/>
      <c r="F63" s="52"/>
      <c r="G63" s="52"/>
      <c r="H63" s="52"/>
      <c r="I63" s="52"/>
      <c r="J63" s="53">
        <f>SUMIFS(J65:J72,C65:C72,C63)</f>
        <v>2</v>
      </c>
      <c r="K63" s="190">
        <f>SUMIFS(K65:K72,C65:C72,C63)</f>
        <v>74.239999999999995</v>
      </c>
      <c r="L63" s="52"/>
      <c r="M63" s="54">
        <f>SUMIFS(M65:M72,C65:C72,C63)</f>
        <v>26</v>
      </c>
      <c r="N63" s="52"/>
      <c r="O63" s="52"/>
      <c r="P63" s="53">
        <f>SUMIFS(P65:P72,I65:I72,I63)</f>
        <v>0</v>
      </c>
      <c r="Q63" s="54">
        <f>SUMIFS(Q65:Q72,I65:I72,I63)</f>
        <v>0</v>
      </c>
      <c r="R63" s="52"/>
      <c r="S63" s="54">
        <f>SUMIFS(S65:S72,I65:I72,I63)</f>
        <v>0</v>
      </c>
      <c r="T63" s="52"/>
      <c r="U63" s="52"/>
      <c r="V63" s="52"/>
      <c r="W63" s="52"/>
      <c r="X63" s="52" t="s">
        <v>551</v>
      </c>
    </row>
    <row r="64" spans="1:24" x14ac:dyDescent="0.35">
      <c r="A64" s="52" t="s">
        <v>193</v>
      </c>
      <c r="B64" s="52"/>
      <c r="C64" s="52" t="s">
        <v>196</v>
      </c>
      <c r="D64" s="52"/>
      <c r="E64" s="52"/>
      <c r="F64" s="52"/>
      <c r="G64" s="52"/>
      <c r="H64" s="52"/>
      <c r="I64" s="52"/>
      <c r="J64" s="53">
        <f>SUMIFS(J65:J72,C65:C72,C64)</f>
        <v>0</v>
      </c>
      <c r="K64" s="190">
        <f>SUMIFS(K65:K72,C65:C72,C64)</f>
        <v>0</v>
      </c>
      <c r="L64" s="52"/>
      <c r="M64" s="54">
        <f>SUMIFS(M65:M72,C65:C72,C64)</f>
        <v>0</v>
      </c>
      <c r="N64" s="52"/>
      <c r="O64" s="52"/>
      <c r="P64" s="53">
        <f>SUMIFS(P65:P72,I65:I72,I64)</f>
        <v>0</v>
      </c>
      <c r="Q64" s="54">
        <f>SUMIFS(Q65:Q72,I65:I72,I64)</f>
        <v>0</v>
      </c>
      <c r="R64" s="52"/>
      <c r="S64" s="54">
        <f>SUMIFS(S65:S72,I65:I72,I64)</f>
        <v>0</v>
      </c>
      <c r="T64" s="52"/>
      <c r="U64" s="52"/>
      <c r="V64" s="52"/>
      <c r="W64" s="52"/>
      <c r="X64" s="52"/>
    </row>
    <row r="65" spans="1:24" x14ac:dyDescent="0.35">
      <c r="A65" s="2" t="s">
        <v>574</v>
      </c>
      <c r="B65" s="8"/>
      <c r="C65" s="30" t="s">
        <v>201</v>
      </c>
      <c r="D65" s="30"/>
      <c r="E65" s="30"/>
      <c r="F65" s="186" t="s">
        <v>586</v>
      </c>
      <c r="G65" s="30" t="str">
        <f>CONCATENATE("USD,FLAT ",TEXT(F65,"0.00"))</f>
        <v>USD,FLAT 0.40</v>
      </c>
      <c r="H65" s="188">
        <f>K65/J65</f>
        <v>29.695999999999998</v>
      </c>
      <c r="I65" s="30" t="s">
        <v>22</v>
      </c>
      <c r="J65" s="32">
        <v>1</v>
      </c>
      <c r="K65" s="191">
        <f>J65*F65*E33</f>
        <v>29.695999999999998</v>
      </c>
      <c r="L65" s="30" t="str">
        <f>TEXT(IFERROR(((K65-K66)/K66*100),"0.00"),"0.00")</f>
        <v>0.00</v>
      </c>
      <c r="M65" s="36">
        <f>(10+J65*3)</f>
        <v>13</v>
      </c>
      <c r="N65" s="188">
        <f>Q65/P65</f>
        <v>0</v>
      </c>
      <c r="O65" s="30" t="s">
        <v>22</v>
      </c>
      <c r="P65" s="32">
        <v>1</v>
      </c>
      <c r="Q65" s="36">
        <f>P65*L65</f>
        <v>0</v>
      </c>
      <c r="R65" s="30" t="str">
        <f>TEXT(IFERROR(((Q65-Q66)/Q66*100),"0.00"),"0.00")</f>
        <v>0.00</v>
      </c>
      <c r="S65" s="36">
        <f>(10+P65*3)</f>
        <v>13</v>
      </c>
      <c r="T65" s="35" t="s">
        <v>54</v>
      </c>
      <c r="U65" s="30" t="s">
        <v>213</v>
      </c>
      <c r="V65" s="30" t="s">
        <v>549</v>
      </c>
      <c r="W65" s="30"/>
      <c r="X65" s="30"/>
    </row>
    <row r="66" spans="1:24" x14ac:dyDescent="0.35">
      <c r="A66" s="8"/>
      <c r="B66" s="8"/>
      <c r="C66" s="33" t="s">
        <v>196</v>
      </c>
      <c r="D66" s="33"/>
      <c r="E66" s="33"/>
      <c r="F66" s="33"/>
      <c r="G66" s="33"/>
      <c r="H66" s="38"/>
      <c r="I66" s="33"/>
      <c r="J66" s="34"/>
      <c r="K66" s="192"/>
      <c r="L66" s="33"/>
      <c r="M66" s="38"/>
      <c r="N66" s="38"/>
      <c r="O66" s="33"/>
      <c r="P66" s="34"/>
      <c r="Q66" s="38"/>
      <c r="R66" s="33"/>
      <c r="S66" s="38"/>
      <c r="T66" s="33"/>
      <c r="U66" s="33"/>
      <c r="V66" s="33"/>
      <c r="W66" s="33"/>
      <c r="X66" s="33"/>
    </row>
    <row r="67" spans="1:24" x14ac:dyDescent="0.35">
      <c r="A67" s="8"/>
      <c r="B67" s="8"/>
      <c r="C67" s="43" t="s">
        <v>197</v>
      </c>
      <c r="D67" s="43"/>
      <c r="E67" s="43"/>
      <c r="F67" s="43"/>
      <c r="G67" s="43"/>
      <c r="H67" s="43"/>
      <c r="I67" s="43"/>
      <c r="J67" s="43"/>
      <c r="K67" s="193"/>
      <c r="L67" s="43"/>
      <c r="M67" s="43"/>
      <c r="N67" s="43"/>
      <c r="O67" s="43"/>
      <c r="P67" s="43"/>
      <c r="Q67" s="43"/>
      <c r="R67" s="43"/>
      <c r="S67" s="43"/>
      <c r="T67" s="43"/>
      <c r="U67" s="43"/>
      <c r="V67" s="43"/>
      <c r="W67" s="43"/>
      <c r="X67" s="43"/>
    </row>
    <row r="68" spans="1:24" x14ac:dyDescent="0.35">
      <c r="A68" s="8"/>
      <c r="B68" s="8"/>
      <c r="C68" s="44" t="s">
        <v>198</v>
      </c>
      <c r="D68" s="44"/>
      <c r="E68" s="44"/>
      <c r="F68" s="44"/>
      <c r="G68" s="44"/>
      <c r="H68" s="44"/>
      <c r="I68" s="44"/>
      <c r="J68" s="44"/>
      <c r="K68" s="194"/>
      <c r="L68" s="44"/>
      <c r="M68" s="44"/>
      <c r="N68" s="44"/>
      <c r="O68" s="44"/>
      <c r="P68" s="44"/>
      <c r="Q68" s="44"/>
      <c r="R68" s="44"/>
      <c r="S68" s="44"/>
      <c r="T68" s="44"/>
      <c r="U68" s="44"/>
      <c r="V68" s="44"/>
      <c r="W68" s="44"/>
      <c r="X68" s="44"/>
    </row>
    <row r="69" spans="1:24" x14ac:dyDescent="0.35">
      <c r="A69" s="2" t="s">
        <v>575</v>
      </c>
      <c r="B69" s="8"/>
      <c r="C69" s="30" t="s">
        <v>201</v>
      </c>
      <c r="D69" s="30"/>
      <c r="E69" s="30"/>
      <c r="F69" s="186" t="s">
        <v>587</v>
      </c>
      <c r="G69" s="30" t="str">
        <f>CONCATENATE("USD,FLAT ",TEXT(F69,"0.00"))</f>
        <v>USD,FLAT 0.60</v>
      </c>
      <c r="H69" s="188">
        <f>K69/J69</f>
        <v>44.543999999999997</v>
      </c>
      <c r="I69" s="30" t="s">
        <v>22</v>
      </c>
      <c r="J69" s="32">
        <v>1</v>
      </c>
      <c r="K69" s="191">
        <f>J69*F69*E33</f>
        <v>44.543999999999997</v>
      </c>
      <c r="L69" s="30" t="str">
        <f>TEXT(IFERROR(((K69-K70)/K70*100),"0.00"),"0.00")</f>
        <v>0.00</v>
      </c>
      <c r="M69" s="36">
        <f>(10+J69*3)</f>
        <v>13</v>
      </c>
      <c r="N69" s="188">
        <f>Q69/P69</f>
        <v>0</v>
      </c>
      <c r="O69" s="30" t="s">
        <v>22</v>
      </c>
      <c r="P69" s="32">
        <v>1</v>
      </c>
      <c r="Q69" s="36">
        <f>P69*L69</f>
        <v>0</v>
      </c>
      <c r="R69" s="30" t="str">
        <f>TEXT(IFERROR(((Q69-Q70)/Q70*100),"0.00"),"0.00")</f>
        <v>0.00</v>
      </c>
      <c r="S69" s="36">
        <f>(10+P69*3)</f>
        <v>13</v>
      </c>
      <c r="T69" s="35" t="s">
        <v>54</v>
      </c>
      <c r="U69" s="30" t="s">
        <v>213</v>
      </c>
      <c r="V69" s="30" t="s">
        <v>549</v>
      </c>
      <c r="W69" s="30"/>
      <c r="X69" s="30"/>
    </row>
    <row r="70" spans="1:24" x14ac:dyDescent="0.35">
      <c r="A70" s="8"/>
      <c r="B70" s="8"/>
      <c r="C70" s="33" t="s">
        <v>196</v>
      </c>
      <c r="D70" s="33"/>
      <c r="E70" s="33"/>
      <c r="F70" s="33"/>
      <c r="G70" s="33"/>
      <c r="H70" s="38"/>
      <c r="I70" s="33"/>
      <c r="J70" s="34"/>
      <c r="K70" s="192"/>
      <c r="L70" s="33"/>
      <c r="M70" s="38"/>
      <c r="N70" s="38"/>
      <c r="O70" s="33"/>
      <c r="P70" s="34"/>
      <c r="Q70" s="38"/>
      <c r="R70" s="33"/>
      <c r="S70" s="38"/>
      <c r="T70" s="33"/>
      <c r="U70" s="33"/>
      <c r="V70" s="33"/>
      <c r="W70" s="33"/>
      <c r="X70" s="33"/>
    </row>
    <row r="71" spans="1:24" x14ac:dyDescent="0.35">
      <c r="A71" s="8"/>
      <c r="B71" s="8"/>
      <c r="C71" s="43" t="s">
        <v>197</v>
      </c>
      <c r="D71" s="43"/>
      <c r="E71" s="43"/>
      <c r="F71" s="43"/>
      <c r="G71" s="43"/>
      <c r="H71" s="43"/>
      <c r="I71" s="43"/>
      <c r="J71" s="43"/>
      <c r="K71" s="193"/>
      <c r="L71" s="43"/>
      <c r="M71" s="43"/>
      <c r="N71" s="43"/>
      <c r="O71" s="43"/>
      <c r="P71" s="43"/>
      <c r="Q71" s="43"/>
      <c r="R71" s="43"/>
      <c r="S71" s="43"/>
      <c r="T71" s="43"/>
      <c r="U71" s="43"/>
      <c r="V71" s="43"/>
      <c r="W71" s="43"/>
      <c r="X71" s="43"/>
    </row>
    <row r="72" spans="1:24" x14ac:dyDescent="0.35">
      <c r="A72" s="8"/>
      <c r="B72" s="8"/>
      <c r="C72" s="44" t="s">
        <v>198</v>
      </c>
      <c r="D72" s="44"/>
      <c r="E72" s="44"/>
      <c r="F72" s="44"/>
      <c r="G72" s="44"/>
      <c r="H72" s="44"/>
      <c r="I72" s="44"/>
      <c r="J72" s="44"/>
      <c r="K72" s="194"/>
      <c r="L72" s="44"/>
      <c r="M72" s="44"/>
      <c r="N72" s="44"/>
      <c r="O72" s="44"/>
      <c r="P72" s="44"/>
      <c r="Q72" s="44"/>
      <c r="R72" s="44"/>
      <c r="S72" s="44"/>
      <c r="T72" s="44"/>
      <c r="U72" s="44"/>
      <c r="V72" s="44"/>
      <c r="W72" s="44"/>
      <c r="X72" s="44"/>
    </row>
    <row r="73" spans="1:24" x14ac:dyDescent="0.35">
      <c r="A73" s="52" t="s">
        <v>194</v>
      </c>
      <c r="B73" s="52"/>
      <c r="C73" s="52" t="s">
        <v>201</v>
      </c>
      <c r="D73" s="52"/>
      <c r="E73" s="52"/>
      <c r="F73" s="52"/>
      <c r="G73" s="52"/>
      <c r="H73" s="52"/>
      <c r="I73" s="52"/>
      <c r="J73" s="53">
        <f>SUMIFS(J75:J82,C75:C82,C73)</f>
        <v>2</v>
      </c>
      <c r="K73" s="190">
        <f>SUMIFS(K75:K82,C75:C82,C73)</f>
        <v>8336.409599999999</v>
      </c>
      <c r="L73" s="52"/>
      <c r="M73" s="54">
        <f>SUMIFS(M75:M82,C75:C82,C73)</f>
        <v>26</v>
      </c>
      <c r="N73" s="52"/>
      <c r="O73" s="52"/>
      <c r="P73" s="53">
        <f>SUMIFS(P75:P82,I75:I82,I73)</f>
        <v>0</v>
      </c>
      <c r="Q73" s="54">
        <f>SUMIFS(Q75:Q82,I75:I82,I73)</f>
        <v>0</v>
      </c>
      <c r="R73" s="52"/>
      <c r="S73" s="54">
        <f>SUMIFS(S75:S82,I75:I82,I73)</f>
        <v>0</v>
      </c>
      <c r="T73" s="52"/>
      <c r="U73" s="52"/>
      <c r="V73" s="52"/>
      <c r="W73" s="52"/>
      <c r="X73" s="52"/>
    </row>
    <row r="74" spans="1:24" x14ac:dyDescent="0.35">
      <c r="A74" s="52" t="s">
        <v>194</v>
      </c>
      <c r="B74" s="52"/>
      <c r="C74" s="52" t="s">
        <v>196</v>
      </c>
      <c r="D74" s="52"/>
      <c r="E74" s="52"/>
      <c r="F74" s="52"/>
      <c r="G74" s="52"/>
      <c r="H74" s="52"/>
      <c r="I74" s="52"/>
      <c r="J74" s="53">
        <f>SUMIFS(J75:J82,C75:C82,C74)</f>
        <v>0</v>
      </c>
      <c r="K74" s="190">
        <f>SUMIFS(K75:K82,C75:C82,C74)</f>
        <v>0</v>
      </c>
      <c r="L74" s="52"/>
      <c r="M74" s="54">
        <f>SUMIFS(M75:M82,C75:C82,C74)</f>
        <v>0</v>
      </c>
      <c r="N74" s="52"/>
      <c r="O74" s="52"/>
      <c r="P74" s="53">
        <f>SUMIFS(P75:P82,I75:I82,I74)</f>
        <v>0</v>
      </c>
      <c r="Q74" s="54">
        <f>SUMIFS(Q75:Q82,I75:I82,I74)</f>
        <v>0</v>
      </c>
      <c r="R74" s="52"/>
      <c r="S74" s="54">
        <f>SUMIFS(S75:S82,I75:I82,I74)</f>
        <v>0</v>
      </c>
      <c r="T74" s="52"/>
      <c r="U74" s="52"/>
      <c r="V74" s="52"/>
      <c r="W74" s="52"/>
      <c r="X74" s="52"/>
    </row>
    <row r="75" spans="1:24" x14ac:dyDescent="0.35">
      <c r="A75" s="2" t="s">
        <v>576</v>
      </c>
      <c r="B75" s="8"/>
      <c r="C75" s="30" t="s">
        <v>201</v>
      </c>
      <c r="D75" s="30"/>
      <c r="E75" s="30"/>
      <c r="F75" s="187" t="s">
        <v>342</v>
      </c>
      <c r="G75" s="30" t="str">
        <f>CONCATENATE("USD,FLAT ",TEXT(F75,"0.00"))</f>
        <v>USD,FLAT 0.25</v>
      </c>
      <c r="H75" s="188">
        <f>K75/J75</f>
        <v>18.559999999999999</v>
      </c>
      <c r="I75" s="30" t="s">
        <v>22</v>
      </c>
      <c r="J75" s="32">
        <v>1</v>
      </c>
      <c r="K75" s="191">
        <f>J75*F75*E33</f>
        <v>18.559999999999999</v>
      </c>
      <c r="L75" s="30" t="str">
        <f>TEXT(IFERROR(((K75-K76)/K76*100),"0.00"),"0.00")</f>
        <v>0.00</v>
      </c>
      <c r="M75" s="36">
        <f>(10+J75*3)</f>
        <v>13</v>
      </c>
      <c r="N75" s="188">
        <f>Q75/P75</f>
        <v>0</v>
      </c>
      <c r="O75" s="30" t="s">
        <v>22</v>
      </c>
      <c r="P75" s="32">
        <v>1</v>
      </c>
      <c r="Q75" s="36">
        <f>P75*L75</f>
        <v>0</v>
      </c>
      <c r="R75" s="30" t="str">
        <f>TEXT(IFERROR(((Q75-Q76)/Q76*100),"0.00"),"0.00")</f>
        <v>0.00</v>
      </c>
      <c r="S75" s="36">
        <f>(10+P75*3)</f>
        <v>13</v>
      </c>
      <c r="T75" s="35" t="s">
        <v>54</v>
      </c>
      <c r="U75" s="30" t="s">
        <v>213</v>
      </c>
      <c r="V75" s="30" t="s">
        <v>549</v>
      </c>
      <c r="W75" s="30"/>
      <c r="X75" s="30"/>
    </row>
    <row r="76" spans="1:24" x14ac:dyDescent="0.35">
      <c r="A76" s="8"/>
      <c r="B76" s="8"/>
      <c r="C76" s="33" t="s">
        <v>196</v>
      </c>
      <c r="D76" s="33"/>
      <c r="E76" s="33"/>
      <c r="F76" s="33"/>
      <c r="G76" s="33"/>
      <c r="H76" s="38"/>
      <c r="I76" s="33"/>
      <c r="J76" s="34"/>
      <c r="K76" s="192"/>
      <c r="L76" s="33"/>
      <c r="M76" s="38"/>
      <c r="N76" s="38"/>
      <c r="O76" s="33"/>
      <c r="P76" s="34"/>
      <c r="Q76" s="40"/>
      <c r="R76" s="33"/>
      <c r="S76" s="38"/>
      <c r="T76" s="33"/>
      <c r="U76" s="33"/>
      <c r="V76" s="33"/>
      <c r="W76" s="33"/>
      <c r="X76" s="33"/>
    </row>
    <row r="77" spans="1:24" x14ac:dyDescent="0.35">
      <c r="A77" s="8"/>
      <c r="B77" s="8"/>
      <c r="C77" s="43" t="s">
        <v>197</v>
      </c>
      <c r="D77" s="43"/>
      <c r="E77" s="43"/>
      <c r="F77" s="43"/>
      <c r="G77" s="43"/>
      <c r="H77" s="43"/>
      <c r="I77" s="43"/>
      <c r="J77" s="43"/>
      <c r="K77" s="193"/>
      <c r="L77" s="43"/>
      <c r="M77" s="43"/>
      <c r="N77" s="43"/>
      <c r="O77" s="43"/>
      <c r="P77" s="43"/>
      <c r="Q77" s="45"/>
      <c r="R77" s="43"/>
      <c r="S77" s="43"/>
      <c r="T77" s="43"/>
      <c r="U77" s="43"/>
      <c r="V77" s="43"/>
      <c r="W77" s="43"/>
      <c r="X77" s="43"/>
    </row>
    <row r="78" spans="1:24" x14ac:dyDescent="0.35">
      <c r="A78" s="8"/>
      <c r="B78" s="8"/>
      <c r="C78" s="44" t="s">
        <v>198</v>
      </c>
      <c r="D78" s="44"/>
      <c r="E78" s="44"/>
      <c r="F78" s="44"/>
      <c r="G78" s="44"/>
      <c r="H78" s="44"/>
      <c r="I78" s="44"/>
      <c r="J78" s="44"/>
      <c r="K78" s="194"/>
      <c r="L78" s="44"/>
      <c r="M78" s="44"/>
      <c r="N78" s="44"/>
      <c r="O78" s="44"/>
      <c r="P78" s="44"/>
      <c r="Q78" s="46"/>
      <c r="R78" s="44"/>
      <c r="S78" s="44"/>
      <c r="T78" s="44"/>
      <c r="U78" s="44"/>
      <c r="V78" s="44"/>
      <c r="W78" s="44"/>
      <c r="X78" s="44"/>
    </row>
    <row r="79" spans="1:24" x14ac:dyDescent="0.35">
      <c r="A79" s="2" t="s">
        <v>577</v>
      </c>
      <c r="B79" s="8"/>
      <c r="C79" s="30" t="s">
        <v>201</v>
      </c>
      <c r="D79" s="30"/>
      <c r="E79" s="30"/>
      <c r="F79" s="31">
        <v>112.04</v>
      </c>
      <c r="G79" s="30" t="str">
        <f>CONCATENATE("USD,FLAT ",TEXT(F79,"0.00"))</f>
        <v>USD,FLAT 112.04</v>
      </c>
      <c r="H79" s="188">
        <f>K79/J79</f>
        <v>8317.8495999999996</v>
      </c>
      <c r="I79" s="30" t="s">
        <v>22</v>
      </c>
      <c r="J79" s="32">
        <v>1</v>
      </c>
      <c r="K79" s="191">
        <f>J79*F79*E33</f>
        <v>8317.8495999999996</v>
      </c>
      <c r="L79" s="30" t="str">
        <f>TEXT(IFERROR(((K79-K80)/K80*100),"0.00"),"0.00")</f>
        <v>0.00</v>
      </c>
      <c r="M79" s="36">
        <f>(10+J79*3)</f>
        <v>13</v>
      </c>
      <c r="N79" s="188">
        <f>Q79/P79</f>
        <v>11.95</v>
      </c>
      <c r="O79" s="30" t="s">
        <v>22</v>
      </c>
      <c r="P79" s="32">
        <v>1</v>
      </c>
      <c r="Q79" s="36">
        <f>P79*11.95</f>
        <v>11.95</v>
      </c>
      <c r="R79" s="30" t="str">
        <f>TEXT(IFERROR(((Q79-Q80)/Q80*100),"0.00"),"0.00")</f>
        <v>0.00</v>
      </c>
      <c r="S79" s="36">
        <f>(10+P79*3)</f>
        <v>13</v>
      </c>
      <c r="T79" s="35" t="s">
        <v>54</v>
      </c>
      <c r="U79" s="30" t="s">
        <v>213</v>
      </c>
      <c r="V79" s="30" t="s">
        <v>549</v>
      </c>
      <c r="W79" s="30"/>
      <c r="X79" s="30"/>
    </row>
    <row r="80" spans="1:24" x14ac:dyDescent="0.35">
      <c r="A80" s="8"/>
      <c r="B80" s="8"/>
      <c r="C80" s="33" t="s">
        <v>196</v>
      </c>
      <c r="D80" s="33"/>
      <c r="E80" s="33"/>
      <c r="F80" s="33"/>
      <c r="G80" s="33"/>
      <c r="H80" s="38"/>
      <c r="I80" s="33"/>
      <c r="J80" s="34"/>
      <c r="K80" s="192"/>
      <c r="L80" s="33"/>
      <c r="M80" s="33"/>
      <c r="N80" s="38"/>
      <c r="O80" s="33"/>
      <c r="P80" s="34"/>
      <c r="Q80" s="40"/>
      <c r="R80" s="33"/>
      <c r="S80" s="33"/>
      <c r="T80" s="33"/>
      <c r="U80" s="33"/>
      <c r="V80" s="33"/>
      <c r="W80" s="33"/>
      <c r="X80" s="33"/>
    </row>
    <row r="81" spans="1:24" x14ac:dyDescent="0.35">
      <c r="A81" s="8"/>
      <c r="B81" s="8"/>
      <c r="C81" s="43" t="s">
        <v>197</v>
      </c>
      <c r="D81" s="43"/>
      <c r="E81" s="43"/>
      <c r="F81" s="43"/>
      <c r="G81" s="43"/>
      <c r="H81" s="43"/>
      <c r="I81" s="43"/>
      <c r="J81" s="43"/>
      <c r="K81" s="193"/>
      <c r="L81" s="43"/>
      <c r="M81" s="43"/>
      <c r="N81" s="43"/>
      <c r="O81" s="43"/>
      <c r="P81" s="43"/>
      <c r="Q81" s="45"/>
      <c r="R81" s="43"/>
      <c r="S81" s="43"/>
      <c r="T81" s="43"/>
      <c r="U81" s="43"/>
      <c r="V81" s="43"/>
      <c r="W81" s="43"/>
      <c r="X81" s="43"/>
    </row>
    <row r="82" spans="1:24" x14ac:dyDescent="0.35">
      <c r="A82" s="8"/>
      <c r="B82" s="8"/>
      <c r="C82" s="44" t="s">
        <v>198</v>
      </c>
      <c r="D82" s="44"/>
      <c r="E82" s="44"/>
      <c r="F82" s="44"/>
      <c r="G82" s="44"/>
      <c r="H82" s="44"/>
      <c r="I82" s="44"/>
      <c r="J82" s="44"/>
      <c r="K82" s="194"/>
      <c r="L82" s="44"/>
      <c r="M82" s="44"/>
      <c r="N82" s="44"/>
      <c r="O82" s="44"/>
      <c r="P82" s="44"/>
      <c r="Q82" s="46"/>
      <c r="R82" s="44"/>
      <c r="S82" s="44"/>
      <c r="T82" s="44"/>
      <c r="U82" s="44"/>
      <c r="V82" s="44"/>
      <c r="W82" s="44"/>
      <c r="X82" s="44"/>
    </row>
    <row r="84" spans="1:24" x14ac:dyDescent="0.35">
      <c r="A84" s="251" t="s">
        <v>221</v>
      </c>
      <c r="B84" s="252"/>
      <c r="C84" s="252"/>
      <c r="D84" s="252"/>
      <c r="E84" s="252"/>
      <c r="F84" s="252"/>
      <c r="G84" s="252"/>
      <c r="H84" s="252"/>
    </row>
    <row r="85" spans="1:24" x14ac:dyDescent="0.35">
      <c r="A85" s="24" t="s">
        <v>1</v>
      </c>
      <c r="B85" s="24" t="s">
        <v>0</v>
      </c>
      <c r="C85" s="24" t="s">
        <v>204</v>
      </c>
      <c r="D85" s="24" t="s">
        <v>216</v>
      </c>
      <c r="E85" s="24" t="s">
        <v>227</v>
      </c>
      <c r="F85" s="24" t="s">
        <v>228</v>
      </c>
      <c r="G85" s="24" t="s">
        <v>217</v>
      </c>
      <c r="H85" s="24" t="s">
        <v>218</v>
      </c>
    </row>
    <row r="86" spans="1:24" x14ac:dyDescent="0.35">
      <c r="A86" s="21" t="str">
        <f>C4</f>
        <v>CurrConv_Cust1Auto,IND</v>
      </c>
      <c r="B86" s="23" t="str">
        <f>B4</f>
        <v>IND</v>
      </c>
      <c r="C86" s="21" t="s">
        <v>219</v>
      </c>
      <c r="D86" s="55" t="e">
        <f>((E86-G86)/G86*100)</f>
        <v>#DIV/0!</v>
      </c>
      <c r="E86" s="56">
        <f>K61</f>
        <v>8410.6495999999988</v>
      </c>
      <c r="F86" s="56">
        <f>M61</f>
        <v>52</v>
      </c>
      <c r="G86" s="56">
        <f>K62</f>
        <v>0</v>
      </c>
      <c r="H86" s="56">
        <f>M62</f>
        <v>0</v>
      </c>
    </row>
    <row r="88" spans="1:24" x14ac:dyDescent="0.35">
      <c r="A88" s="251" t="s">
        <v>220</v>
      </c>
      <c r="B88" s="252"/>
      <c r="C88" s="252"/>
      <c r="D88" s="252"/>
      <c r="E88" s="252"/>
      <c r="F88" s="252"/>
      <c r="G88" s="252"/>
      <c r="H88" s="252"/>
      <c r="I88" s="252"/>
      <c r="J88" s="252"/>
    </row>
    <row r="89" spans="1:24" x14ac:dyDescent="0.35">
      <c r="A89" s="253" t="s">
        <v>222</v>
      </c>
      <c r="B89" s="262" t="s">
        <v>225</v>
      </c>
      <c r="C89" s="263"/>
      <c r="D89" s="263"/>
      <c r="E89" s="264"/>
      <c r="F89" s="262" t="s">
        <v>226</v>
      </c>
      <c r="G89" s="263"/>
      <c r="H89" s="263"/>
      <c r="I89" s="264"/>
      <c r="J89" s="265" t="s">
        <v>224</v>
      </c>
    </row>
    <row r="90" spans="1:24" x14ac:dyDescent="0.35">
      <c r="A90" s="254"/>
      <c r="B90" s="24" t="s">
        <v>187</v>
      </c>
      <c r="C90" s="24" t="s">
        <v>189</v>
      </c>
      <c r="D90" s="24" t="s">
        <v>223</v>
      </c>
      <c r="E90" s="24" t="s">
        <v>229</v>
      </c>
      <c r="F90" s="24" t="s">
        <v>187</v>
      </c>
      <c r="G90" s="24" t="s">
        <v>189</v>
      </c>
      <c r="H90" s="24" t="s">
        <v>223</v>
      </c>
      <c r="I90" s="24" t="s">
        <v>229</v>
      </c>
      <c r="J90" s="266"/>
    </row>
    <row r="91" spans="1:24" x14ac:dyDescent="0.35">
      <c r="A91" s="21"/>
      <c r="B91" s="56">
        <f>E86</f>
        <v>8410.6495999999988</v>
      </c>
      <c r="C91" s="56">
        <f>F86</f>
        <v>52</v>
      </c>
      <c r="D91" s="56">
        <f>B91-C91</f>
        <v>8358.6495999999988</v>
      </c>
      <c r="E91" s="55">
        <f>((B91-C91)/B91*100)</f>
        <v>99.381736221658784</v>
      </c>
      <c r="F91" s="56">
        <f>G86</f>
        <v>0</v>
      </c>
      <c r="G91" s="56">
        <f>H86</f>
        <v>0</v>
      </c>
      <c r="H91" s="56">
        <f>F91-G91</f>
        <v>0</v>
      </c>
      <c r="I91" s="55" t="e">
        <f>((F91-G91)/F91*100)</f>
        <v>#DIV/0!</v>
      </c>
      <c r="J91" s="55" t="e">
        <f>((B91-F91)/F91*100)</f>
        <v>#DIV/0!</v>
      </c>
    </row>
    <row r="93" spans="1:24" x14ac:dyDescent="0.35">
      <c r="A93" s="57" t="s">
        <v>153</v>
      </c>
      <c r="B93" s="58"/>
      <c r="C93" s="58"/>
    </row>
    <row r="94" spans="1:24" x14ac:dyDescent="0.35">
      <c r="A94" s="24" t="s">
        <v>153</v>
      </c>
      <c r="B94" s="24" t="s">
        <v>162</v>
      </c>
      <c r="C94" s="24" t="s">
        <v>163</v>
      </c>
      <c r="D94" s="24" t="s">
        <v>542</v>
      </c>
      <c r="E94" s="24" t="s">
        <v>137</v>
      </c>
      <c r="F94" s="24" t="s">
        <v>55</v>
      </c>
      <c r="G94" s="24" t="s">
        <v>56</v>
      </c>
      <c r="H94" s="24" t="s">
        <v>543</v>
      </c>
      <c r="I94" s="24" t="s">
        <v>544</v>
      </c>
      <c r="J94" s="24" t="s">
        <v>158</v>
      </c>
      <c r="K94" s="24" t="s">
        <v>134</v>
      </c>
      <c r="L94" s="24" t="s">
        <v>132</v>
      </c>
    </row>
    <row r="95" spans="1:24" ht="72.5" x14ac:dyDescent="0.35">
      <c r="A95" s="26" t="s">
        <v>154</v>
      </c>
      <c r="B95" s="27" t="s">
        <v>240</v>
      </c>
      <c r="C95" s="27" t="s">
        <v>240</v>
      </c>
      <c r="D95" s="27" t="s">
        <v>148</v>
      </c>
      <c r="E95" s="27" t="s">
        <v>148</v>
      </c>
      <c r="F95" s="27"/>
      <c r="G95" s="27"/>
      <c r="H95" s="27"/>
      <c r="I95" s="27"/>
      <c r="J95" s="165">
        <v>44380</v>
      </c>
      <c r="K95" s="165">
        <v>44380</v>
      </c>
      <c r="L95" s="27" t="s">
        <v>4</v>
      </c>
    </row>
    <row r="96" spans="1:24" x14ac:dyDescent="0.35">
      <c r="A96" s="251" t="s">
        <v>231</v>
      </c>
      <c r="B96" s="252"/>
      <c r="C96" s="252"/>
      <c r="D96" s="252"/>
      <c r="E96" s="252"/>
      <c r="F96" s="252"/>
      <c r="G96" s="252"/>
      <c r="H96" s="252"/>
    </row>
    <row r="97" spans="1:10" x14ac:dyDescent="0.35">
      <c r="A97" s="24" t="s">
        <v>232</v>
      </c>
      <c r="B97" s="24" t="s">
        <v>233</v>
      </c>
      <c r="C97" s="24" t="s">
        <v>234</v>
      </c>
      <c r="D97" s="24" t="s">
        <v>0</v>
      </c>
      <c r="E97" s="24" t="s">
        <v>9</v>
      </c>
      <c r="F97" s="24" t="s">
        <v>235</v>
      </c>
      <c r="G97" s="24" t="s">
        <v>236</v>
      </c>
      <c r="H97" s="24"/>
    </row>
    <row r="98" spans="1:10" x14ac:dyDescent="0.35">
      <c r="A98" s="19">
        <v>10</v>
      </c>
      <c r="B98" s="19" t="s">
        <v>4</v>
      </c>
      <c r="C98" s="19">
        <v>1000</v>
      </c>
      <c r="D98" s="19" t="s">
        <v>6</v>
      </c>
      <c r="E98" s="19"/>
      <c r="F98" s="19" t="s">
        <v>230</v>
      </c>
      <c r="G98" s="19" t="s">
        <v>187</v>
      </c>
      <c r="H98" s="19"/>
    </row>
    <row r="99" spans="1:10" x14ac:dyDescent="0.35">
      <c r="A99" s="19">
        <v>20</v>
      </c>
      <c r="B99" s="19" t="s">
        <v>4</v>
      </c>
      <c r="C99" s="19">
        <v>1000</v>
      </c>
      <c r="D99" s="19" t="s">
        <v>6</v>
      </c>
      <c r="E99" s="19"/>
      <c r="F99" s="19" t="s">
        <v>239</v>
      </c>
      <c r="G99" s="19" t="s">
        <v>187</v>
      </c>
      <c r="H99" s="19"/>
    </row>
    <row r="100" spans="1:10" x14ac:dyDescent="0.35">
      <c r="A100" s="19">
        <v>30</v>
      </c>
      <c r="B100" s="19" t="s">
        <v>4</v>
      </c>
      <c r="C100" s="19">
        <v>1000</v>
      </c>
      <c r="D100" s="19" t="s">
        <v>6</v>
      </c>
      <c r="E100" s="19"/>
      <c r="F100" s="19" t="s">
        <v>237</v>
      </c>
      <c r="G100" s="19" t="s">
        <v>189</v>
      </c>
      <c r="H100" s="19"/>
    </row>
    <row r="101" spans="1:10" x14ac:dyDescent="0.35">
      <c r="A101" s="19">
        <v>40</v>
      </c>
      <c r="B101" s="19" t="s">
        <v>4</v>
      </c>
      <c r="C101" s="19">
        <v>1000</v>
      </c>
      <c r="D101" s="19" t="s">
        <v>6</v>
      </c>
      <c r="E101" s="19"/>
      <c r="F101" s="19" t="s">
        <v>238</v>
      </c>
      <c r="G101" s="19" t="s">
        <v>189</v>
      </c>
      <c r="H101" s="19"/>
    </row>
    <row r="102" spans="1:10" x14ac:dyDescent="0.35">
      <c r="A102" s="57" t="s">
        <v>153</v>
      </c>
      <c r="B102" s="58"/>
      <c r="C102" s="58"/>
      <c r="D102" s="9"/>
      <c r="E102" s="9"/>
      <c r="F102" s="9"/>
      <c r="G102" s="9"/>
      <c r="H102" s="9"/>
    </row>
    <row r="103" spans="1:10" x14ac:dyDescent="0.35">
      <c r="A103" s="24" t="s">
        <v>153</v>
      </c>
      <c r="B103" s="24" t="s">
        <v>162</v>
      </c>
      <c r="C103" s="24" t="s">
        <v>163</v>
      </c>
      <c r="D103" s="9"/>
      <c r="E103" s="9"/>
      <c r="F103" s="9"/>
      <c r="G103" s="9"/>
      <c r="H103" s="9"/>
    </row>
    <row r="104" spans="1:10" ht="72.5" x14ac:dyDescent="0.35">
      <c r="A104" s="60" t="s">
        <v>154</v>
      </c>
      <c r="B104" s="61" t="s">
        <v>164</v>
      </c>
      <c r="C104" s="61" t="s">
        <v>164</v>
      </c>
      <c r="D104" s="9"/>
      <c r="E104" s="9"/>
      <c r="F104" s="9"/>
      <c r="G104" s="9"/>
      <c r="H104" s="9"/>
    </row>
    <row r="105" spans="1:10" x14ac:dyDescent="0.35">
      <c r="A105" s="258" t="s">
        <v>242</v>
      </c>
      <c r="B105" s="258"/>
      <c r="C105" s="258"/>
      <c r="D105" s="258"/>
      <c r="E105" s="258"/>
    </row>
    <row r="106" spans="1:10" x14ac:dyDescent="0.35">
      <c r="A106" s="251" t="s">
        <v>220</v>
      </c>
      <c r="B106" s="252"/>
      <c r="C106" s="252"/>
      <c r="D106" s="252"/>
      <c r="E106" s="252"/>
      <c r="F106" s="252"/>
      <c r="G106" s="252"/>
      <c r="H106" s="252"/>
      <c r="I106" s="252"/>
      <c r="J106" s="252"/>
    </row>
    <row r="107" spans="1:10" x14ac:dyDescent="0.35">
      <c r="A107" s="253" t="s">
        <v>222</v>
      </c>
      <c r="B107" s="262" t="s">
        <v>225</v>
      </c>
      <c r="C107" s="263"/>
      <c r="D107" s="263"/>
      <c r="E107" s="264"/>
      <c r="F107" s="262" t="s">
        <v>226</v>
      </c>
      <c r="G107" s="263"/>
      <c r="H107" s="263"/>
      <c r="I107" s="264"/>
      <c r="J107" s="265" t="s">
        <v>224</v>
      </c>
    </row>
    <row r="108" spans="1:10" x14ac:dyDescent="0.35">
      <c r="A108" s="254"/>
      <c r="B108" s="24" t="s">
        <v>187</v>
      </c>
      <c r="C108" s="24" t="s">
        <v>189</v>
      </c>
      <c r="D108" s="24" t="s">
        <v>223</v>
      </c>
      <c r="E108" s="24" t="s">
        <v>229</v>
      </c>
      <c r="F108" s="24" t="s">
        <v>187</v>
      </c>
      <c r="G108" s="24" t="s">
        <v>189</v>
      </c>
      <c r="H108" s="24" t="s">
        <v>223</v>
      </c>
      <c r="I108" s="24" t="s">
        <v>229</v>
      </c>
      <c r="J108" s="266"/>
    </row>
    <row r="109" spans="1:10" x14ac:dyDescent="0.35">
      <c r="A109" s="21"/>
      <c r="B109" s="56">
        <f>E86+C98+C99</f>
        <v>10410.649599999999</v>
      </c>
      <c r="C109" s="56">
        <f>F86+C100+C101</f>
        <v>2052</v>
      </c>
      <c r="D109" s="56">
        <f>B109-C109</f>
        <v>8358.6495999999988</v>
      </c>
      <c r="E109" s="55">
        <f>((B109-C109)/B109*100)</f>
        <v>80.289414408876084</v>
      </c>
      <c r="F109" s="56">
        <f>G86</f>
        <v>0</v>
      </c>
      <c r="G109" s="56">
        <f>H86</f>
        <v>0</v>
      </c>
      <c r="H109" s="56">
        <f>F109-G109</f>
        <v>0</v>
      </c>
      <c r="I109" s="55" t="e">
        <f>((F109-G109)/F109*100)</f>
        <v>#DIV/0!</v>
      </c>
      <c r="J109" s="55" t="e">
        <f>((B109-F109)/F109*100)</f>
        <v>#DIV/0!</v>
      </c>
    </row>
    <row r="110" spans="1:10" x14ac:dyDescent="0.35">
      <c r="A110" s="251" t="s">
        <v>221</v>
      </c>
      <c r="B110" s="252"/>
      <c r="C110" s="252"/>
      <c r="D110" s="252"/>
      <c r="E110" s="252"/>
      <c r="F110" s="252"/>
      <c r="G110" s="252"/>
      <c r="H110" s="252"/>
    </row>
    <row r="111" spans="1:10" x14ac:dyDescent="0.35">
      <c r="A111" s="24" t="s">
        <v>1</v>
      </c>
      <c r="B111" s="24" t="s">
        <v>0</v>
      </c>
      <c r="C111" s="24" t="s">
        <v>204</v>
      </c>
      <c r="D111" s="24" t="s">
        <v>216</v>
      </c>
      <c r="E111" s="24" t="s">
        <v>227</v>
      </c>
      <c r="F111" s="24" t="s">
        <v>228</v>
      </c>
      <c r="G111" s="24" t="s">
        <v>217</v>
      </c>
      <c r="H111" s="24" t="s">
        <v>218</v>
      </c>
    </row>
    <row r="112" spans="1:10" x14ac:dyDescent="0.35">
      <c r="A112" s="21"/>
      <c r="B112" s="23"/>
      <c r="C112" s="21" t="s">
        <v>219</v>
      </c>
      <c r="D112" s="55" t="e">
        <f>((E112-G112)/G112*100)</f>
        <v>#DIV/0!</v>
      </c>
      <c r="E112" s="56">
        <f>E86+C98+C99</f>
        <v>10410.649599999999</v>
      </c>
      <c r="F112" s="56">
        <f>F86+C100+C101</f>
        <v>2052</v>
      </c>
      <c r="G112" s="56">
        <f>G86</f>
        <v>0</v>
      </c>
      <c r="H112" s="56">
        <f>H86</f>
        <v>0</v>
      </c>
    </row>
    <row r="113" spans="1:10" x14ac:dyDescent="0.35">
      <c r="A113" s="74"/>
      <c r="B113" s="75"/>
      <c r="C113" s="75"/>
      <c r="D113" s="75"/>
      <c r="E113" s="76"/>
      <c r="F113" s="75"/>
      <c r="G113" s="75"/>
      <c r="H113" s="75"/>
      <c r="I113" s="76"/>
      <c r="J113" s="76"/>
    </row>
    <row r="114" spans="1:10" x14ac:dyDescent="0.35">
      <c r="A114" s="57" t="s">
        <v>153</v>
      </c>
      <c r="B114" s="58"/>
      <c r="C114" s="58"/>
    </row>
    <row r="115" spans="1:10" x14ac:dyDescent="0.35">
      <c r="A115" s="24" t="s">
        <v>153</v>
      </c>
      <c r="B115" s="24" t="s">
        <v>162</v>
      </c>
      <c r="C115" s="24" t="s">
        <v>163</v>
      </c>
    </row>
    <row r="116" spans="1:10" ht="72.5" x14ac:dyDescent="0.35">
      <c r="A116" s="60" t="s">
        <v>154</v>
      </c>
      <c r="B116" s="61" t="s">
        <v>240</v>
      </c>
      <c r="C116" s="61" t="s">
        <v>240</v>
      </c>
    </row>
  </sheetData>
  <mergeCells count="32">
    <mergeCell ref="A1:J1"/>
    <mergeCell ref="B2:E2"/>
    <mergeCell ref="A6:J6"/>
    <mergeCell ref="A10:H10"/>
    <mergeCell ref="A14:G14"/>
    <mergeCell ref="A20:C20"/>
    <mergeCell ref="H59:M59"/>
    <mergeCell ref="A58:E58"/>
    <mergeCell ref="A24:J24"/>
    <mergeCell ref="A35:K35"/>
    <mergeCell ref="A31:J31"/>
    <mergeCell ref="A53:E53"/>
    <mergeCell ref="A37:D37"/>
    <mergeCell ref="A41:R41"/>
    <mergeCell ref="A45:R45"/>
    <mergeCell ref="A49:E49"/>
    <mergeCell ref="A110:H110"/>
    <mergeCell ref="N59:S59"/>
    <mergeCell ref="A96:H96"/>
    <mergeCell ref="A105:E105"/>
    <mergeCell ref="A106:J106"/>
    <mergeCell ref="A107:A108"/>
    <mergeCell ref="B107:E107"/>
    <mergeCell ref="F107:I107"/>
    <mergeCell ref="J107:J108"/>
    <mergeCell ref="A59:E59"/>
    <mergeCell ref="A84:H84"/>
    <mergeCell ref="A88:J88"/>
    <mergeCell ref="A89:A90"/>
    <mergeCell ref="B89:E89"/>
    <mergeCell ref="F89:I89"/>
    <mergeCell ref="J89:J90"/>
  </mergeCells>
  <dataValidations disablePrompts="1" count="4">
    <dataValidation type="list" allowBlank="1" showInputMessage="1" showErrorMessage="1" sqref="C86 C112">
      <formula1>"APPROVED, PENDING FOR APPROVAL, ERROR, ,"</formula1>
    </dataValidation>
    <dataValidation type="list" allowBlank="1" showInputMessage="1" showErrorMessage="1" sqref="C65 C69 C75 C79 C73 C63 C61 C14 C20 C6">
      <formula1>"Projected,Original,Seasonal,Recommended"</formula1>
    </dataValidation>
    <dataValidation type="list" allowBlank="1" showInputMessage="1" showErrorMessage="1" sqref="C66:C68 C70:C72 C62 C76:C78 C74 C64 C10 C24 C31 C80:C83">
      <formula1>"Proposed,Original,Seasonal,Recommended"</formula1>
    </dataValidation>
    <dataValidation type="list" allowBlank="1" showInputMessage="1" showErrorMessage="1" sqref="L43:N43 N47 N95">
      <formula1>"Yes,No"</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3" sqref="C13"/>
    </sheetView>
  </sheetViews>
  <sheetFormatPr defaultRowHeight="14.5" x14ac:dyDescent="0.35"/>
  <sheetData>
    <row r="1" spans="1:4" x14ac:dyDescent="0.35">
      <c r="A1" s="286"/>
      <c r="B1" s="286"/>
      <c r="C1" s="286"/>
      <c r="D1" s="286"/>
    </row>
    <row r="2" spans="1:4" x14ac:dyDescent="0.35">
      <c r="A2" s="29">
        <v>10000</v>
      </c>
      <c r="B2" s="29">
        <v>20</v>
      </c>
      <c r="C2" s="37">
        <f>B2*A2</f>
        <v>200000</v>
      </c>
    </row>
    <row r="3" spans="1:4" x14ac:dyDescent="0.35">
      <c r="A3" s="29"/>
      <c r="B3" s="29">
        <v>5</v>
      </c>
      <c r="C3" s="29">
        <f>1000*5</f>
        <v>5000</v>
      </c>
    </row>
    <row r="4" spans="1:4" x14ac:dyDescent="0.35">
      <c r="A4" s="29"/>
      <c r="B4" s="29">
        <v>4</v>
      </c>
      <c r="C4" s="29">
        <f>4000*4</f>
        <v>16000</v>
      </c>
    </row>
    <row r="5" spans="1:4" x14ac:dyDescent="0.35">
      <c r="A5" s="29"/>
      <c r="B5" s="29">
        <v>3</v>
      </c>
      <c r="C5" s="29">
        <f>5000*3</f>
        <v>15000</v>
      </c>
    </row>
    <row r="6" spans="1:4" x14ac:dyDescent="0.35">
      <c r="A6" s="29"/>
      <c r="B6" s="29">
        <v>10</v>
      </c>
      <c r="C6" s="29"/>
    </row>
    <row r="7" spans="1:4" x14ac:dyDescent="0.35">
      <c r="A7" s="29"/>
      <c r="B7" s="29">
        <v>8</v>
      </c>
      <c r="C7" s="29"/>
    </row>
    <row r="8" spans="1:4" x14ac:dyDescent="0.35">
      <c r="A8" s="29"/>
      <c r="B8" s="29">
        <v>6</v>
      </c>
      <c r="C8" s="29">
        <f>A2*B8</f>
        <v>60000</v>
      </c>
    </row>
    <row r="9" spans="1:4" x14ac:dyDescent="0.35">
      <c r="A9" s="29"/>
      <c r="B9" s="29"/>
      <c r="C9" s="29">
        <f>SUM(C2:C8)</f>
        <v>296000</v>
      </c>
    </row>
    <row r="10" spans="1:4" x14ac:dyDescent="0.35">
      <c r="A10" s="29"/>
      <c r="B10" s="29"/>
      <c r="C10" s="29">
        <f>(C9*9)/100</f>
        <v>26640</v>
      </c>
    </row>
    <row r="11" spans="1:4" x14ac:dyDescent="0.35">
      <c r="A11" s="29"/>
      <c r="B11" s="29" t="s">
        <v>214</v>
      </c>
      <c r="C11" s="37">
        <v>16000</v>
      </c>
    </row>
    <row r="12" spans="1:4" x14ac:dyDescent="0.35">
      <c r="A12" s="29"/>
      <c r="B12" s="29"/>
      <c r="C12" s="29">
        <f>SUM(C9:C11)</f>
        <v>338640</v>
      </c>
    </row>
    <row r="13" spans="1:4" x14ac:dyDescent="0.35">
      <c r="A13" s="29"/>
      <c r="B13" s="29"/>
      <c r="C13" s="29">
        <f>C12*12</f>
        <v>4063680</v>
      </c>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68"/>
  <sheetViews>
    <sheetView topLeftCell="A111" workbookViewId="0">
      <selection activeCell="D129" sqref="D129"/>
    </sheetView>
  </sheetViews>
  <sheetFormatPr defaultRowHeight="14.5" x14ac:dyDescent="0.35"/>
  <cols>
    <col min="1" max="1" width="28.81640625" bestFit="1" customWidth="1"/>
    <col min="2" max="2" width="20" customWidth="1"/>
    <col min="3" max="3" width="22.81640625" bestFit="1" customWidth="1"/>
    <col min="4" max="4" width="20.81640625" customWidth="1"/>
    <col min="5" max="5" width="18.453125" customWidth="1"/>
    <col min="6" max="6" width="15.81640625" customWidth="1"/>
    <col min="7" max="7" width="17.81640625" customWidth="1"/>
    <col min="8" max="9" width="14.453125" customWidth="1"/>
    <col min="10" max="10" width="14.81640625" customWidth="1"/>
    <col min="11" max="11" width="14.1796875" customWidth="1"/>
    <col min="12" max="12" width="14.81640625" bestFit="1" customWidth="1"/>
    <col min="13" max="13" width="14" customWidth="1"/>
    <col min="14" max="14" width="13.453125" bestFit="1" customWidth="1"/>
    <col min="15" max="15" width="25.1796875" customWidth="1"/>
    <col min="16" max="16" width="34.1796875" customWidth="1"/>
    <col min="17" max="17" width="39.453125" bestFit="1" customWidth="1"/>
    <col min="18" max="18" width="36.453125" customWidth="1"/>
  </cols>
  <sheetData>
    <row r="1" spans="1:118" s="81" customFormat="1" ht="23.5" x14ac:dyDescent="0.35">
      <c r="A1" s="273" t="s">
        <v>247</v>
      </c>
      <c r="B1" s="273"/>
      <c r="C1" s="273"/>
      <c r="D1" s="273"/>
      <c r="E1" s="273"/>
      <c r="F1" s="273"/>
      <c r="G1" s="273"/>
      <c r="H1" s="273"/>
      <c r="I1" s="273"/>
      <c r="J1" s="273"/>
      <c r="L1" s="82"/>
      <c r="N1" s="82"/>
      <c r="O1" s="82"/>
      <c r="P1" s="82"/>
      <c r="Q1" s="82"/>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row>
    <row r="2" spans="1:118" s="85" customFormat="1" ht="18.5" x14ac:dyDescent="0.35">
      <c r="A2" s="84" t="s">
        <v>248</v>
      </c>
      <c r="B2" s="274" t="s">
        <v>249</v>
      </c>
      <c r="C2" s="275"/>
      <c r="D2" s="275"/>
      <c r="E2" s="276"/>
      <c r="F2" s="81"/>
      <c r="G2" s="82"/>
      <c r="H2" s="81"/>
      <c r="I2" s="81"/>
      <c r="L2" s="86"/>
      <c r="V2" s="81"/>
      <c r="AB2" s="81"/>
      <c r="AJ2" s="81"/>
      <c r="BA2" s="81"/>
      <c r="BJ2" s="81"/>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row>
    <row r="3" spans="1:118" ht="15.5" x14ac:dyDescent="0.35">
      <c r="A3" s="88" t="s">
        <v>250</v>
      </c>
      <c r="B3" s="88" t="s">
        <v>0</v>
      </c>
      <c r="C3" s="88" t="s">
        <v>1</v>
      </c>
      <c r="D3" s="5" t="s">
        <v>251</v>
      </c>
      <c r="E3" s="5" t="s">
        <v>252</v>
      </c>
      <c r="F3" s="88" t="s">
        <v>253</v>
      </c>
      <c r="G3" s="88" t="s">
        <v>254</v>
      </c>
    </row>
    <row r="4" spans="1:118" x14ac:dyDescent="0.35">
      <c r="A4" s="89" t="s">
        <v>630</v>
      </c>
      <c r="B4" s="2" t="s">
        <v>6</v>
      </c>
      <c r="C4" s="4" t="s">
        <v>629</v>
      </c>
      <c r="D4" s="4"/>
      <c r="E4" s="4"/>
      <c r="F4" s="3"/>
      <c r="G4" s="90"/>
    </row>
    <row r="6" spans="1:118" s="81" customFormat="1" ht="18.5" x14ac:dyDescent="0.35">
      <c r="A6" s="277" t="s">
        <v>256</v>
      </c>
      <c r="B6" s="277"/>
      <c r="C6" s="277"/>
      <c r="D6" s="277"/>
      <c r="E6" s="277"/>
      <c r="F6" s="277"/>
      <c r="G6" s="277"/>
      <c r="H6" s="277"/>
      <c r="I6" s="277"/>
      <c r="J6" s="277"/>
      <c r="L6" s="82"/>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row>
    <row r="7" spans="1:118" s="81" customFormat="1" ht="77.5" x14ac:dyDescent="0.35">
      <c r="A7" s="91" t="s">
        <v>250</v>
      </c>
      <c r="B7" s="91" t="s">
        <v>1</v>
      </c>
      <c r="C7" s="91" t="s">
        <v>2</v>
      </c>
      <c r="D7" s="91" t="s">
        <v>3</v>
      </c>
      <c r="E7" s="91" t="s">
        <v>257</v>
      </c>
      <c r="F7" s="91" t="s">
        <v>258</v>
      </c>
      <c r="G7" s="92" t="s">
        <v>259</v>
      </c>
      <c r="H7" s="91" t="s">
        <v>260</v>
      </c>
      <c r="I7" s="92" t="s">
        <v>261</v>
      </c>
      <c r="J7" s="92" t="s">
        <v>262</v>
      </c>
      <c r="L7" s="82"/>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c r="BR7" s="85"/>
      <c r="BS7" s="85"/>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row>
    <row r="8" spans="1:118" ht="33.65" customHeight="1" x14ac:dyDescent="0.35">
      <c r="A8" s="89" t="s">
        <v>630</v>
      </c>
      <c r="B8" s="2" t="str">
        <f>C4</f>
        <v>Con_Cust1Auto,IND</v>
      </c>
      <c r="C8" s="2" t="s">
        <v>632</v>
      </c>
      <c r="D8" s="2" t="s">
        <v>5</v>
      </c>
      <c r="E8" s="2" t="s">
        <v>6</v>
      </c>
      <c r="F8" s="2" t="s">
        <v>633</v>
      </c>
      <c r="G8" s="2" t="s">
        <v>4</v>
      </c>
      <c r="H8" s="2" t="s">
        <v>264</v>
      </c>
      <c r="I8" s="2" t="s">
        <v>631</v>
      </c>
      <c r="J8" s="93" t="s">
        <v>265</v>
      </c>
    </row>
    <row r="10" spans="1:118" s="81" customFormat="1" ht="18" customHeight="1" x14ac:dyDescent="0.35">
      <c r="A10" s="277" t="s">
        <v>266</v>
      </c>
      <c r="B10" s="277"/>
      <c r="C10" s="277"/>
      <c r="D10" s="277"/>
      <c r="E10" s="277"/>
      <c r="F10" s="277"/>
      <c r="G10" s="277"/>
      <c r="H10" s="277"/>
      <c r="L10" s="82"/>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c r="DI10" s="83"/>
      <c r="DJ10" s="83"/>
      <c r="DK10" s="83"/>
      <c r="DL10" s="83"/>
    </row>
    <row r="11" spans="1:118" s="81" customFormat="1" ht="18" customHeight="1" x14ac:dyDescent="0.35">
      <c r="A11" s="91" t="s">
        <v>1</v>
      </c>
      <c r="B11" s="92" t="s">
        <v>2</v>
      </c>
      <c r="C11" s="92" t="s">
        <v>267</v>
      </c>
      <c r="D11" s="92" t="s">
        <v>0</v>
      </c>
      <c r="E11" s="91" t="s">
        <v>7</v>
      </c>
      <c r="F11" s="91" t="s">
        <v>268</v>
      </c>
      <c r="G11" s="92" t="s">
        <v>269</v>
      </c>
      <c r="H11" s="91" t="s">
        <v>270</v>
      </c>
      <c r="L11" s="82"/>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c r="DM11" s="83"/>
      <c r="DN11" s="83"/>
    </row>
    <row r="12" spans="1:118" x14ac:dyDescent="0.35">
      <c r="A12" s="94" t="str">
        <f>C4</f>
        <v>Con_Cust1Auto,IND</v>
      </c>
      <c r="B12" s="2" t="s">
        <v>632</v>
      </c>
      <c r="C12" s="7">
        <v>4565319769</v>
      </c>
      <c r="D12" s="2" t="s">
        <v>6</v>
      </c>
      <c r="E12" s="3" t="s">
        <v>8</v>
      </c>
      <c r="F12" s="2" t="s">
        <v>633</v>
      </c>
      <c r="G12" s="3"/>
      <c r="H12" s="2" t="s">
        <v>271</v>
      </c>
      <c r="I12" s="81"/>
    </row>
    <row r="14" spans="1:118" ht="18.5" x14ac:dyDescent="0.35">
      <c r="A14" s="278" t="s">
        <v>272</v>
      </c>
      <c r="B14" s="279"/>
      <c r="C14" s="279"/>
      <c r="D14" s="279"/>
      <c r="E14" s="279"/>
      <c r="F14" s="279"/>
      <c r="G14" s="279"/>
    </row>
    <row r="15" spans="1:118" ht="15.5" x14ac:dyDescent="0.35">
      <c r="A15" s="95" t="s">
        <v>273</v>
      </c>
      <c r="B15" s="95" t="s">
        <v>274</v>
      </c>
      <c r="C15" s="88" t="s">
        <v>9</v>
      </c>
      <c r="D15" s="88" t="s">
        <v>275</v>
      </c>
      <c r="E15" s="88" t="s">
        <v>7</v>
      </c>
      <c r="F15" s="88" t="s">
        <v>0</v>
      </c>
      <c r="G15" s="88" t="s">
        <v>276</v>
      </c>
      <c r="H15" s="88" t="s">
        <v>277</v>
      </c>
      <c r="I15" s="88" t="s">
        <v>278</v>
      </c>
      <c r="J15" s="88" t="s">
        <v>279</v>
      </c>
      <c r="K15" s="88" t="s">
        <v>271</v>
      </c>
      <c r="L15" s="88" t="s">
        <v>280</v>
      </c>
      <c r="M15" s="88" t="s">
        <v>281</v>
      </c>
      <c r="N15" s="88" t="s">
        <v>282</v>
      </c>
      <c r="O15" s="88" t="s">
        <v>283</v>
      </c>
      <c r="P15" s="88" t="s">
        <v>284</v>
      </c>
      <c r="Q15" s="88" t="s">
        <v>285</v>
      </c>
      <c r="R15" s="88" t="s">
        <v>18</v>
      </c>
      <c r="S15" s="88" t="s">
        <v>286</v>
      </c>
      <c r="T15" s="88" t="s">
        <v>622</v>
      </c>
    </row>
    <row r="16" spans="1:118" x14ac:dyDescent="0.35">
      <c r="A16" s="2" t="s">
        <v>287</v>
      </c>
      <c r="B16" s="2" t="s">
        <v>288</v>
      </c>
      <c r="C16" s="2" t="s">
        <v>596</v>
      </c>
      <c r="D16" s="2" t="s">
        <v>607</v>
      </c>
      <c r="E16" s="2" t="s">
        <v>8</v>
      </c>
      <c r="F16" s="2" t="s">
        <v>6</v>
      </c>
      <c r="G16" s="2" t="s">
        <v>290</v>
      </c>
      <c r="H16" s="2">
        <v>10</v>
      </c>
      <c r="I16" s="2" t="s">
        <v>291</v>
      </c>
      <c r="J16" s="2">
        <v>3</v>
      </c>
      <c r="K16" s="2" t="s">
        <v>90</v>
      </c>
      <c r="L16" s="2" t="s">
        <v>374</v>
      </c>
      <c r="M16" s="2" t="s">
        <v>491</v>
      </c>
      <c r="N16" s="2" t="s">
        <v>518</v>
      </c>
      <c r="O16" s="2" t="s">
        <v>292</v>
      </c>
      <c r="P16" s="2" t="s">
        <v>292</v>
      </c>
      <c r="Q16" s="2" t="s">
        <v>293</v>
      </c>
      <c r="R16" s="2" t="s">
        <v>22</v>
      </c>
      <c r="S16" s="2" t="s">
        <v>4</v>
      </c>
      <c r="T16" s="2"/>
      <c r="U16" s="1" t="s">
        <v>176</v>
      </c>
    </row>
    <row r="17" spans="1:115" x14ac:dyDescent="0.35">
      <c r="A17" s="2"/>
      <c r="B17" s="2"/>
      <c r="C17" s="2" t="s">
        <v>597</v>
      </c>
      <c r="D17" s="2" t="s">
        <v>608</v>
      </c>
      <c r="E17" s="2" t="s">
        <v>8</v>
      </c>
      <c r="F17" s="2" t="s">
        <v>6</v>
      </c>
      <c r="G17" s="2" t="s">
        <v>290</v>
      </c>
      <c r="H17" s="2">
        <v>10</v>
      </c>
      <c r="I17" s="2" t="s">
        <v>291</v>
      </c>
      <c r="J17" s="2">
        <v>3</v>
      </c>
      <c r="K17" s="2" t="s">
        <v>90</v>
      </c>
      <c r="L17" s="2" t="s">
        <v>374</v>
      </c>
      <c r="M17" s="2" t="s">
        <v>568</v>
      </c>
      <c r="N17" s="2" t="s">
        <v>523</v>
      </c>
      <c r="O17" s="2" t="s">
        <v>292</v>
      </c>
      <c r="P17" s="2" t="s">
        <v>292</v>
      </c>
      <c r="Q17" s="2" t="s">
        <v>293</v>
      </c>
      <c r="R17" s="2" t="s">
        <v>22</v>
      </c>
      <c r="S17" s="2" t="s">
        <v>4</v>
      </c>
      <c r="T17" s="2"/>
      <c r="U17" s="1" t="s">
        <v>176</v>
      </c>
    </row>
    <row r="18" spans="1:115" x14ac:dyDescent="0.35">
      <c r="A18" s="2"/>
      <c r="B18" s="2"/>
      <c r="C18" s="2" t="s">
        <v>598</v>
      </c>
      <c r="D18" s="2" t="s">
        <v>609</v>
      </c>
      <c r="E18" s="2" t="s">
        <v>8</v>
      </c>
      <c r="F18" s="2" t="s">
        <v>6</v>
      </c>
      <c r="G18" s="2" t="s">
        <v>290</v>
      </c>
      <c r="H18" s="2">
        <v>10</v>
      </c>
      <c r="I18" s="2" t="s">
        <v>291</v>
      </c>
      <c r="J18" s="2">
        <v>3</v>
      </c>
      <c r="K18" s="2" t="s">
        <v>90</v>
      </c>
      <c r="L18" s="2" t="s">
        <v>374</v>
      </c>
      <c r="M18" s="2" t="s">
        <v>521</v>
      </c>
      <c r="N18" s="2" t="s">
        <v>522</v>
      </c>
      <c r="O18" s="2" t="s">
        <v>292</v>
      </c>
      <c r="P18" s="2" t="s">
        <v>292</v>
      </c>
      <c r="Q18" s="2" t="s">
        <v>293</v>
      </c>
      <c r="R18" s="2" t="s">
        <v>22</v>
      </c>
      <c r="S18" s="2" t="s">
        <v>4</v>
      </c>
      <c r="T18" s="2"/>
      <c r="U18" s="1"/>
    </row>
    <row r="19" spans="1:115" x14ac:dyDescent="0.35">
      <c r="A19" s="2"/>
      <c r="B19" s="2"/>
      <c r="C19" s="2" t="s">
        <v>599</v>
      </c>
      <c r="D19" s="2" t="s">
        <v>610</v>
      </c>
      <c r="E19" s="2" t="s">
        <v>8</v>
      </c>
      <c r="F19" s="2" t="s">
        <v>6</v>
      </c>
      <c r="G19" s="2" t="s">
        <v>290</v>
      </c>
      <c r="H19" s="2">
        <v>10</v>
      </c>
      <c r="I19" s="2" t="s">
        <v>291</v>
      </c>
      <c r="J19" s="2">
        <v>3</v>
      </c>
      <c r="K19" s="2" t="s">
        <v>90</v>
      </c>
      <c r="L19" s="2" t="s">
        <v>374</v>
      </c>
      <c r="M19" s="2" t="s">
        <v>519</v>
      </c>
      <c r="N19" s="2" t="s">
        <v>520</v>
      </c>
      <c r="O19" s="2" t="s">
        <v>292</v>
      </c>
      <c r="P19" s="2" t="s">
        <v>292</v>
      </c>
      <c r="Q19" s="2" t="s">
        <v>293</v>
      </c>
      <c r="R19" s="2" t="s">
        <v>22</v>
      </c>
      <c r="S19" s="2" t="s">
        <v>4</v>
      </c>
      <c r="T19" s="2"/>
      <c r="U19" s="1"/>
    </row>
    <row r="20" spans="1:115" x14ac:dyDescent="0.35">
      <c r="A20" s="2"/>
      <c r="B20" s="2"/>
      <c r="C20" s="2" t="s">
        <v>600</v>
      </c>
      <c r="D20" s="2" t="s">
        <v>611</v>
      </c>
      <c r="E20" s="2" t="s">
        <v>8</v>
      </c>
      <c r="F20" s="2" t="s">
        <v>6</v>
      </c>
      <c r="G20" s="2" t="s">
        <v>290</v>
      </c>
      <c r="H20" s="2">
        <v>10</v>
      </c>
      <c r="I20" s="2" t="s">
        <v>291</v>
      </c>
      <c r="J20" s="2">
        <v>3</v>
      </c>
      <c r="K20" s="2" t="s">
        <v>90</v>
      </c>
      <c r="L20" s="2" t="s">
        <v>118</v>
      </c>
      <c r="M20" s="2" t="s">
        <v>491</v>
      </c>
      <c r="N20" s="2" t="s">
        <v>518</v>
      </c>
      <c r="O20" s="2" t="s">
        <v>292</v>
      </c>
      <c r="P20" s="2" t="s">
        <v>292</v>
      </c>
      <c r="Q20" s="2" t="s">
        <v>293</v>
      </c>
      <c r="R20" s="2" t="s">
        <v>22</v>
      </c>
      <c r="S20" s="2" t="s">
        <v>4</v>
      </c>
      <c r="T20" s="2"/>
      <c r="U20" s="1" t="s">
        <v>176</v>
      </c>
    </row>
    <row r="21" spans="1:115" x14ac:dyDescent="0.35">
      <c r="A21" s="2"/>
      <c r="B21" s="2"/>
      <c r="C21" s="2" t="s">
        <v>601</v>
      </c>
      <c r="D21" s="2" t="s">
        <v>612</v>
      </c>
      <c r="E21" s="2" t="s">
        <v>8</v>
      </c>
      <c r="F21" s="2" t="s">
        <v>6</v>
      </c>
      <c r="G21" s="2" t="s">
        <v>290</v>
      </c>
      <c r="H21" s="2">
        <v>10</v>
      </c>
      <c r="I21" s="2" t="s">
        <v>291</v>
      </c>
      <c r="J21" s="2">
        <v>3</v>
      </c>
      <c r="K21" s="2" t="s">
        <v>90</v>
      </c>
      <c r="L21" s="2" t="s">
        <v>118</v>
      </c>
      <c r="M21" s="2" t="s">
        <v>491</v>
      </c>
      <c r="N21" s="2" t="s">
        <v>524</v>
      </c>
      <c r="O21" s="2" t="s">
        <v>292</v>
      </c>
      <c r="P21" s="2" t="s">
        <v>292</v>
      </c>
      <c r="Q21" s="2" t="s">
        <v>293</v>
      </c>
      <c r="R21" s="2" t="s">
        <v>22</v>
      </c>
      <c r="S21" s="2" t="s">
        <v>4</v>
      </c>
      <c r="T21" s="2"/>
      <c r="U21" s="1" t="s">
        <v>176</v>
      </c>
    </row>
    <row r="22" spans="1:115" x14ac:dyDescent="0.35">
      <c r="A22" s="2"/>
      <c r="B22" s="2"/>
      <c r="C22" s="2" t="s">
        <v>602</v>
      </c>
      <c r="D22" s="2" t="s">
        <v>613</v>
      </c>
      <c r="E22" s="2" t="s">
        <v>8</v>
      </c>
      <c r="F22" s="2" t="s">
        <v>6</v>
      </c>
      <c r="G22" s="2" t="s">
        <v>290</v>
      </c>
      <c r="H22" s="2">
        <v>10</v>
      </c>
      <c r="I22" s="2" t="s">
        <v>291</v>
      </c>
      <c r="J22" s="2">
        <v>3</v>
      </c>
      <c r="K22" s="2" t="s">
        <v>90</v>
      </c>
      <c r="L22" s="2" t="s">
        <v>118</v>
      </c>
      <c r="M22" s="2" t="s">
        <v>525</v>
      </c>
      <c r="N22" s="2" t="s">
        <v>526</v>
      </c>
      <c r="O22" s="2" t="s">
        <v>292</v>
      </c>
      <c r="P22" s="2" t="s">
        <v>292</v>
      </c>
      <c r="Q22" s="2" t="s">
        <v>293</v>
      </c>
      <c r="R22" s="2" t="s">
        <v>22</v>
      </c>
      <c r="S22" s="2" t="s">
        <v>4</v>
      </c>
      <c r="T22" s="2"/>
      <c r="U22" s="1"/>
    </row>
    <row r="23" spans="1:115" x14ac:dyDescent="0.35">
      <c r="A23" s="2"/>
      <c r="B23" s="2"/>
      <c r="C23" s="2" t="s">
        <v>603</v>
      </c>
      <c r="D23" s="2" t="s">
        <v>614</v>
      </c>
      <c r="E23" s="2" t="s">
        <v>8</v>
      </c>
      <c r="F23" s="2" t="s">
        <v>6</v>
      </c>
      <c r="G23" s="2" t="s">
        <v>290</v>
      </c>
      <c r="H23" s="2">
        <v>10</v>
      </c>
      <c r="I23" s="2" t="s">
        <v>291</v>
      </c>
      <c r="J23" s="2">
        <v>3</v>
      </c>
      <c r="K23" s="2" t="s">
        <v>90</v>
      </c>
      <c r="L23" s="2" t="s">
        <v>119</v>
      </c>
      <c r="M23" s="2" t="s">
        <v>569</v>
      </c>
      <c r="N23" s="2" t="s">
        <v>527</v>
      </c>
      <c r="O23" s="2" t="s">
        <v>292</v>
      </c>
      <c r="P23" s="2" t="s">
        <v>292</v>
      </c>
      <c r="Q23" s="2" t="s">
        <v>293</v>
      </c>
      <c r="R23" s="2" t="s">
        <v>22</v>
      </c>
      <c r="S23" s="2" t="s">
        <v>4</v>
      </c>
      <c r="T23" s="2"/>
      <c r="U23" s="1"/>
    </row>
    <row r="24" spans="1:115" x14ac:dyDescent="0.35">
      <c r="A24" s="2"/>
      <c r="B24" s="2"/>
      <c r="C24" s="2" t="s">
        <v>604</v>
      </c>
      <c r="D24" s="2" t="s">
        <v>615</v>
      </c>
      <c r="E24" s="2" t="s">
        <v>8</v>
      </c>
      <c r="F24" s="2" t="s">
        <v>6</v>
      </c>
      <c r="G24" s="2" t="s">
        <v>290</v>
      </c>
      <c r="H24" s="2">
        <v>10</v>
      </c>
      <c r="I24" s="2" t="s">
        <v>291</v>
      </c>
      <c r="J24" s="2">
        <v>3</v>
      </c>
      <c r="K24" s="2" t="s">
        <v>90</v>
      </c>
      <c r="L24" s="2" t="s">
        <v>119</v>
      </c>
      <c r="M24" s="2" t="s">
        <v>528</v>
      </c>
      <c r="N24" s="2" t="s">
        <v>491</v>
      </c>
      <c r="O24" s="2" t="s">
        <v>292</v>
      </c>
      <c r="P24" s="2" t="s">
        <v>292</v>
      </c>
      <c r="Q24" s="2" t="s">
        <v>293</v>
      </c>
      <c r="R24" s="2" t="s">
        <v>22</v>
      </c>
      <c r="S24" s="2" t="s">
        <v>4</v>
      </c>
      <c r="T24" s="2"/>
      <c r="U24" s="1"/>
    </row>
    <row r="25" spans="1:115" x14ac:dyDescent="0.35">
      <c r="A25" s="2"/>
      <c r="B25" s="2"/>
      <c r="C25" s="2" t="s">
        <v>623</v>
      </c>
      <c r="D25" s="2" t="s">
        <v>616</v>
      </c>
      <c r="E25" s="2" t="s">
        <v>8</v>
      </c>
      <c r="F25" s="2" t="s">
        <v>6</v>
      </c>
      <c r="G25" s="2" t="s">
        <v>290</v>
      </c>
      <c r="H25" s="2">
        <v>10</v>
      </c>
      <c r="I25" s="2" t="s">
        <v>291</v>
      </c>
      <c r="J25" s="2">
        <v>3</v>
      </c>
      <c r="K25" s="2" t="s">
        <v>90</v>
      </c>
      <c r="L25" s="2" t="s">
        <v>119</v>
      </c>
      <c r="M25" s="2" t="s">
        <v>528</v>
      </c>
      <c r="N25" s="2" t="s">
        <v>529</v>
      </c>
      <c r="O25" s="2" t="s">
        <v>292</v>
      </c>
      <c r="P25" s="2" t="s">
        <v>292</v>
      </c>
      <c r="Q25" s="2" t="s">
        <v>293</v>
      </c>
      <c r="R25" s="2" t="s">
        <v>22</v>
      </c>
      <c r="S25" s="2" t="s">
        <v>4</v>
      </c>
      <c r="T25" s="2"/>
      <c r="U25" s="1"/>
    </row>
    <row r="26" spans="1:115" x14ac:dyDescent="0.35">
      <c r="A26" s="2"/>
      <c r="B26" s="2"/>
      <c r="C26" s="2" t="s">
        <v>605</v>
      </c>
      <c r="D26" s="2" t="s">
        <v>617</v>
      </c>
      <c r="E26" s="2" t="s">
        <v>8</v>
      </c>
      <c r="F26" s="2" t="s">
        <v>6</v>
      </c>
      <c r="G26" s="2" t="s">
        <v>290</v>
      </c>
      <c r="H26" s="2">
        <v>10</v>
      </c>
      <c r="I26" s="2" t="s">
        <v>291</v>
      </c>
      <c r="J26" s="2">
        <v>3</v>
      </c>
      <c r="K26" s="2" t="s">
        <v>90</v>
      </c>
      <c r="L26" s="2" t="s">
        <v>94</v>
      </c>
      <c r="M26" s="2" t="s">
        <v>528</v>
      </c>
      <c r="N26" s="2" t="s">
        <v>530</v>
      </c>
      <c r="O26" s="2" t="s">
        <v>292</v>
      </c>
      <c r="P26" s="2" t="s">
        <v>292</v>
      </c>
      <c r="Q26" s="2" t="s">
        <v>293</v>
      </c>
      <c r="R26" s="2" t="s">
        <v>22</v>
      </c>
      <c r="S26" s="2" t="s">
        <v>4</v>
      </c>
      <c r="T26" s="2"/>
      <c r="U26" s="1" t="s">
        <v>176</v>
      </c>
    </row>
    <row r="27" spans="1:115" x14ac:dyDescent="0.35">
      <c r="A27" s="2"/>
      <c r="B27" s="2"/>
      <c r="C27" s="2" t="s">
        <v>606</v>
      </c>
      <c r="D27" s="2" t="s">
        <v>618</v>
      </c>
      <c r="E27" s="2" t="s">
        <v>8</v>
      </c>
      <c r="F27" s="2" t="s">
        <v>6</v>
      </c>
      <c r="G27" s="2" t="s">
        <v>290</v>
      </c>
      <c r="H27" s="2">
        <v>10</v>
      </c>
      <c r="I27" s="2" t="s">
        <v>291</v>
      </c>
      <c r="J27" s="2">
        <v>3</v>
      </c>
      <c r="K27" s="2" t="s">
        <v>90</v>
      </c>
      <c r="L27" s="2" t="s">
        <v>93</v>
      </c>
      <c r="M27" s="2" t="s">
        <v>491</v>
      </c>
      <c r="N27" s="2" t="s">
        <v>518</v>
      </c>
      <c r="O27" s="2" t="s">
        <v>292</v>
      </c>
      <c r="P27" s="2" t="s">
        <v>292</v>
      </c>
      <c r="Q27" s="2" t="s">
        <v>293</v>
      </c>
      <c r="R27" s="2" t="s">
        <v>22</v>
      </c>
      <c r="S27" s="2" t="s">
        <v>4</v>
      </c>
      <c r="T27" s="2"/>
      <c r="U27" s="1" t="s">
        <v>176</v>
      </c>
    </row>
    <row r="28" spans="1:115" ht="18.5" x14ac:dyDescent="0.35">
      <c r="A28" s="282" t="s">
        <v>309</v>
      </c>
      <c r="B28" s="282"/>
      <c r="C28" s="282"/>
    </row>
    <row r="29" spans="1:115" ht="15.5" x14ac:dyDescent="0.35">
      <c r="A29" s="91" t="s">
        <v>310</v>
      </c>
      <c r="B29" s="91" t="s">
        <v>311</v>
      </c>
      <c r="C29" s="92" t="s">
        <v>312</v>
      </c>
      <c r="D29" s="88" t="s">
        <v>0</v>
      </c>
    </row>
    <row r="30" spans="1:115" x14ac:dyDescent="0.35">
      <c r="A30" s="96" t="s">
        <v>536</v>
      </c>
      <c r="B30" s="2" t="s">
        <v>54</v>
      </c>
      <c r="C30" s="2" t="s">
        <v>315</v>
      </c>
      <c r="D30" s="2" t="s">
        <v>6</v>
      </c>
    </row>
    <row r="32" spans="1:115" s="81" customFormat="1" ht="18" customHeight="1" x14ac:dyDescent="0.35">
      <c r="A32" s="277" t="s">
        <v>317</v>
      </c>
      <c r="B32" s="277"/>
      <c r="C32" s="277"/>
      <c r="D32" s="277"/>
      <c r="E32" s="277"/>
      <c r="F32" s="277"/>
      <c r="G32" s="277"/>
      <c r="H32" s="277"/>
      <c r="I32" s="277"/>
      <c r="J32" s="277"/>
      <c r="O32" s="82"/>
      <c r="P32" s="82"/>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row>
    <row r="33" spans="1:117" s="81" customFormat="1" ht="21" x14ac:dyDescent="0.35">
      <c r="A33" s="91" t="s">
        <v>310</v>
      </c>
      <c r="B33" s="91" t="s">
        <v>311</v>
      </c>
      <c r="C33" s="91" t="s">
        <v>318</v>
      </c>
      <c r="D33" s="97" t="s">
        <v>17</v>
      </c>
      <c r="E33" s="97" t="s">
        <v>55</v>
      </c>
      <c r="F33" s="97" t="s">
        <v>56</v>
      </c>
      <c r="G33" s="97" t="s">
        <v>319</v>
      </c>
      <c r="H33" s="97" t="s">
        <v>320</v>
      </c>
      <c r="I33" s="98" t="s">
        <v>57</v>
      </c>
      <c r="J33" s="99" t="s">
        <v>321</v>
      </c>
      <c r="K33" s="100" t="s">
        <v>322</v>
      </c>
      <c r="L33" s="104" t="s">
        <v>323</v>
      </c>
      <c r="M33" s="105" t="s">
        <v>18</v>
      </c>
      <c r="N33" s="105" t="s">
        <v>324</v>
      </c>
      <c r="O33" s="106" t="s">
        <v>353</v>
      </c>
      <c r="P33" s="106" t="s">
        <v>354</v>
      </c>
      <c r="Q33" s="82"/>
      <c r="R33" s="82"/>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row>
    <row r="34" spans="1:117" s="81" customFormat="1" x14ac:dyDescent="0.35">
      <c r="A34" s="96" t="s">
        <v>624</v>
      </c>
      <c r="B34" s="2" t="s">
        <v>619</v>
      </c>
      <c r="C34" s="2" t="s">
        <v>600</v>
      </c>
      <c r="D34" s="2" t="s">
        <v>21</v>
      </c>
      <c r="E34" s="2" t="s">
        <v>315</v>
      </c>
      <c r="F34" s="2"/>
      <c r="G34" s="2" t="s">
        <v>4</v>
      </c>
      <c r="H34" s="2" t="s">
        <v>325</v>
      </c>
      <c r="I34" s="2" t="s">
        <v>625</v>
      </c>
      <c r="J34" s="2"/>
      <c r="K34" s="2"/>
      <c r="L34" s="101"/>
      <c r="M34" s="2"/>
      <c r="N34" s="105" t="s">
        <v>326</v>
      </c>
      <c r="O34" s="106"/>
      <c r="P34" s="106"/>
      <c r="Q34" s="82"/>
      <c r="R34" s="82"/>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row>
    <row r="35" spans="1:117" s="81" customFormat="1" x14ac:dyDescent="0.35">
      <c r="A35" s="96"/>
      <c r="B35" s="2"/>
      <c r="C35" s="2" t="s">
        <v>601</v>
      </c>
      <c r="D35" s="2" t="s">
        <v>21</v>
      </c>
      <c r="E35" s="2" t="s">
        <v>315</v>
      </c>
      <c r="F35" s="2"/>
      <c r="G35" s="2" t="s">
        <v>4</v>
      </c>
      <c r="H35" s="2" t="s">
        <v>325</v>
      </c>
      <c r="I35" s="96" t="s">
        <v>504</v>
      </c>
      <c r="J35" s="2"/>
      <c r="K35" s="2"/>
      <c r="L35" s="101"/>
      <c r="M35" s="2"/>
      <c r="N35" s="105" t="s">
        <v>326</v>
      </c>
      <c r="O35" s="106"/>
      <c r="P35" s="106"/>
      <c r="Q35" s="82"/>
      <c r="R35" s="82"/>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row>
    <row r="36" spans="1:117" s="81" customFormat="1" x14ac:dyDescent="0.35">
      <c r="A36" s="2"/>
      <c r="B36" s="2"/>
      <c r="C36" s="2" t="s">
        <v>602</v>
      </c>
      <c r="D36" s="2" t="s">
        <v>21</v>
      </c>
      <c r="E36" s="2" t="s">
        <v>315</v>
      </c>
      <c r="F36" s="2"/>
      <c r="G36" s="2" t="s">
        <v>4</v>
      </c>
      <c r="H36" s="2" t="s">
        <v>325</v>
      </c>
      <c r="I36" s="96" t="s">
        <v>530</v>
      </c>
      <c r="J36" s="2"/>
      <c r="K36" s="2"/>
      <c r="L36" s="101"/>
      <c r="M36" s="2"/>
      <c r="N36" s="105" t="s">
        <v>328</v>
      </c>
      <c r="O36" s="106"/>
      <c r="P36" s="106"/>
      <c r="Q36" s="82"/>
      <c r="R36" s="82"/>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row>
    <row r="37" spans="1:117" s="81" customFormat="1" x14ac:dyDescent="0.35">
      <c r="A37" s="2"/>
      <c r="B37" s="2"/>
      <c r="C37" s="2" t="s">
        <v>603</v>
      </c>
      <c r="D37" s="2" t="s">
        <v>21</v>
      </c>
      <c r="E37" s="2" t="s">
        <v>315</v>
      </c>
      <c r="F37" s="2"/>
      <c r="G37" s="2" t="s">
        <v>4</v>
      </c>
      <c r="H37" s="2" t="s">
        <v>325</v>
      </c>
      <c r="I37" s="2" t="s">
        <v>494</v>
      </c>
      <c r="J37" s="2"/>
      <c r="K37" s="2"/>
      <c r="L37" s="101"/>
      <c r="M37" s="2"/>
      <c r="N37" s="105" t="s">
        <v>328</v>
      </c>
      <c r="O37" s="106"/>
      <c r="P37" s="106"/>
      <c r="Q37" s="82"/>
      <c r="R37" s="82"/>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row>
    <row r="38" spans="1:117" s="81" customFormat="1" x14ac:dyDescent="0.35">
      <c r="A38" s="96" t="s">
        <v>627</v>
      </c>
      <c r="B38" s="2" t="s">
        <v>620</v>
      </c>
      <c r="C38" s="2" t="s">
        <v>604</v>
      </c>
      <c r="D38" s="2" t="s">
        <v>21</v>
      </c>
      <c r="E38" s="2" t="s">
        <v>315</v>
      </c>
      <c r="F38" s="2"/>
      <c r="G38" s="2" t="s">
        <v>4</v>
      </c>
      <c r="H38" s="2" t="s">
        <v>325</v>
      </c>
      <c r="I38" s="96" t="s">
        <v>626</v>
      </c>
      <c r="J38" s="2"/>
      <c r="K38" s="2"/>
      <c r="L38" s="101"/>
      <c r="M38" s="2"/>
      <c r="N38" s="105" t="s">
        <v>328</v>
      </c>
      <c r="O38" s="106"/>
      <c r="P38" s="106"/>
      <c r="Q38" s="82"/>
      <c r="R38" s="82"/>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row>
    <row r="39" spans="1:117" s="81" customFormat="1" x14ac:dyDescent="0.35">
      <c r="A39" s="2"/>
      <c r="B39" s="2"/>
      <c r="C39" s="2" t="s">
        <v>623</v>
      </c>
      <c r="D39" s="2" t="s">
        <v>21</v>
      </c>
      <c r="E39" s="2" t="s">
        <v>315</v>
      </c>
      <c r="F39" s="2"/>
      <c r="G39" s="2" t="s">
        <v>4</v>
      </c>
      <c r="H39" s="2" t="s">
        <v>325</v>
      </c>
      <c r="I39" s="96" t="s">
        <v>348</v>
      </c>
      <c r="J39" s="2"/>
      <c r="K39" s="2"/>
      <c r="L39" s="101"/>
      <c r="M39" s="2"/>
      <c r="N39" s="105" t="s">
        <v>326</v>
      </c>
      <c r="O39" s="106"/>
      <c r="P39" s="106"/>
      <c r="Q39" s="82"/>
      <c r="R39" s="82"/>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row>
    <row r="40" spans="1:117" s="81" customFormat="1" x14ac:dyDescent="0.35">
      <c r="A40" s="2" t="s">
        <v>628</v>
      </c>
      <c r="B40" s="2" t="s">
        <v>621</v>
      </c>
      <c r="C40" s="2" t="s">
        <v>605</v>
      </c>
      <c r="D40" s="2" t="s">
        <v>21</v>
      </c>
      <c r="E40" s="2" t="s">
        <v>315</v>
      </c>
      <c r="F40" s="2"/>
      <c r="G40" s="2" t="s">
        <v>4</v>
      </c>
      <c r="H40" s="2" t="s">
        <v>325</v>
      </c>
      <c r="I40" s="96" t="s">
        <v>349</v>
      </c>
      <c r="J40" s="2"/>
      <c r="K40" s="2"/>
      <c r="L40" s="101"/>
      <c r="M40" s="2"/>
      <c r="N40" s="105" t="s">
        <v>326</v>
      </c>
      <c r="O40" s="106" t="s">
        <v>51</v>
      </c>
      <c r="P40" s="106"/>
      <c r="Q40" s="82"/>
      <c r="R40" s="82"/>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row>
    <row r="41" spans="1:117" s="81" customFormat="1" x14ac:dyDescent="0.35">
      <c r="A41" s="2"/>
      <c r="B41" s="2"/>
      <c r="C41" s="2" t="s">
        <v>606</v>
      </c>
      <c r="D41" s="2" t="s">
        <v>21</v>
      </c>
      <c r="E41" s="2" t="s">
        <v>315</v>
      </c>
      <c r="F41" s="2"/>
      <c r="G41" s="2" t="s">
        <v>4</v>
      </c>
      <c r="H41" s="2" t="s">
        <v>325</v>
      </c>
      <c r="I41" s="2" t="s">
        <v>350</v>
      </c>
      <c r="J41" s="2"/>
      <c r="K41" s="2"/>
      <c r="L41" s="101"/>
      <c r="M41" s="2"/>
      <c r="N41" s="105" t="s">
        <v>326</v>
      </c>
      <c r="O41" s="106" t="s">
        <v>4</v>
      </c>
      <c r="P41" s="106"/>
      <c r="Q41" s="82"/>
      <c r="R41" s="82"/>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row>
    <row r="42" spans="1:117" ht="18.5" x14ac:dyDescent="0.35">
      <c r="A42" s="274" t="s">
        <v>334</v>
      </c>
      <c r="B42" s="275"/>
      <c r="C42" s="275"/>
      <c r="D42" s="276"/>
    </row>
    <row r="43" spans="1:117" ht="15.5" x14ac:dyDescent="0.35">
      <c r="A43" s="91" t="s">
        <v>310</v>
      </c>
      <c r="B43" s="91" t="s">
        <v>311</v>
      </c>
      <c r="C43" s="92" t="s">
        <v>335</v>
      </c>
      <c r="D43" s="91" t="s">
        <v>336</v>
      </c>
      <c r="E43" s="88" t="s">
        <v>55</v>
      </c>
    </row>
    <row r="44" spans="1:117" x14ac:dyDescent="0.35">
      <c r="A44" s="96"/>
      <c r="B44" s="2" t="s">
        <v>619</v>
      </c>
      <c r="C44" s="4" t="s">
        <v>87</v>
      </c>
      <c r="D44" s="2" t="s">
        <v>58</v>
      </c>
      <c r="E44" s="2" t="s">
        <v>315</v>
      </c>
    </row>
    <row r="45" spans="1:117" x14ac:dyDescent="0.35">
      <c r="A45" s="96"/>
      <c r="B45" s="2" t="s">
        <v>620</v>
      </c>
      <c r="C45" s="4" t="s">
        <v>87</v>
      </c>
      <c r="D45" s="2" t="s">
        <v>58</v>
      </c>
      <c r="E45" s="2" t="s">
        <v>315</v>
      </c>
    </row>
    <row r="46" spans="1:117" x14ac:dyDescent="0.35">
      <c r="A46" s="2"/>
      <c r="B46" s="2" t="s">
        <v>621</v>
      </c>
      <c r="C46" s="4" t="s">
        <v>87</v>
      </c>
      <c r="D46" s="2" t="s">
        <v>58</v>
      </c>
      <c r="E46" s="2" t="s">
        <v>315</v>
      </c>
    </row>
    <row r="48" spans="1:117" ht="18.5" x14ac:dyDescent="0.35">
      <c r="A48" s="274" t="s">
        <v>337</v>
      </c>
      <c r="B48" s="275"/>
      <c r="C48" s="275"/>
      <c r="D48" s="276"/>
    </row>
    <row r="49" spans="1:18" ht="15.5" x14ac:dyDescent="0.35">
      <c r="A49" s="91" t="s">
        <v>336</v>
      </c>
      <c r="B49" s="92" t="s">
        <v>335</v>
      </c>
      <c r="C49" s="92" t="s">
        <v>59</v>
      </c>
      <c r="D49" s="91" t="s">
        <v>338</v>
      </c>
      <c r="E49" s="91" t="s">
        <v>57</v>
      </c>
      <c r="F49" s="5" t="s">
        <v>18</v>
      </c>
      <c r="G49" s="5"/>
    </row>
    <row r="50" spans="1:18" x14ac:dyDescent="0.35">
      <c r="A50" s="2" t="s">
        <v>58</v>
      </c>
      <c r="B50" s="4" t="s">
        <v>87</v>
      </c>
      <c r="C50" s="4" t="s">
        <v>596</v>
      </c>
      <c r="D50" s="2" t="s">
        <v>21</v>
      </c>
      <c r="E50" s="2" t="s">
        <v>357</v>
      </c>
      <c r="F50" s="2" t="s">
        <v>22</v>
      </c>
      <c r="G50" s="2"/>
    </row>
    <row r="51" spans="1:18" x14ac:dyDescent="0.35">
      <c r="A51" s="2" t="s">
        <v>58</v>
      </c>
      <c r="B51" s="4" t="s">
        <v>87</v>
      </c>
      <c r="C51" s="4" t="s">
        <v>597</v>
      </c>
      <c r="D51" s="2" t="s">
        <v>21</v>
      </c>
      <c r="E51" s="2" t="s">
        <v>121</v>
      </c>
      <c r="F51" s="2" t="s">
        <v>22</v>
      </c>
      <c r="G51" s="2"/>
    </row>
    <row r="52" spans="1:18" x14ac:dyDescent="0.35">
      <c r="A52" s="2" t="s">
        <v>58</v>
      </c>
      <c r="B52" s="4" t="s">
        <v>87</v>
      </c>
      <c r="C52" s="4" t="s">
        <v>598</v>
      </c>
      <c r="D52" s="2" t="s">
        <v>21</v>
      </c>
      <c r="E52" s="2" t="s">
        <v>634</v>
      </c>
      <c r="F52" s="2" t="s">
        <v>22</v>
      </c>
      <c r="G52" s="2"/>
    </row>
    <row r="53" spans="1:18" x14ac:dyDescent="0.35">
      <c r="A53" s="2" t="s">
        <v>58</v>
      </c>
      <c r="B53" s="4" t="s">
        <v>87</v>
      </c>
      <c r="C53" s="4" t="s">
        <v>599</v>
      </c>
      <c r="D53" s="2" t="s">
        <v>21</v>
      </c>
      <c r="E53" s="2" t="s">
        <v>635</v>
      </c>
      <c r="F53" s="2" t="s">
        <v>22</v>
      </c>
      <c r="G53" s="2"/>
    </row>
    <row r="57" spans="1:18" ht="50.5" customHeight="1" x14ac:dyDescent="0.35">
      <c r="A57" s="280" t="s">
        <v>127</v>
      </c>
      <c r="B57" s="280"/>
      <c r="C57" s="280"/>
      <c r="D57" s="280"/>
      <c r="E57" s="280"/>
      <c r="F57" s="280"/>
      <c r="G57" s="280"/>
      <c r="H57" s="280"/>
      <c r="I57" s="280"/>
      <c r="J57" s="280"/>
      <c r="K57" s="280"/>
    </row>
    <row r="59" spans="1:18" ht="16.75" customHeight="1" x14ac:dyDescent="0.35">
      <c r="A59" s="281" t="s">
        <v>122</v>
      </c>
      <c r="B59" s="281"/>
      <c r="C59" s="281"/>
      <c r="D59" s="281"/>
    </row>
    <row r="60" spans="1:18" x14ac:dyDescent="0.35">
      <c r="A60" s="24" t="s">
        <v>123</v>
      </c>
      <c r="B60" s="24" t="s">
        <v>124</v>
      </c>
      <c r="C60" s="24" t="s">
        <v>0</v>
      </c>
      <c r="D60" s="24" t="s">
        <v>125</v>
      </c>
    </row>
    <row r="61" spans="1:18" x14ac:dyDescent="0.35">
      <c r="A61" s="3"/>
      <c r="B61" s="89"/>
      <c r="C61" s="6"/>
      <c r="D61" s="4"/>
    </row>
    <row r="63" spans="1:18" x14ac:dyDescent="0.35">
      <c r="A63" s="249" t="s">
        <v>129</v>
      </c>
      <c r="B63" s="250"/>
      <c r="C63" s="250"/>
      <c r="D63" s="250"/>
      <c r="E63" s="250"/>
      <c r="F63" s="250"/>
      <c r="G63" s="250"/>
      <c r="H63" s="250"/>
      <c r="I63" s="250"/>
      <c r="J63" s="250"/>
      <c r="K63" s="250"/>
      <c r="L63" s="250"/>
      <c r="M63" s="250"/>
      <c r="N63" s="250"/>
      <c r="O63" s="250"/>
      <c r="P63" s="250"/>
      <c r="Q63" s="250"/>
      <c r="R63" s="250"/>
    </row>
    <row r="64" spans="1:18" x14ac:dyDescent="0.35">
      <c r="A64" s="24" t="s">
        <v>130</v>
      </c>
      <c r="B64" s="24" t="s">
        <v>131</v>
      </c>
      <c r="C64" s="24" t="s">
        <v>132</v>
      </c>
      <c r="D64" s="24" t="s">
        <v>133</v>
      </c>
      <c r="E64" s="24" t="s">
        <v>134</v>
      </c>
      <c r="F64" s="24" t="s">
        <v>135</v>
      </c>
      <c r="G64" s="24" t="s">
        <v>136</v>
      </c>
      <c r="H64" s="24" t="s">
        <v>137</v>
      </c>
      <c r="I64" s="24" t="s">
        <v>138</v>
      </c>
      <c r="J64" s="24" t="s">
        <v>139</v>
      </c>
      <c r="K64" s="24" t="s">
        <v>140</v>
      </c>
      <c r="L64" s="24" t="s">
        <v>141</v>
      </c>
      <c r="M64" s="24" t="s">
        <v>142</v>
      </c>
      <c r="N64" s="24" t="s">
        <v>143</v>
      </c>
      <c r="O64" s="24" t="s">
        <v>144</v>
      </c>
      <c r="P64" s="24" t="s">
        <v>145</v>
      </c>
      <c r="Q64" s="24" t="s">
        <v>145</v>
      </c>
      <c r="R64" s="24" t="s">
        <v>152</v>
      </c>
    </row>
    <row r="65" spans="1:18" x14ac:dyDescent="0.35">
      <c r="A65" s="21"/>
      <c r="B65" s="22"/>
      <c r="C65" s="23"/>
      <c r="D65" s="21"/>
      <c r="E65" s="11"/>
      <c r="F65" s="11"/>
      <c r="G65" s="21"/>
      <c r="H65" s="21"/>
      <c r="I65" s="21"/>
      <c r="J65" s="21"/>
      <c r="K65" s="21"/>
      <c r="L65" s="21"/>
      <c r="M65" s="21"/>
      <c r="N65" s="21"/>
      <c r="O65" s="21"/>
      <c r="P65" s="21"/>
      <c r="Q65" s="21"/>
      <c r="R65" s="21"/>
    </row>
    <row r="67" spans="1:18" x14ac:dyDescent="0.35">
      <c r="A67" s="249" t="s">
        <v>153</v>
      </c>
      <c r="B67" s="250"/>
      <c r="C67" s="250"/>
      <c r="D67" s="250"/>
      <c r="E67" s="250"/>
      <c r="F67" s="250"/>
      <c r="G67" s="250"/>
      <c r="H67" s="250"/>
      <c r="I67" s="250"/>
      <c r="J67" s="250"/>
      <c r="K67" s="250"/>
      <c r="L67" s="250"/>
      <c r="M67" s="250"/>
      <c r="N67" s="250"/>
      <c r="O67" s="250"/>
      <c r="P67" s="250"/>
      <c r="Q67" s="250"/>
      <c r="R67" s="250"/>
    </row>
    <row r="68" spans="1:18" x14ac:dyDescent="0.35">
      <c r="A68" s="24" t="s">
        <v>153</v>
      </c>
      <c r="B68" s="24" t="s">
        <v>162</v>
      </c>
      <c r="C68" s="24" t="s">
        <v>163</v>
      </c>
      <c r="D68" s="24" t="s">
        <v>131</v>
      </c>
      <c r="E68" s="24" t="s">
        <v>132</v>
      </c>
      <c r="F68" s="24" t="s">
        <v>133</v>
      </c>
      <c r="G68" s="24" t="s">
        <v>134</v>
      </c>
      <c r="H68" s="24" t="s">
        <v>158</v>
      </c>
      <c r="I68" s="24" t="s">
        <v>159</v>
      </c>
      <c r="J68" s="24" t="s">
        <v>55</v>
      </c>
      <c r="K68" s="24" t="s">
        <v>56</v>
      </c>
      <c r="L68" s="24" t="s">
        <v>160</v>
      </c>
      <c r="M68" s="24" t="s">
        <v>161</v>
      </c>
      <c r="N68" s="24"/>
      <c r="O68" s="24"/>
      <c r="P68" s="24"/>
      <c r="Q68" s="24"/>
      <c r="R68" s="24"/>
    </row>
    <row r="69" spans="1:18" x14ac:dyDescent="0.35">
      <c r="A69" s="26"/>
      <c r="B69" s="27"/>
      <c r="C69" s="27"/>
      <c r="D69" s="27"/>
      <c r="E69" s="23"/>
      <c r="F69" s="21"/>
      <c r="G69" s="11"/>
      <c r="H69" s="11"/>
      <c r="I69" s="21"/>
      <c r="J69" s="21"/>
      <c r="K69" s="21"/>
      <c r="L69" s="21"/>
      <c r="M69" s="21"/>
      <c r="N69" s="21"/>
      <c r="O69" s="21"/>
      <c r="P69" s="21"/>
      <c r="Q69" s="21"/>
      <c r="R69" s="21"/>
    </row>
    <row r="71" spans="1:18" x14ac:dyDescent="0.35">
      <c r="A71" s="249" t="s">
        <v>165</v>
      </c>
      <c r="B71" s="250"/>
      <c r="C71" s="250"/>
      <c r="D71" s="250"/>
      <c r="E71" s="250"/>
    </row>
    <row r="72" spans="1:18" x14ac:dyDescent="0.35">
      <c r="A72" s="28" t="s">
        <v>166</v>
      </c>
      <c r="B72" s="28" t="s">
        <v>167</v>
      </c>
      <c r="C72" s="28" t="s">
        <v>55</v>
      </c>
      <c r="D72" s="28" t="s">
        <v>56</v>
      </c>
      <c r="E72" s="25" t="s">
        <v>168</v>
      </c>
    </row>
    <row r="73" spans="1:18" x14ac:dyDescent="0.35">
      <c r="A73" s="96" t="s">
        <v>624</v>
      </c>
      <c r="B73" s="96">
        <v>1</v>
      </c>
      <c r="C73" s="11">
        <f>E65</f>
        <v>0</v>
      </c>
      <c r="D73" s="3"/>
      <c r="E73" s="3"/>
    </row>
    <row r="74" spans="1:18" x14ac:dyDescent="0.35">
      <c r="A74" s="96" t="s">
        <v>627</v>
      </c>
      <c r="B74" s="96">
        <v>2</v>
      </c>
      <c r="C74" s="11">
        <f>E65</f>
        <v>0</v>
      </c>
      <c r="D74" s="3"/>
      <c r="E74" s="3"/>
    </row>
    <row r="75" spans="1:18" x14ac:dyDescent="0.35">
      <c r="A75" s="2" t="s">
        <v>628</v>
      </c>
      <c r="B75" s="96">
        <v>3</v>
      </c>
      <c r="C75" s="11">
        <f>E65</f>
        <v>0</v>
      </c>
      <c r="D75" s="3"/>
      <c r="E75" s="3"/>
    </row>
    <row r="77" spans="1:18" x14ac:dyDescent="0.35">
      <c r="A77" s="249" t="s">
        <v>170</v>
      </c>
      <c r="B77" s="250"/>
      <c r="C77" s="250"/>
      <c r="D77" s="250"/>
      <c r="E77" s="250"/>
    </row>
    <row r="78" spans="1:18" x14ac:dyDescent="0.35">
      <c r="A78" s="28" t="s">
        <v>169</v>
      </c>
      <c r="B78" s="28" t="s">
        <v>172</v>
      </c>
      <c r="C78" s="28" t="s">
        <v>175</v>
      </c>
      <c r="D78" s="28" t="s">
        <v>177</v>
      </c>
      <c r="E78" s="25"/>
      <c r="K78" s="48"/>
    </row>
    <row r="79" spans="1:18" ht="43.5" x14ac:dyDescent="0.35">
      <c r="A79" s="6"/>
      <c r="B79" s="3" t="s">
        <v>171</v>
      </c>
      <c r="C79" s="11" t="s">
        <v>176</v>
      </c>
      <c r="D79" s="200" t="s">
        <v>636</v>
      </c>
      <c r="E79" s="3"/>
    </row>
    <row r="80" spans="1:18" x14ac:dyDescent="0.35">
      <c r="A80" s="6"/>
      <c r="B80" s="3" t="s">
        <v>173</v>
      </c>
      <c r="C80" s="11" t="s">
        <v>176</v>
      </c>
      <c r="D80" s="3" t="s">
        <v>637</v>
      </c>
      <c r="E80" s="3"/>
    </row>
    <row r="82" spans="1:18" x14ac:dyDescent="0.35">
      <c r="A82" s="258" t="s">
        <v>241</v>
      </c>
      <c r="B82" s="258"/>
      <c r="C82" s="258"/>
      <c r="D82" s="258"/>
      <c r="E82" s="258"/>
    </row>
    <row r="83" spans="1:18" x14ac:dyDescent="0.35">
      <c r="A83" s="249" t="s">
        <v>182</v>
      </c>
      <c r="B83" s="250"/>
      <c r="C83" s="250"/>
      <c r="D83" s="250"/>
      <c r="E83" s="250"/>
    </row>
    <row r="84" spans="1:18" x14ac:dyDescent="0.35">
      <c r="A84" s="199" t="s">
        <v>183</v>
      </c>
      <c r="B84" s="199" t="s">
        <v>44</v>
      </c>
      <c r="C84" s="199" t="s">
        <v>191</v>
      </c>
      <c r="D84" s="42" t="s">
        <v>199</v>
      </c>
      <c r="E84" s="42" t="s">
        <v>200</v>
      </c>
      <c r="F84" s="42" t="s">
        <v>57</v>
      </c>
      <c r="G84" s="199" t="s">
        <v>184</v>
      </c>
      <c r="H84" s="199" t="s">
        <v>185</v>
      </c>
      <c r="I84" s="42" t="s">
        <v>18</v>
      </c>
      <c r="J84" s="42" t="s">
        <v>186</v>
      </c>
      <c r="K84" s="42" t="s">
        <v>187</v>
      </c>
      <c r="L84" s="42" t="s">
        <v>188</v>
      </c>
      <c r="M84" s="42" t="s">
        <v>189</v>
      </c>
      <c r="N84" s="42" t="s">
        <v>206</v>
      </c>
      <c r="O84" s="42" t="s">
        <v>203</v>
      </c>
      <c r="P84" s="42" t="s">
        <v>204</v>
      </c>
      <c r="Q84" s="42" t="s">
        <v>205</v>
      </c>
      <c r="R84" s="42" t="s">
        <v>190</v>
      </c>
    </row>
    <row r="85" spans="1:18" x14ac:dyDescent="0.35">
      <c r="A85" s="49" t="s">
        <v>192</v>
      </c>
      <c r="B85" s="49"/>
      <c r="C85" s="49" t="s">
        <v>201</v>
      </c>
      <c r="D85" s="49"/>
      <c r="E85" s="49"/>
      <c r="F85" s="49"/>
      <c r="G85" s="49"/>
      <c r="H85" s="49"/>
      <c r="I85" s="49"/>
      <c r="J85" s="50">
        <f>J87+J105+J119</f>
        <v>336009</v>
      </c>
      <c r="K85" s="51">
        <f>SUMIFS(K87:K152,C87:C152,C85,A87:A152,"*"&amp;"DE_"&amp;"*")</f>
        <v>6753624.7800000003</v>
      </c>
      <c r="L85" s="49"/>
      <c r="M85" s="51">
        <f>SUMIFS(M87:M152,C87:C152,C85,A87:A152,"*"&amp;"DE_"&amp;"*")</f>
        <v>1008157</v>
      </c>
      <c r="N85" s="49"/>
      <c r="O85" s="49"/>
      <c r="P85" s="49"/>
      <c r="Q85" s="49"/>
      <c r="R85" s="49" t="s">
        <v>552</v>
      </c>
    </row>
    <row r="86" spans="1:18" x14ac:dyDescent="0.35">
      <c r="A86" s="49" t="s">
        <v>192</v>
      </c>
      <c r="B86" s="49"/>
      <c r="C86" s="49" t="s">
        <v>196</v>
      </c>
      <c r="D86" s="49"/>
      <c r="E86" s="49"/>
      <c r="F86" s="49"/>
      <c r="G86" s="49"/>
      <c r="H86" s="49"/>
      <c r="I86" s="49"/>
      <c r="J86" s="50">
        <f>(J88+J106+J120)</f>
        <v>336000</v>
      </c>
      <c r="K86" s="51">
        <f>SUMIFS(K87:K152,C87:C152,C86,A87:A152,"*"&amp;"DE_"&amp;"*")</f>
        <v>648000</v>
      </c>
      <c r="L86" s="49"/>
      <c r="M86" s="51">
        <f>SUMIFS(M87:M152,C87:C152,C86,A87:A152,"*"&amp;"DE_"&amp;"*")</f>
        <v>144010</v>
      </c>
      <c r="N86" s="49"/>
      <c r="O86" s="49"/>
      <c r="P86" s="49"/>
      <c r="Q86" s="49"/>
      <c r="R86" s="49"/>
    </row>
    <row r="87" spans="1:18" x14ac:dyDescent="0.35">
      <c r="A87" s="52" t="s">
        <v>193</v>
      </c>
      <c r="B87" s="52"/>
      <c r="C87" s="52" t="s">
        <v>201</v>
      </c>
      <c r="D87" s="52"/>
      <c r="E87" s="52"/>
      <c r="F87" s="52"/>
      <c r="G87" s="52"/>
      <c r="H87" s="52"/>
      <c r="I87" s="52"/>
      <c r="J87" s="53">
        <f>SUMIFS(J89:J102,C89:C102,C87)</f>
        <v>48001</v>
      </c>
      <c r="K87" s="54">
        <f>SUMIFS(K89:K104,C89:C104,C87)</f>
        <v>657717.19999999995</v>
      </c>
      <c r="L87" s="52"/>
      <c r="M87" s="54">
        <f>SUMIFS(M89:M104,C89:C104,C87)</f>
        <v>144023</v>
      </c>
      <c r="N87" s="52"/>
      <c r="O87" s="52"/>
      <c r="P87" s="52"/>
      <c r="Q87" s="52"/>
      <c r="R87" s="52" t="s">
        <v>551</v>
      </c>
    </row>
    <row r="88" spans="1:18" x14ac:dyDescent="0.35">
      <c r="A88" s="52" t="s">
        <v>193</v>
      </c>
      <c r="B88" s="52"/>
      <c r="C88" s="52" t="s">
        <v>196</v>
      </c>
      <c r="D88" s="52"/>
      <c r="E88" s="52"/>
      <c r="F88" s="52"/>
      <c r="G88" s="52"/>
      <c r="H88" s="52"/>
      <c r="I88" s="52"/>
      <c r="J88" s="53">
        <f>SUMIFS(J89:J102,C89:C102,C88)</f>
        <v>48000</v>
      </c>
      <c r="K88" s="54">
        <f>SUMIFS(K89:K104,C89:C104,C88)</f>
        <v>648000</v>
      </c>
      <c r="L88" s="52"/>
      <c r="M88" s="54">
        <f>SUMIFS(M89:M104,C89:C104,C88)</f>
        <v>144010</v>
      </c>
      <c r="N88" s="52"/>
      <c r="O88" s="52"/>
      <c r="P88" s="52"/>
      <c r="Q88" s="52"/>
      <c r="R88" s="52"/>
    </row>
    <row r="89" spans="1:18" x14ac:dyDescent="0.35">
      <c r="A89" s="59" t="s">
        <v>100</v>
      </c>
      <c r="B89" s="8"/>
      <c r="C89" s="30" t="s">
        <v>201</v>
      </c>
      <c r="D89" s="30"/>
      <c r="E89" s="30"/>
      <c r="F89" s="30">
        <v>13.5</v>
      </c>
      <c r="G89" s="30" t="str">
        <f>CONCATENATE("USD,FLAT ",TEXT(F89,"0.00"))</f>
        <v>USD,FLAT 13.50</v>
      </c>
      <c r="H89" s="36">
        <f>K89/J89</f>
        <v>13.5</v>
      </c>
      <c r="I89" s="30" t="s">
        <v>22</v>
      </c>
      <c r="J89" s="32">
        <v>48000</v>
      </c>
      <c r="K89" s="36">
        <f>J89*F89</f>
        <v>648000</v>
      </c>
      <c r="L89" s="30" t="str">
        <f>TEXT(IFERROR(((K89-K90)/K90*100),"0.00"),"0.00")</f>
        <v>0.00</v>
      </c>
      <c r="M89" s="36">
        <f>(10+J89*3)</f>
        <v>144010</v>
      </c>
      <c r="N89" s="30"/>
      <c r="O89" s="30" t="s">
        <v>171</v>
      </c>
      <c r="P89" s="30" t="s">
        <v>546</v>
      </c>
      <c r="Q89" s="30" t="s">
        <v>547</v>
      </c>
      <c r="R89" s="30" t="s">
        <v>550</v>
      </c>
    </row>
    <row r="90" spans="1:18" x14ac:dyDescent="0.35">
      <c r="A90" s="8"/>
      <c r="B90" s="8"/>
      <c r="C90" s="33" t="s">
        <v>196</v>
      </c>
      <c r="D90" s="33"/>
      <c r="E90" s="33"/>
      <c r="F90" s="33">
        <v>13.5</v>
      </c>
      <c r="G90" s="33" t="str">
        <f>CONCATENATE("USD,FLAT ",TEXT(F90,"0.00"))</f>
        <v>USD,FLAT 13.50</v>
      </c>
      <c r="H90" s="38">
        <f>IFERROR(K90/J90,"0")</f>
        <v>13.5</v>
      </c>
      <c r="I90" s="33" t="s">
        <v>22</v>
      </c>
      <c r="J90" s="34">
        <v>48000</v>
      </c>
      <c r="K90" s="38">
        <f>J90*F90</f>
        <v>648000</v>
      </c>
      <c r="L90" s="33"/>
      <c r="M90" s="38">
        <f>(10+J90*3)</f>
        <v>144010</v>
      </c>
      <c r="N90" s="33"/>
      <c r="O90" s="33"/>
      <c r="P90" s="33"/>
      <c r="Q90" s="33"/>
      <c r="R90" s="33"/>
    </row>
    <row r="91" spans="1:18" hidden="1" x14ac:dyDescent="0.35">
      <c r="A91" s="8"/>
      <c r="B91" s="8"/>
      <c r="C91" s="43" t="s">
        <v>197</v>
      </c>
      <c r="D91" s="43"/>
      <c r="E91" s="43"/>
      <c r="F91" s="43"/>
      <c r="G91" s="43"/>
      <c r="H91" s="43"/>
      <c r="I91" s="43"/>
      <c r="J91" s="43"/>
      <c r="K91" s="43"/>
      <c r="L91" s="43"/>
      <c r="M91" s="43"/>
      <c r="N91" s="43"/>
      <c r="O91" s="43"/>
      <c r="P91" s="43"/>
      <c r="Q91" s="43"/>
      <c r="R91" s="43"/>
    </row>
    <row r="92" spans="1:18" hidden="1" x14ac:dyDescent="0.35">
      <c r="A92" s="8"/>
      <c r="B92" s="8"/>
      <c r="C92" s="44" t="s">
        <v>198</v>
      </c>
      <c r="D92" s="44"/>
      <c r="E92" s="44"/>
      <c r="F92" s="44"/>
      <c r="G92" s="44"/>
      <c r="H92" s="44"/>
      <c r="I92" s="44"/>
      <c r="J92" s="44"/>
      <c r="K92" s="44"/>
      <c r="L92" s="44"/>
      <c r="M92" s="44"/>
      <c r="N92" s="44"/>
      <c r="O92" s="44"/>
      <c r="P92" s="44"/>
      <c r="Q92" s="44"/>
      <c r="R92" s="44"/>
    </row>
    <row r="93" spans="1:18" x14ac:dyDescent="0.35">
      <c r="A93" s="59" t="s">
        <v>101</v>
      </c>
      <c r="B93" s="8"/>
      <c r="C93" s="30" t="s">
        <v>201</v>
      </c>
      <c r="D93" s="30"/>
      <c r="E93" s="30"/>
      <c r="F93" s="30">
        <v>9.9499999999999993</v>
      </c>
      <c r="G93" s="30" t="str">
        <f>CONCATENATE("USD,FLAT ",TEXT(F93,"0.00"))</f>
        <v>USD,FLAT 9.95</v>
      </c>
      <c r="H93" s="36">
        <f>K93/J93</f>
        <v>9.9499999999999993</v>
      </c>
      <c r="I93" s="30" t="s">
        <v>22</v>
      </c>
      <c r="J93" s="32">
        <v>1</v>
      </c>
      <c r="K93" s="36">
        <f>J93*F93</f>
        <v>9.9499999999999993</v>
      </c>
      <c r="L93" s="30" t="str">
        <f>TEXT(IFERROR(((K93-K94)/K94*100),"0.00"),"0.00")</f>
        <v>0.00</v>
      </c>
      <c r="M93" s="36">
        <f>(10+J93*3)</f>
        <v>13</v>
      </c>
      <c r="N93" s="30"/>
      <c r="O93" s="30" t="s">
        <v>171</v>
      </c>
      <c r="P93" s="30" t="s">
        <v>546</v>
      </c>
      <c r="Q93" s="30" t="s">
        <v>547</v>
      </c>
      <c r="R93" s="30"/>
    </row>
    <row r="94" spans="1:18" x14ac:dyDescent="0.35">
      <c r="A94" s="8"/>
      <c r="B94" s="8"/>
      <c r="C94" s="33" t="s">
        <v>196</v>
      </c>
      <c r="D94" s="33"/>
      <c r="E94" s="33"/>
      <c r="F94" s="33">
        <v>9.9499999999999993</v>
      </c>
      <c r="G94" s="33" t="str">
        <f>CONCATENATE("USD,FLAT ",TEXT(F94,"0.00"))</f>
        <v>USD,FLAT 9.95</v>
      </c>
      <c r="H94" s="38" t="str">
        <f>IFERROR(K94/J94,"0")</f>
        <v>0</v>
      </c>
      <c r="I94" s="33"/>
      <c r="J94" s="34"/>
      <c r="K94" s="38">
        <f>J94*F94</f>
        <v>0</v>
      </c>
      <c r="L94" s="33"/>
      <c r="M94" s="38"/>
      <c r="N94" s="33"/>
      <c r="O94" s="33"/>
      <c r="P94" s="33"/>
      <c r="Q94" s="33"/>
      <c r="R94" s="33"/>
    </row>
    <row r="95" spans="1:18" hidden="1" x14ac:dyDescent="0.35">
      <c r="A95" s="8"/>
      <c r="B95" s="8"/>
      <c r="C95" s="43" t="s">
        <v>197</v>
      </c>
      <c r="D95" s="43"/>
      <c r="E95" s="43"/>
      <c r="F95" s="43"/>
      <c r="G95" s="43"/>
      <c r="H95" s="43"/>
      <c r="I95" s="43"/>
      <c r="J95" s="43"/>
      <c r="K95" s="43"/>
      <c r="L95" s="43"/>
      <c r="M95" s="43"/>
      <c r="N95" s="43"/>
      <c r="O95" s="43"/>
      <c r="P95" s="43"/>
      <c r="Q95" s="43"/>
      <c r="R95" s="43"/>
    </row>
    <row r="96" spans="1:18" hidden="1" x14ac:dyDescent="0.35">
      <c r="A96" s="8"/>
      <c r="B96" s="8"/>
      <c r="C96" s="44" t="s">
        <v>198</v>
      </c>
      <c r="D96" s="44"/>
      <c r="E96" s="44"/>
      <c r="F96" s="44"/>
      <c r="G96" s="44"/>
      <c r="H96" s="44"/>
      <c r="I96" s="44"/>
      <c r="J96" s="44"/>
      <c r="K96" s="44"/>
      <c r="L96" s="44"/>
      <c r="M96" s="44"/>
      <c r="N96" s="44"/>
      <c r="O96" s="44"/>
      <c r="P96" s="44"/>
      <c r="Q96" s="44"/>
      <c r="R96" s="44"/>
    </row>
    <row r="97" spans="1:18" x14ac:dyDescent="0.35">
      <c r="A97" s="59" t="s">
        <v>207</v>
      </c>
      <c r="B97" s="8"/>
      <c r="C97" s="30" t="s">
        <v>201</v>
      </c>
      <c r="D97" s="30"/>
      <c r="E97" s="30"/>
      <c r="F97" s="30">
        <v>112.04</v>
      </c>
      <c r="G97" s="30" t="str">
        <f>CONCATENATE("USD,FLAT ",TEXT(F97,"0.00"))</f>
        <v>USD,FLAT 112.04</v>
      </c>
      <c r="H97" s="36">
        <f>F97</f>
        <v>112.04</v>
      </c>
      <c r="I97" s="30"/>
      <c r="J97" s="32"/>
      <c r="K97" s="36">
        <f>(F97*5*5)</f>
        <v>2801</v>
      </c>
      <c r="L97" s="30" t="str">
        <f>TEXT(IFERROR(((K97-K98)/K98*100),"0.00"),"0.00")</f>
        <v>0.00</v>
      </c>
      <c r="M97" s="36">
        <v>0</v>
      </c>
      <c r="N97" s="35" t="s">
        <v>54</v>
      </c>
      <c r="O97" s="30" t="s">
        <v>213</v>
      </c>
      <c r="P97" s="30" t="s">
        <v>548</v>
      </c>
      <c r="Q97" s="30"/>
      <c r="R97" s="30"/>
    </row>
    <row r="98" spans="1:18" x14ac:dyDescent="0.35">
      <c r="A98" s="8"/>
      <c r="B98" s="8"/>
      <c r="C98" s="33" t="s">
        <v>196</v>
      </c>
      <c r="D98" s="33"/>
      <c r="E98" s="33"/>
      <c r="F98" s="33"/>
      <c r="G98" s="33"/>
      <c r="H98" s="38"/>
      <c r="I98" s="33"/>
      <c r="J98" s="34"/>
      <c r="K98" s="38"/>
      <c r="L98" s="33"/>
      <c r="M98" s="38"/>
      <c r="N98" s="33"/>
      <c r="O98" s="33"/>
      <c r="P98" s="33"/>
      <c r="Q98" s="33"/>
      <c r="R98" s="33"/>
    </row>
    <row r="99" spans="1:18" hidden="1" x14ac:dyDescent="0.35">
      <c r="A99" s="8"/>
      <c r="B99" s="8"/>
      <c r="C99" s="43" t="s">
        <v>197</v>
      </c>
      <c r="D99" s="43"/>
      <c r="E99" s="43"/>
      <c r="F99" s="43"/>
      <c r="G99" s="43"/>
      <c r="H99" s="43"/>
      <c r="I99" s="43"/>
      <c r="J99" s="43"/>
      <c r="K99" s="43"/>
      <c r="L99" s="43"/>
      <c r="M99" s="43"/>
      <c r="N99" s="43"/>
      <c r="O99" s="43"/>
      <c r="P99" s="43"/>
      <c r="Q99" s="43"/>
      <c r="R99" s="43"/>
    </row>
    <row r="100" spans="1:18" hidden="1" x14ac:dyDescent="0.35">
      <c r="A100" s="8"/>
      <c r="B100" s="8"/>
      <c r="C100" s="44" t="s">
        <v>198</v>
      </c>
      <c r="D100" s="44"/>
      <c r="E100" s="44"/>
      <c r="F100" s="44"/>
      <c r="G100" s="44"/>
      <c r="H100" s="44"/>
      <c r="I100" s="44"/>
      <c r="J100" s="44"/>
      <c r="K100" s="44"/>
      <c r="L100" s="44"/>
      <c r="M100" s="44"/>
      <c r="N100" s="44"/>
      <c r="O100" s="44"/>
      <c r="P100" s="44"/>
      <c r="Q100" s="44"/>
      <c r="R100" s="44"/>
    </row>
    <row r="101" spans="1:18" x14ac:dyDescent="0.35">
      <c r="A101" s="59" t="s">
        <v>102</v>
      </c>
      <c r="B101" s="8"/>
      <c r="C101" s="30" t="s">
        <v>201</v>
      </c>
      <c r="D101" s="30"/>
      <c r="E101" s="30"/>
      <c r="F101" s="30">
        <v>276.25</v>
      </c>
      <c r="G101" s="30" t="str">
        <f>CONCATENATE("USD,FLAT ",TEXT(F101,"0.00"))</f>
        <v>USD,FLAT 276.25</v>
      </c>
      <c r="H101" s="36">
        <f>F101</f>
        <v>276.25</v>
      </c>
      <c r="I101" s="30"/>
      <c r="J101" s="32"/>
      <c r="K101" s="36">
        <f>(F101*5*5)</f>
        <v>6906.25</v>
      </c>
      <c r="L101" s="30" t="str">
        <f>TEXT(IFERROR(((K101-K102)/K102*100),"0.00"),"0.00")</f>
        <v>0.00</v>
      </c>
      <c r="M101" s="36">
        <v>0</v>
      </c>
      <c r="N101" s="35" t="s">
        <v>54</v>
      </c>
      <c r="O101" s="30" t="s">
        <v>213</v>
      </c>
      <c r="P101" s="30" t="s">
        <v>548</v>
      </c>
      <c r="Q101" s="30"/>
      <c r="R101" s="30"/>
    </row>
    <row r="102" spans="1:18" x14ac:dyDescent="0.35">
      <c r="A102" s="8"/>
      <c r="B102" s="8"/>
      <c r="C102" s="33" t="s">
        <v>196</v>
      </c>
      <c r="D102" s="33"/>
      <c r="E102" s="33"/>
      <c r="F102" s="33"/>
      <c r="G102" s="33"/>
      <c r="H102" s="38"/>
      <c r="I102" s="33"/>
      <c r="J102" s="34"/>
      <c r="K102" s="38"/>
      <c r="L102" s="33"/>
      <c r="M102" s="38"/>
      <c r="N102" s="33"/>
      <c r="O102" s="33"/>
      <c r="P102" s="33"/>
      <c r="Q102" s="33"/>
      <c r="R102" s="33"/>
    </row>
    <row r="103" spans="1:18" hidden="1" x14ac:dyDescent="0.35">
      <c r="A103" s="8"/>
      <c r="B103" s="8"/>
      <c r="C103" s="43" t="s">
        <v>197</v>
      </c>
      <c r="D103" s="43"/>
      <c r="E103" s="43"/>
      <c r="F103" s="43"/>
      <c r="G103" s="43"/>
      <c r="H103" s="43"/>
      <c r="I103" s="43"/>
      <c r="J103" s="43"/>
      <c r="K103" s="43"/>
      <c r="L103" s="43"/>
      <c r="M103" s="43"/>
      <c r="N103" s="43"/>
      <c r="O103" s="43"/>
      <c r="P103" s="43"/>
      <c r="Q103" s="43"/>
      <c r="R103" s="43"/>
    </row>
    <row r="104" spans="1:18" hidden="1" x14ac:dyDescent="0.35">
      <c r="A104" s="8"/>
      <c r="B104" s="8"/>
      <c r="C104" s="44" t="s">
        <v>198</v>
      </c>
      <c r="D104" s="44"/>
      <c r="E104" s="44"/>
      <c r="F104" s="44"/>
      <c r="G104" s="44"/>
      <c r="H104" s="44"/>
      <c r="I104" s="44"/>
      <c r="J104" s="44"/>
      <c r="K104" s="44"/>
      <c r="L104" s="44"/>
      <c r="M104" s="44"/>
      <c r="N104" s="44"/>
      <c r="O104" s="44"/>
      <c r="P104" s="44"/>
      <c r="Q104" s="44"/>
      <c r="R104" s="44"/>
    </row>
    <row r="105" spans="1:18" x14ac:dyDescent="0.35">
      <c r="A105" s="52" t="s">
        <v>194</v>
      </c>
      <c r="B105" s="52"/>
      <c r="C105" s="52" t="s">
        <v>201</v>
      </c>
      <c r="D105" s="52"/>
      <c r="E105" s="52"/>
      <c r="F105" s="52"/>
      <c r="G105" s="52"/>
      <c r="H105" s="52"/>
      <c r="I105" s="52"/>
      <c r="J105" s="53">
        <f>SUMIFS(J107:J116,C107:C116,C105)</f>
        <v>288000</v>
      </c>
      <c r="K105" s="54">
        <f>SUMIFS(K107:K118,C107:C118,C105)</f>
        <v>6092880</v>
      </c>
      <c r="L105" s="52"/>
      <c r="M105" s="54">
        <f>SUMIFS(M107:M118,C107:C118,C105)</f>
        <v>864030</v>
      </c>
      <c r="N105" s="52"/>
      <c r="O105" s="52"/>
      <c r="P105" s="52"/>
      <c r="Q105" s="52"/>
      <c r="R105" s="52"/>
    </row>
    <row r="106" spans="1:18" x14ac:dyDescent="0.35">
      <c r="A106" s="52" t="s">
        <v>194</v>
      </c>
      <c r="B106" s="52"/>
      <c r="C106" s="52" t="s">
        <v>196</v>
      </c>
      <c r="D106" s="52"/>
      <c r="E106" s="52"/>
      <c r="F106" s="52"/>
      <c r="G106" s="52"/>
      <c r="H106" s="52"/>
      <c r="I106" s="52"/>
      <c r="J106" s="53">
        <f>SUMIFS(J107:J116,C107:C116,C106)</f>
        <v>288000</v>
      </c>
      <c r="K106" s="54">
        <f>SUMIFS(K107:K116,C107:C116,C106)</f>
        <v>0</v>
      </c>
      <c r="L106" s="52"/>
      <c r="M106" s="54">
        <f>SUMIFS(M107:M116,C107:C116,C106)</f>
        <v>0</v>
      </c>
      <c r="N106" s="52"/>
      <c r="O106" s="52"/>
      <c r="P106" s="52"/>
      <c r="Q106" s="52"/>
      <c r="R106" s="52"/>
    </row>
    <row r="107" spans="1:18" x14ac:dyDescent="0.35">
      <c r="A107" s="59" t="s">
        <v>103</v>
      </c>
      <c r="B107" s="8"/>
      <c r="C107" s="30" t="s">
        <v>201</v>
      </c>
      <c r="D107" s="30"/>
      <c r="E107" s="30"/>
      <c r="F107" s="31" t="s">
        <v>211</v>
      </c>
      <c r="G107" s="30" t="s">
        <v>208</v>
      </c>
      <c r="H107" s="36">
        <f>K107/J107</f>
        <v>12.25</v>
      </c>
      <c r="I107" s="30" t="s">
        <v>22</v>
      </c>
      <c r="J107" s="32">
        <v>72000</v>
      </c>
      <c r="K107" s="36">
        <f>(1000*12.95+4000*12.15+1000*11.95)*12</f>
        <v>882000</v>
      </c>
      <c r="L107" s="30" t="str">
        <f>TEXT(IFERROR(((K107-K108)/K108*100),"0.00"),"0.00")</f>
        <v>0.00</v>
      </c>
      <c r="M107" s="36">
        <f>(10+J107*3)</f>
        <v>216010</v>
      </c>
      <c r="N107" s="35" t="s">
        <v>54</v>
      </c>
      <c r="O107" s="30" t="s">
        <v>213</v>
      </c>
      <c r="P107" s="30" t="s">
        <v>549</v>
      </c>
      <c r="Q107" s="30"/>
      <c r="R107" s="30"/>
    </row>
    <row r="108" spans="1:18" x14ac:dyDescent="0.35">
      <c r="A108" s="8"/>
      <c r="B108" s="8"/>
      <c r="C108" s="33" t="s">
        <v>196</v>
      </c>
      <c r="D108" s="33"/>
      <c r="E108" s="33"/>
      <c r="F108" s="33"/>
      <c r="G108" s="33"/>
      <c r="H108" s="38">
        <f>IFERROR(K108/J108,"0")</f>
        <v>0</v>
      </c>
      <c r="I108" s="33" t="s">
        <v>22</v>
      </c>
      <c r="J108" s="34">
        <v>72000</v>
      </c>
      <c r="K108" s="40">
        <v>0</v>
      </c>
      <c r="L108" s="33"/>
      <c r="M108" s="38"/>
      <c r="N108" s="33"/>
      <c r="O108" s="33"/>
      <c r="P108" s="33"/>
      <c r="Q108" s="33"/>
      <c r="R108" s="33"/>
    </row>
    <row r="109" spans="1:18" hidden="1" x14ac:dyDescent="0.35">
      <c r="A109" s="8"/>
      <c r="B109" s="8"/>
      <c r="C109" s="43" t="s">
        <v>197</v>
      </c>
      <c r="D109" s="43"/>
      <c r="E109" s="43"/>
      <c r="F109" s="43"/>
      <c r="G109" s="43"/>
      <c r="H109" s="43"/>
      <c r="I109" s="43"/>
      <c r="J109" s="43"/>
      <c r="K109" s="45"/>
      <c r="L109" s="43"/>
      <c r="M109" s="43"/>
      <c r="N109" s="43"/>
      <c r="O109" s="43"/>
      <c r="P109" s="43"/>
      <c r="Q109" s="43"/>
      <c r="R109" s="43"/>
    </row>
    <row r="110" spans="1:18" hidden="1" x14ac:dyDescent="0.35">
      <c r="A110" s="8"/>
      <c r="B110" s="8"/>
      <c r="C110" s="44" t="s">
        <v>198</v>
      </c>
      <c r="D110" s="44"/>
      <c r="E110" s="44"/>
      <c r="F110" s="44"/>
      <c r="G110" s="44"/>
      <c r="H110" s="44"/>
      <c r="I110" s="44"/>
      <c r="J110" s="44"/>
      <c r="K110" s="46"/>
      <c r="L110" s="44"/>
      <c r="M110" s="44"/>
      <c r="N110" s="44"/>
      <c r="O110" s="44"/>
      <c r="P110" s="44"/>
      <c r="Q110" s="44"/>
      <c r="R110" s="44"/>
    </row>
    <row r="111" spans="1:18" x14ac:dyDescent="0.35">
      <c r="A111" s="59" t="s">
        <v>104</v>
      </c>
      <c r="B111" s="8"/>
      <c r="C111" s="30" t="s">
        <v>201</v>
      </c>
      <c r="D111" s="30"/>
      <c r="E111" s="30"/>
      <c r="F111" s="31" t="s">
        <v>211</v>
      </c>
      <c r="G111" s="30" t="s">
        <v>209</v>
      </c>
      <c r="H111" s="36">
        <f>K111/J111</f>
        <v>11.95</v>
      </c>
      <c r="I111" s="30" t="s">
        <v>22</v>
      </c>
      <c r="J111" s="32">
        <v>96000</v>
      </c>
      <c r="K111" s="36">
        <f>J111*11.95</f>
        <v>1147200</v>
      </c>
      <c r="L111" s="30" t="str">
        <f>TEXT(IFERROR(((K111-K112)/K112*100),"0.00"),"0.00")</f>
        <v>0.00</v>
      </c>
      <c r="M111" s="36">
        <f>(10+J111*3)</f>
        <v>288010</v>
      </c>
      <c r="N111" s="35" t="s">
        <v>54</v>
      </c>
      <c r="O111" s="30" t="s">
        <v>213</v>
      </c>
      <c r="P111" s="30" t="s">
        <v>549</v>
      </c>
      <c r="Q111" s="30"/>
      <c r="R111" s="30"/>
    </row>
    <row r="112" spans="1:18" x14ac:dyDescent="0.35">
      <c r="A112" s="8"/>
      <c r="B112" s="8"/>
      <c r="C112" s="33" t="s">
        <v>196</v>
      </c>
      <c r="D112" s="33"/>
      <c r="E112" s="33"/>
      <c r="F112" s="33"/>
      <c r="G112" s="33"/>
      <c r="H112" s="38">
        <f>IFERROR(K112/J112,"0")</f>
        <v>0</v>
      </c>
      <c r="I112" s="33" t="s">
        <v>22</v>
      </c>
      <c r="J112" s="34">
        <v>96000</v>
      </c>
      <c r="K112" s="40">
        <v>0</v>
      </c>
      <c r="L112" s="33"/>
      <c r="M112" s="33"/>
      <c r="N112" s="33"/>
      <c r="O112" s="33"/>
      <c r="P112" s="33"/>
      <c r="Q112" s="33"/>
      <c r="R112" s="33"/>
    </row>
    <row r="113" spans="1:18" hidden="1" x14ac:dyDescent="0.35">
      <c r="A113" s="8"/>
      <c r="B113" s="8"/>
      <c r="C113" s="43" t="s">
        <v>197</v>
      </c>
      <c r="D113" s="43"/>
      <c r="E113" s="43"/>
      <c r="F113" s="43"/>
      <c r="G113" s="43"/>
      <c r="H113" s="43"/>
      <c r="I113" s="43"/>
      <c r="J113" s="43"/>
      <c r="K113" s="45"/>
      <c r="L113" s="43"/>
      <c r="M113" s="43"/>
      <c r="N113" s="43"/>
      <c r="O113" s="43"/>
      <c r="P113" s="43"/>
      <c r="Q113" s="43"/>
      <c r="R113" s="43"/>
    </row>
    <row r="114" spans="1:18" hidden="1" x14ac:dyDescent="0.35">
      <c r="A114" s="8"/>
      <c r="B114" s="8"/>
      <c r="C114" s="44" t="s">
        <v>198</v>
      </c>
      <c r="D114" s="44"/>
      <c r="E114" s="44"/>
      <c r="F114" s="44"/>
      <c r="G114" s="44"/>
      <c r="H114" s="44"/>
      <c r="I114" s="44"/>
      <c r="J114" s="44"/>
      <c r="K114" s="46"/>
      <c r="L114" s="44"/>
      <c r="M114" s="44"/>
      <c r="N114" s="44"/>
      <c r="O114" s="44"/>
      <c r="P114" s="44"/>
      <c r="Q114" s="44"/>
      <c r="R114" s="44"/>
    </row>
    <row r="115" spans="1:18" ht="29" x14ac:dyDescent="0.35">
      <c r="A115" s="59" t="s">
        <v>105</v>
      </c>
      <c r="B115" s="8"/>
      <c r="C115" s="30" t="s">
        <v>201</v>
      </c>
      <c r="D115" s="30"/>
      <c r="E115" s="30"/>
      <c r="F115" s="31" t="s">
        <v>212</v>
      </c>
      <c r="G115" s="30" t="s">
        <v>210</v>
      </c>
      <c r="H115" s="36">
        <f>K115/J115</f>
        <v>33.863999999999997</v>
      </c>
      <c r="I115" s="30" t="s">
        <v>22</v>
      </c>
      <c r="J115" s="32">
        <v>120000</v>
      </c>
      <c r="K115" s="36">
        <f>'UC01 - CALCULATOIN'!C13</f>
        <v>4063680</v>
      </c>
      <c r="L115" s="30" t="str">
        <f>TEXT(IFERROR(((K115-K116)/K116*100),"0.00"),"0.00")</f>
        <v>0.00</v>
      </c>
      <c r="M115" s="36">
        <f>(10+J115*3)</f>
        <v>360010</v>
      </c>
      <c r="N115" s="35" t="s">
        <v>54</v>
      </c>
      <c r="O115" s="30" t="s">
        <v>213</v>
      </c>
      <c r="P115" s="30" t="s">
        <v>549</v>
      </c>
      <c r="Q115" s="30"/>
      <c r="R115" s="30"/>
    </row>
    <row r="116" spans="1:18" x14ac:dyDescent="0.35">
      <c r="A116" s="8"/>
      <c r="B116" s="8"/>
      <c r="C116" s="33" t="s">
        <v>196</v>
      </c>
      <c r="D116" s="33"/>
      <c r="E116" s="33"/>
      <c r="F116" s="33"/>
      <c r="G116" s="33"/>
      <c r="H116" s="38">
        <f>IFERROR(K116/J116,"0")</f>
        <v>0</v>
      </c>
      <c r="I116" s="33" t="s">
        <v>22</v>
      </c>
      <c r="J116" s="34">
        <v>120000</v>
      </c>
      <c r="K116" s="40">
        <v>0</v>
      </c>
      <c r="L116" s="33"/>
      <c r="M116" s="33"/>
      <c r="N116" s="33"/>
      <c r="O116" s="33"/>
      <c r="P116" s="33"/>
      <c r="Q116" s="33"/>
      <c r="R116" s="33"/>
    </row>
    <row r="117" spans="1:18" hidden="1" x14ac:dyDescent="0.35">
      <c r="A117" s="8"/>
      <c r="B117" s="8"/>
      <c r="C117" s="43" t="s">
        <v>197</v>
      </c>
      <c r="D117" s="43"/>
      <c r="E117" s="43"/>
      <c r="F117" s="43"/>
      <c r="G117" s="43"/>
      <c r="H117" s="43"/>
      <c r="I117" s="43"/>
      <c r="J117" s="43"/>
      <c r="K117" s="45"/>
      <c r="L117" s="43"/>
      <c r="M117" s="43"/>
      <c r="N117" s="43"/>
      <c r="O117" s="43"/>
      <c r="P117" s="43"/>
      <c r="Q117" s="43"/>
      <c r="R117" s="43"/>
    </row>
    <row r="118" spans="1:18" hidden="1" x14ac:dyDescent="0.35">
      <c r="A118" s="8"/>
      <c r="B118" s="8"/>
      <c r="C118" s="44" t="s">
        <v>198</v>
      </c>
      <c r="D118" s="44"/>
      <c r="E118" s="44"/>
      <c r="F118" s="44"/>
      <c r="G118" s="44"/>
      <c r="H118" s="44"/>
      <c r="I118" s="44"/>
      <c r="J118" s="44"/>
      <c r="K118" s="46"/>
      <c r="L118" s="44"/>
      <c r="M118" s="44"/>
      <c r="N118" s="44"/>
      <c r="O118" s="44"/>
      <c r="P118" s="44"/>
      <c r="Q118" s="44"/>
      <c r="R118" s="44"/>
    </row>
    <row r="119" spans="1:18" x14ac:dyDescent="0.35">
      <c r="A119" s="52" t="s">
        <v>195</v>
      </c>
      <c r="B119" s="52"/>
      <c r="C119" s="52" t="s">
        <v>201</v>
      </c>
      <c r="D119" s="52"/>
      <c r="E119" s="52"/>
      <c r="F119" s="52"/>
      <c r="G119" s="52"/>
      <c r="H119" s="52"/>
      <c r="I119" s="52"/>
      <c r="J119" s="53">
        <f>SUMIFS(J121:J150,C121:C150,C119)</f>
        <v>8</v>
      </c>
      <c r="K119" s="54">
        <f>SUMIFS(K121:K152,C121:C152,C119)</f>
        <v>3027.5800000000004</v>
      </c>
      <c r="L119" s="52"/>
      <c r="M119" s="54">
        <f>SUMIFS(M121:M152,C121:C152,C119)</f>
        <v>104</v>
      </c>
      <c r="N119" s="52"/>
      <c r="O119" s="52"/>
      <c r="P119" s="52"/>
      <c r="Q119" s="52"/>
      <c r="R119" s="52"/>
    </row>
    <row r="120" spans="1:18" x14ac:dyDescent="0.35">
      <c r="A120" s="52" t="s">
        <v>195</v>
      </c>
      <c r="B120" s="52"/>
      <c r="C120" s="52" t="s">
        <v>196</v>
      </c>
      <c r="D120" s="52"/>
      <c r="E120" s="52"/>
      <c r="F120" s="52"/>
      <c r="G120" s="52"/>
      <c r="H120" s="52"/>
      <c r="I120" s="52"/>
      <c r="J120" s="53">
        <f>SUMIFS(J121:J150,C121:C150,C120)</f>
        <v>0</v>
      </c>
      <c r="K120" s="54">
        <f>SUMIFS(K121:K152,C121:C152,C120)</f>
        <v>0</v>
      </c>
      <c r="L120" s="52"/>
      <c r="M120" s="54">
        <f>SUMIFS(M121:M152,C121:C152,C120)</f>
        <v>0</v>
      </c>
      <c r="N120" s="52"/>
      <c r="O120" s="52"/>
      <c r="P120" s="52"/>
      <c r="Q120" s="52"/>
      <c r="R120" s="52"/>
    </row>
    <row r="121" spans="1:18" x14ac:dyDescent="0.35">
      <c r="A121" s="59" t="s">
        <v>106</v>
      </c>
      <c r="B121" s="8"/>
      <c r="C121" s="30" t="s">
        <v>201</v>
      </c>
      <c r="D121" s="30"/>
      <c r="E121" s="30"/>
      <c r="F121" s="39">
        <v>0.15</v>
      </c>
      <c r="G121" s="30" t="str">
        <f>CONCATENATE("USD,FLAT ",TEXT(F121,"0.00"))</f>
        <v>USD,FLAT 0.15</v>
      </c>
      <c r="H121" s="36">
        <f>(K121/J121)</f>
        <v>3000.15</v>
      </c>
      <c r="I121" s="30" t="s">
        <v>22</v>
      </c>
      <c r="J121" s="32">
        <v>1</v>
      </c>
      <c r="K121" s="39">
        <f>J121*F121+3000</f>
        <v>3000.15</v>
      </c>
      <c r="L121" s="30" t="str">
        <f>TEXT(IFERROR(((K121-K122)/K122*100),"0.00"),"0.00")</f>
        <v>0.00</v>
      </c>
      <c r="M121" s="36">
        <f>(10+J121*3)</f>
        <v>13</v>
      </c>
      <c r="N121" s="35" t="s">
        <v>54</v>
      </c>
      <c r="O121" s="30" t="s">
        <v>213</v>
      </c>
      <c r="P121" s="30" t="s">
        <v>549</v>
      </c>
      <c r="Q121" s="30"/>
      <c r="R121" s="30"/>
    </row>
    <row r="122" spans="1:18" x14ac:dyDescent="0.35">
      <c r="A122" s="8"/>
      <c r="B122" s="8"/>
      <c r="C122" s="33" t="s">
        <v>196</v>
      </c>
      <c r="D122" s="33"/>
      <c r="E122" s="33"/>
      <c r="F122" s="33"/>
      <c r="G122" s="33"/>
      <c r="H122" s="38" t="str">
        <f>IFERROR(K122/J122,"0")</f>
        <v>0</v>
      </c>
      <c r="I122" s="33"/>
      <c r="J122" s="34"/>
      <c r="K122" s="40"/>
      <c r="L122" s="33"/>
      <c r="M122" s="33"/>
      <c r="N122" s="33"/>
      <c r="O122" s="33"/>
      <c r="P122" s="33"/>
      <c r="Q122" s="33"/>
      <c r="R122" s="33"/>
    </row>
    <row r="123" spans="1:18" hidden="1" x14ac:dyDescent="0.35">
      <c r="A123" s="8"/>
      <c r="B123" s="8"/>
      <c r="C123" s="43" t="s">
        <v>197</v>
      </c>
      <c r="D123" s="43"/>
      <c r="E123" s="43"/>
      <c r="F123" s="43"/>
      <c r="G123" s="43"/>
      <c r="H123" s="43"/>
      <c r="I123" s="43"/>
      <c r="J123" s="43"/>
      <c r="K123" s="45"/>
      <c r="L123" s="43"/>
      <c r="M123" s="43"/>
      <c r="N123" s="43"/>
      <c r="O123" s="43"/>
      <c r="P123" s="43"/>
      <c r="Q123" s="43"/>
      <c r="R123" s="43"/>
    </row>
    <row r="124" spans="1:18" hidden="1" x14ac:dyDescent="0.35">
      <c r="A124" s="8"/>
      <c r="B124" s="8"/>
      <c r="C124" s="44" t="s">
        <v>198</v>
      </c>
      <c r="D124" s="44"/>
      <c r="E124" s="44"/>
      <c r="F124" s="44"/>
      <c r="G124" s="44"/>
      <c r="H124" s="44"/>
      <c r="I124" s="44"/>
      <c r="J124" s="44"/>
      <c r="K124" s="46"/>
      <c r="L124" s="44"/>
      <c r="M124" s="44"/>
      <c r="N124" s="44"/>
      <c r="O124" s="44"/>
      <c r="P124" s="44"/>
      <c r="Q124" s="44"/>
      <c r="R124" s="44"/>
    </row>
    <row r="125" spans="1:18" x14ac:dyDescent="0.35">
      <c r="A125" s="59" t="s">
        <v>107</v>
      </c>
      <c r="B125" s="8"/>
      <c r="C125" s="30" t="s">
        <v>201</v>
      </c>
      <c r="D125" s="30"/>
      <c r="E125" s="30"/>
      <c r="F125" s="39">
        <v>2.0499999999999998</v>
      </c>
      <c r="G125" s="30" t="str">
        <f>CONCATENATE("USD,FLAT ",TEXT(F125,"0.00"))</f>
        <v>USD,FLAT 2.05</v>
      </c>
      <c r="H125" s="36">
        <f>K125/J125</f>
        <v>2.0499999999999998</v>
      </c>
      <c r="I125" s="30" t="s">
        <v>22</v>
      </c>
      <c r="J125" s="32">
        <v>1</v>
      </c>
      <c r="K125" s="39">
        <f>J125*F125</f>
        <v>2.0499999999999998</v>
      </c>
      <c r="L125" s="30" t="str">
        <f>TEXT(IFERROR(((K125-K126)/K126*100),"0.00"),"0.00")</f>
        <v>0.00</v>
      </c>
      <c r="M125" s="36">
        <f>(10+J125*3)</f>
        <v>13</v>
      </c>
      <c r="N125" s="35" t="s">
        <v>54</v>
      </c>
      <c r="O125" s="30" t="s">
        <v>213</v>
      </c>
      <c r="P125" s="30" t="s">
        <v>549</v>
      </c>
      <c r="Q125" s="30"/>
      <c r="R125" s="30"/>
    </row>
    <row r="126" spans="1:18" x14ac:dyDescent="0.35">
      <c r="A126" s="8"/>
      <c r="B126" s="8"/>
      <c r="C126" s="33" t="s">
        <v>196</v>
      </c>
      <c r="D126" s="33"/>
      <c r="E126" s="33"/>
      <c r="F126" s="33"/>
      <c r="G126" s="33"/>
      <c r="H126" s="38" t="str">
        <f>IFERROR(K126/J126,"0")</f>
        <v>0</v>
      </c>
      <c r="I126" s="33"/>
      <c r="J126" s="34"/>
      <c r="K126" s="40"/>
      <c r="L126" s="33"/>
      <c r="M126" s="33"/>
      <c r="N126" s="33"/>
      <c r="O126" s="33"/>
      <c r="P126" s="33"/>
      <c r="Q126" s="33"/>
      <c r="R126" s="33"/>
    </row>
    <row r="127" spans="1:18" hidden="1" x14ac:dyDescent="0.35">
      <c r="A127" s="8"/>
      <c r="B127" s="8"/>
      <c r="C127" s="43" t="s">
        <v>197</v>
      </c>
      <c r="D127" s="43"/>
      <c r="E127" s="43"/>
      <c r="F127" s="43"/>
      <c r="G127" s="43"/>
      <c r="H127" s="43"/>
      <c r="I127" s="43"/>
      <c r="J127" s="43"/>
      <c r="K127" s="45"/>
      <c r="L127" s="43"/>
      <c r="M127" s="43"/>
      <c r="N127" s="43"/>
      <c r="O127" s="43"/>
      <c r="P127" s="43"/>
      <c r="Q127" s="43"/>
      <c r="R127" s="43"/>
    </row>
    <row r="128" spans="1:18" hidden="1" x14ac:dyDescent="0.35">
      <c r="A128" s="8"/>
      <c r="B128" s="8"/>
      <c r="C128" s="44" t="s">
        <v>198</v>
      </c>
      <c r="D128" s="44"/>
      <c r="E128" s="44"/>
      <c r="F128" s="44"/>
      <c r="G128" s="44"/>
      <c r="H128" s="44"/>
      <c r="I128" s="44"/>
      <c r="J128" s="44"/>
      <c r="K128" s="46"/>
      <c r="L128" s="44"/>
      <c r="M128" s="44"/>
      <c r="N128" s="44"/>
      <c r="O128" s="44"/>
      <c r="P128" s="44"/>
      <c r="Q128" s="44"/>
      <c r="R128" s="44"/>
    </row>
    <row r="129" spans="1:18" x14ac:dyDescent="0.35">
      <c r="A129" s="59" t="s">
        <v>107</v>
      </c>
      <c r="B129" s="8" t="s">
        <v>51</v>
      </c>
      <c r="C129" s="30" t="s">
        <v>201</v>
      </c>
      <c r="D129" s="30"/>
      <c r="E129" s="30"/>
      <c r="F129" s="39">
        <v>0.75</v>
      </c>
      <c r="G129" s="30" t="str">
        <f>CONCATENATE("USD,FLAT ",TEXT(F129,"0.00"))</f>
        <v>USD,FLAT 0.75</v>
      </c>
      <c r="H129" s="36">
        <f>K129/J129</f>
        <v>0.75</v>
      </c>
      <c r="I129" s="30" t="s">
        <v>22</v>
      </c>
      <c r="J129" s="32">
        <v>1</v>
      </c>
      <c r="K129" s="39">
        <f>J129*F129</f>
        <v>0.75</v>
      </c>
      <c r="L129" s="30" t="str">
        <f>TEXT(IFERROR(((K129-K130)/K130*100),"0.00"),"0.00")</f>
        <v>0.00</v>
      </c>
      <c r="M129" s="36">
        <f>(10+J129*3)</f>
        <v>13</v>
      </c>
      <c r="N129" s="35" t="s">
        <v>54</v>
      </c>
      <c r="O129" s="30" t="s">
        <v>213</v>
      </c>
      <c r="P129" s="30" t="s">
        <v>549</v>
      </c>
      <c r="Q129" s="30"/>
      <c r="R129" s="30"/>
    </row>
    <row r="130" spans="1:18" x14ac:dyDescent="0.35">
      <c r="A130" s="8"/>
      <c r="B130" s="8"/>
      <c r="C130" s="33" t="s">
        <v>196</v>
      </c>
      <c r="D130" s="33"/>
      <c r="E130" s="33"/>
      <c r="F130" s="33"/>
      <c r="G130" s="33"/>
      <c r="H130" s="38" t="str">
        <f>IFERROR(K130/J130,"0")</f>
        <v>0</v>
      </c>
      <c r="I130" s="33"/>
      <c r="J130" s="34"/>
      <c r="K130" s="40"/>
      <c r="L130" s="33"/>
      <c r="M130" s="33"/>
      <c r="N130" s="33"/>
      <c r="O130" s="33"/>
      <c r="P130" s="33"/>
      <c r="Q130" s="33"/>
      <c r="R130" s="33"/>
    </row>
    <row r="131" spans="1:18" hidden="1" x14ac:dyDescent="0.35">
      <c r="A131" s="8"/>
      <c r="B131" s="8"/>
      <c r="C131" s="43" t="s">
        <v>197</v>
      </c>
      <c r="D131" s="43"/>
      <c r="E131" s="43"/>
      <c r="F131" s="43"/>
      <c r="G131" s="43"/>
      <c r="H131" s="43"/>
      <c r="I131" s="43"/>
      <c r="J131" s="43"/>
      <c r="K131" s="45"/>
      <c r="L131" s="43"/>
      <c r="M131" s="43"/>
      <c r="N131" s="43"/>
      <c r="O131" s="43"/>
      <c r="P131" s="43"/>
      <c r="Q131" s="43"/>
      <c r="R131" s="43"/>
    </row>
    <row r="132" spans="1:18" hidden="1" x14ac:dyDescent="0.35">
      <c r="A132" s="8"/>
      <c r="B132" s="8"/>
      <c r="C132" s="44" t="s">
        <v>198</v>
      </c>
      <c r="D132" s="44"/>
      <c r="E132" s="44"/>
      <c r="F132" s="44"/>
      <c r="G132" s="44"/>
      <c r="H132" s="44"/>
      <c r="I132" s="44"/>
      <c r="J132" s="44"/>
      <c r="K132" s="46"/>
      <c r="L132" s="44"/>
      <c r="M132" s="44"/>
      <c r="N132" s="44"/>
      <c r="O132" s="44"/>
      <c r="P132" s="44"/>
      <c r="Q132" s="44"/>
      <c r="R132" s="44"/>
    </row>
    <row r="133" spans="1:18" x14ac:dyDescent="0.35">
      <c r="A133" s="59" t="s">
        <v>107</v>
      </c>
      <c r="B133" s="8" t="s">
        <v>202</v>
      </c>
      <c r="C133" s="30" t="s">
        <v>201</v>
      </c>
      <c r="D133" s="30"/>
      <c r="E133" s="30"/>
      <c r="F133" s="39">
        <v>0.3</v>
      </c>
      <c r="G133" s="30" t="str">
        <f>CONCATENATE("USD,FLAT ",TEXT(F133,"0.00"))</f>
        <v>USD,FLAT 0.30</v>
      </c>
      <c r="H133" s="36">
        <f>K133/J133</f>
        <v>0.3</v>
      </c>
      <c r="I133" s="30" t="s">
        <v>22</v>
      </c>
      <c r="J133" s="32">
        <v>1</v>
      </c>
      <c r="K133" s="39">
        <f>J133*F133</f>
        <v>0.3</v>
      </c>
      <c r="L133" s="30" t="str">
        <f>TEXT(IFERROR(((K133-K134)/K134*100),"0.00"),"0.00")</f>
        <v>0.00</v>
      </c>
      <c r="M133" s="36">
        <f>(10+J133*3)</f>
        <v>13</v>
      </c>
      <c r="N133" s="35" t="s">
        <v>54</v>
      </c>
      <c r="O133" s="30" t="s">
        <v>213</v>
      </c>
      <c r="P133" s="30" t="s">
        <v>549</v>
      </c>
      <c r="Q133" s="30"/>
      <c r="R133" s="30"/>
    </row>
    <row r="134" spans="1:18" x14ac:dyDescent="0.35">
      <c r="A134" s="8"/>
      <c r="B134" s="8"/>
      <c r="C134" s="33" t="s">
        <v>196</v>
      </c>
      <c r="D134" s="33"/>
      <c r="E134" s="33"/>
      <c r="F134" s="33"/>
      <c r="G134" s="33"/>
      <c r="H134" s="38" t="str">
        <f>IFERROR(K134/J134,"0")</f>
        <v>0</v>
      </c>
      <c r="I134" s="33"/>
      <c r="J134" s="34"/>
      <c r="K134" s="40"/>
      <c r="L134" s="33"/>
      <c r="M134" s="33"/>
      <c r="N134" s="33"/>
      <c r="O134" s="33"/>
      <c r="P134" s="33"/>
      <c r="Q134" s="33"/>
      <c r="R134" s="33"/>
    </row>
    <row r="135" spans="1:18" hidden="1" x14ac:dyDescent="0.35">
      <c r="A135" s="8"/>
      <c r="B135" s="8"/>
      <c r="C135" s="43" t="s">
        <v>197</v>
      </c>
      <c r="D135" s="43"/>
      <c r="E135" s="43"/>
      <c r="F135" s="43"/>
      <c r="G135" s="43"/>
      <c r="H135" s="43"/>
      <c r="I135" s="43"/>
      <c r="J135" s="43"/>
      <c r="K135" s="45"/>
      <c r="L135" s="43"/>
      <c r="M135" s="43"/>
      <c r="N135" s="43"/>
      <c r="O135" s="43"/>
      <c r="P135" s="43"/>
      <c r="Q135" s="43"/>
      <c r="R135" s="43"/>
    </row>
    <row r="136" spans="1:18" hidden="1" x14ac:dyDescent="0.35">
      <c r="A136" s="8"/>
      <c r="B136" s="8"/>
      <c r="C136" s="44" t="s">
        <v>198</v>
      </c>
      <c r="D136" s="44"/>
      <c r="E136" s="44"/>
      <c r="F136" s="44"/>
      <c r="G136" s="44"/>
      <c r="H136" s="44"/>
      <c r="I136" s="44"/>
      <c r="J136" s="44"/>
      <c r="K136" s="46"/>
      <c r="L136" s="44"/>
      <c r="M136" s="44"/>
      <c r="N136" s="44"/>
      <c r="O136" s="44"/>
      <c r="P136" s="44"/>
      <c r="Q136" s="44"/>
      <c r="R136" s="44"/>
    </row>
    <row r="137" spans="1:18" x14ac:dyDescent="0.35">
      <c r="A137" s="59" t="s">
        <v>107</v>
      </c>
      <c r="B137" s="8" t="s">
        <v>4</v>
      </c>
      <c r="C137" s="30" t="s">
        <v>201</v>
      </c>
      <c r="D137" s="30"/>
      <c r="E137" s="30"/>
      <c r="F137" s="39">
        <v>6.67</v>
      </c>
      <c r="G137" s="30" t="str">
        <f>CONCATENATE("USD,FLAT ",TEXT(F137,"0.00"))</f>
        <v>USD,FLAT 6.67</v>
      </c>
      <c r="H137" s="36">
        <f>K137/J137</f>
        <v>6.67</v>
      </c>
      <c r="I137" s="30" t="s">
        <v>22</v>
      </c>
      <c r="J137" s="32">
        <v>1</v>
      </c>
      <c r="K137" s="39">
        <f>J137*F137</f>
        <v>6.67</v>
      </c>
      <c r="L137" s="39" t="str">
        <f>IFERROR(((K137-K138)/K138*100),"0.00")</f>
        <v>0.00</v>
      </c>
      <c r="M137" s="36">
        <f>(10+J137*3)</f>
        <v>13</v>
      </c>
      <c r="N137" s="35" t="s">
        <v>54</v>
      </c>
      <c r="O137" s="30" t="s">
        <v>213</v>
      </c>
      <c r="P137" s="30" t="s">
        <v>549</v>
      </c>
      <c r="Q137" s="30"/>
      <c r="R137" s="30"/>
    </row>
    <row r="138" spans="1:18" x14ac:dyDescent="0.35">
      <c r="A138" s="8"/>
      <c r="B138" s="8"/>
      <c r="C138" s="33" t="s">
        <v>196</v>
      </c>
      <c r="D138" s="33"/>
      <c r="E138" s="33"/>
      <c r="F138" s="33"/>
      <c r="G138" s="33"/>
      <c r="H138" s="38" t="str">
        <f>IFERROR(K138/J138,"0")</f>
        <v>0</v>
      </c>
      <c r="I138" s="33"/>
      <c r="J138" s="34"/>
      <c r="K138" s="40"/>
      <c r="L138" s="33"/>
      <c r="M138" s="33"/>
      <c r="N138" s="33"/>
      <c r="O138" s="33"/>
      <c r="P138" s="33"/>
      <c r="Q138" s="33"/>
      <c r="R138" s="33"/>
    </row>
    <row r="139" spans="1:18" hidden="1" x14ac:dyDescent="0.35">
      <c r="A139" s="8"/>
      <c r="B139" s="8"/>
      <c r="C139" s="43" t="s">
        <v>197</v>
      </c>
      <c r="D139" s="43"/>
      <c r="E139" s="43"/>
      <c r="F139" s="43"/>
      <c r="G139" s="43"/>
      <c r="H139" s="43"/>
      <c r="I139" s="43"/>
      <c r="J139" s="43"/>
      <c r="K139" s="45"/>
      <c r="L139" s="43"/>
      <c r="M139" s="43"/>
      <c r="N139" s="43"/>
      <c r="O139" s="43"/>
      <c r="P139" s="43"/>
      <c r="Q139" s="43"/>
      <c r="R139" s="43"/>
    </row>
    <row r="140" spans="1:18" hidden="1" x14ac:dyDescent="0.35">
      <c r="A140" s="8"/>
      <c r="B140" s="8"/>
      <c r="C140" s="44" t="s">
        <v>198</v>
      </c>
      <c r="D140" s="44"/>
      <c r="E140" s="44"/>
      <c r="F140" s="44"/>
      <c r="G140" s="44"/>
      <c r="H140" s="44"/>
      <c r="I140" s="44"/>
      <c r="J140" s="44"/>
      <c r="K140" s="46"/>
      <c r="L140" s="44"/>
      <c r="M140" s="44"/>
      <c r="N140" s="44"/>
      <c r="O140" s="44"/>
      <c r="P140" s="44"/>
      <c r="Q140" s="44"/>
      <c r="R140" s="44"/>
    </row>
    <row r="141" spans="1:18" x14ac:dyDescent="0.35">
      <c r="A141" s="59" t="s">
        <v>108</v>
      </c>
      <c r="B141" s="8"/>
      <c r="C141" s="30" t="s">
        <v>201</v>
      </c>
      <c r="D141" s="30"/>
      <c r="E141" s="30"/>
      <c r="F141" s="39">
        <v>0.4</v>
      </c>
      <c r="G141" s="30" t="str">
        <f>CONCATENATE("USD,FLAT ",TEXT(F141,"0.00"))</f>
        <v>USD,FLAT 0.40</v>
      </c>
      <c r="H141" s="36">
        <f>K141/J141</f>
        <v>0.4</v>
      </c>
      <c r="I141" s="30" t="s">
        <v>22</v>
      </c>
      <c r="J141" s="32">
        <v>1</v>
      </c>
      <c r="K141" s="39">
        <f>J141*F141</f>
        <v>0.4</v>
      </c>
      <c r="L141" s="30" t="str">
        <f>TEXT(IFERROR(((K141-K142)/K142*100),"0.00"),"0.00")</f>
        <v>0.00</v>
      </c>
      <c r="M141" s="36">
        <f>(10+J141*3)</f>
        <v>13</v>
      </c>
      <c r="N141" s="35" t="s">
        <v>54</v>
      </c>
      <c r="O141" s="30" t="s">
        <v>213</v>
      </c>
      <c r="P141" s="30" t="s">
        <v>549</v>
      </c>
      <c r="Q141" s="30"/>
      <c r="R141" s="30"/>
    </row>
    <row r="142" spans="1:18" x14ac:dyDescent="0.35">
      <c r="A142" s="8"/>
      <c r="B142" s="8"/>
      <c r="C142" s="33" t="s">
        <v>196</v>
      </c>
      <c r="D142" s="33"/>
      <c r="E142" s="33"/>
      <c r="F142" s="33"/>
      <c r="G142" s="33"/>
      <c r="H142" s="38" t="str">
        <f>IFERROR(K142/J142,"0")</f>
        <v>0</v>
      </c>
      <c r="I142" s="33"/>
      <c r="J142" s="34"/>
      <c r="K142" s="40"/>
      <c r="L142" s="33"/>
      <c r="M142" s="33"/>
      <c r="N142" s="33"/>
      <c r="O142" s="33"/>
      <c r="P142" s="33"/>
      <c r="Q142" s="33"/>
      <c r="R142" s="33"/>
    </row>
    <row r="143" spans="1:18" hidden="1" x14ac:dyDescent="0.35">
      <c r="A143" s="8"/>
      <c r="B143" s="8"/>
      <c r="C143" s="43" t="s">
        <v>197</v>
      </c>
      <c r="D143" s="43"/>
      <c r="E143" s="43"/>
      <c r="F143" s="43"/>
      <c r="G143" s="43"/>
      <c r="H143" s="43"/>
      <c r="I143" s="43"/>
      <c r="J143" s="43"/>
      <c r="K143" s="45"/>
      <c r="L143" s="43"/>
      <c r="M143" s="43"/>
      <c r="N143" s="43"/>
      <c r="O143" s="43"/>
      <c r="P143" s="43"/>
      <c r="Q143" s="43"/>
      <c r="R143" s="43"/>
    </row>
    <row r="144" spans="1:18" hidden="1" x14ac:dyDescent="0.35">
      <c r="A144" s="8"/>
      <c r="B144" s="8"/>
      <c r="C144" s="44" t="s">
        <v>198</v>
      </c>
      <c r="D144" s="44"/>
      <c r="E144" s="44"/>
      <c r="F144" s="44"/>
      <c r="G144" s="44"/>
      <c r="H144" s="44"/>
      <c r="I144" s="44"/>
      <c r="J144" s="44"/>
      <c r="K144" s="46"/>
      <c r="L144" s="44"/>
      <c r="M144" s="44"/>
      <c r="N144" s="44"/>
      <c r="O144" s="44"/>
      <c r="P144" s="44"/>
      <c r="Q144" s="44"/>
      <c r="R144" s="44"/>
    </row>
    <row r="145" spans="1:18" x14ac:dyDescent="0.35">
      <c r="A145" s="59" t="s">
        <v>109</v>
      </c>
      <c r="B145" s="8"/>
      <c r="C145" s="30" t="s">
        <v>201</v>
      </c>
      <c r="D145" s="30"/>
      <c r="E145" s="30"/>
      <c r="F145" s="39">
        <v>0.6</v>
      </c>
      <c r="G145" s="30" t="str">
        <f>CONCATENATE("USD,FLAT ",TEXT(F145,"0.00"))</f>
        <v>USD,FLAT 0.60</v>
      </c>
      <c r="H145" s="36">
        <f>K145/J145</f>
        <v>0.6</v>
      </c>
      <c r="I145" s="30" t="s">
        <v>22</v>
      </c>
      <c r="J145" s="32">
        <v>1</v>
      </c>
      <c r="K145" s="39">
        <f>J145*F145</f>
        <v>0.6</v>
      </c>
      <c r="L145" s="30" t="str">
        <f>TEXT(IFERROR(((K145-K146)/K146*100),"0.00"),"0.00")</f>
        <v>0.00</v>
      </c>
      <c r="M145" s="36">
        <f>(10+J145*3)</f>
        <v>13</v>
      </c>
      <c r="N145" s="35" t="s">
        <v>54</v>
      </c>
      <c r="O145" s="30" t="s">
        <v>213</v>
      </c>
      <c r="P145" s="30" t="s">
        <v>549</v>
      </c>
      <c r="Q145" s="30"/>
      <c r="R145" s="30"/>
    </row>
    <row r="146" spans="1:18" x14ac:dyDescent="0.35">
      <c r="A146" s="8"/>
      <c r="B146" s="8"/>
      <c r="C146" s="33" t="s">
        <v>196</v>
      </c>
      <c r="D146" s="33"/>
      <c r="E146" s="33"/>
      <c r="F146" s="33"/>
      <c r="G146" s="33"/>
      <c r="H146" s="38" t="str">
        <f>IFERROR(K146/J146,"0")</f>
        <v>0</v>
      </c>
      <c r="I146" s="33"/>
      <c r="J146" s="34"/>
      <c r="K146" s="40"/>
      <c r="L146" s="33"/>
      <c r="M146" s="33"/>
      <c r="N146" s="33"/>
      <c r="O146" s="33"/>
      <c r="P146" s="33"/>
      <c r="Q146" s="33"/>
      <c r="R146" s="33"/>
    </row>
    <row r="147" spans="1:18" hidden="1" x14ac:dyDescent="0.35">
      <c r="A147" s="8"/>
      <c r="B147" s="8"/>
      <c r="C147" s="43" t="s">
        <v>197</v>
      </c>
      <c r="D147" s="43"/>
      <c r="E147" s="43"/>
      <c r="F147" s="43"/>
      <c r="G147" s="43"/>
      <c r="H147" s="43"/>
      <c r="I147" s="43"/>
      <c r="J147" s="43"/>
      <c r="K147" s="45"/>
      <c r="L147" s="43"/>
      <c r="M147" s="43"/>
      <c r="N147" s="43"/>
      <c r="O147" s="43"/>
      <c r="P147" s="43"/>
      <c r="Q147" s="43"/>
      <c r="R147" s="43"/>
    </row>
    <row r="148" spans="1:18" hidden="1" x14ac:dyDescent="0.35">
      <c r="A148" s="8"/>
      <c r="B148" s="8"/>
      <c r="C148" s="44" t="s">
        <v>198</v>
      </c>
      <c r="D148" s="44"/>
      <c r="E148" s="44"/>
      <c r="F148" s="44"/>
      <c r="G148" s="44"/>
      <c r="H148" s="44"/>
      <c r="I148" s="44"/>
      <c r="J148" s="44"/>
      <c r="K148" s="46"/>
      <c r="L148" s="44"/>
      <c r="M148" s="44"/>
      <c r="N148" s="44"/>
      <c r="O148" s="44"/>
      <c r="P148" s="44"/>
      <c r="Q148" s="44"/>
      <c r="R148" s="44"/>
    </row>
    <row r="149" spans="1:18" x14ac:dyDescent="0.35">
      <c r="A149" s="59" t="s">
        <v>110</v>
      </c>
      <c r="B149" s="47"/>
      <c r="C149" s="30" t="s">
        <v>201</v>
      </c>
      <c r="D149" s="30"/>
      <c r="E149" s="30"/>
      <c r="F149" s="30">
        <v>16.66</v>
      </c>
      <c r="G149" s="30" t="str">
        <f>CONCATENATE("USD,FLAT ",TEXT(F149,"0.00"))</f>
        <v>USD,FLAT 16.66</v>
      </c>
      <c r="H149" s="36">
        <f>K149/J149</f>
        <v>16.66</v>
      </c>
      <c r="I149" s="30" t="s">
        <v>22</v>
      </c>
      <c r="J149" s="32">
        <v>1</v>
      </c>
      <c r="K149" s="39">
        <f>J149*F149</f>
        <v>16.66</v>
      </c>
      <c r="L149" s="30" t="str">
        <f>TEXT(IFERROR(((K149-K150)/K150*100),"0.00"),"0.00")</f>
        <v>0.00</v>
      </c>
      <c r="M149" s="36">
        <f>(10+J149*3)</f>
        <v>13</v>
      </c>
      <c r="N149" s="35" t="s">
        <v>54</v>
      </c>
      <c r="O149" s="30" t="s">
        <v>213</v>
      </c>
      <c r="P149" s="30" t="s">
        <v>549</v>
      </c>
      <c r="Q149" s="30"/>
      <c r="R149" s="30"/>
    </row>
    <row r="150" spans="1:18" x14ac:dyDescent="0.35">
      <c r="A150" s="8"/>
      <c r="B150" s="47"/>
      <c r="C150" s="33" t="s">
        <v>196</v>
      </c>
      <c r="D150" s="33"/>
      <c r="E150" s="33"/>
      <c r="F150" s="33"/>
      <c r="G150" s="33"/>
      <c r="H150" s="38" t="str">
        <f>IFERROR(K150/J150,"0")</f>
        <v>0</v>
      </c>
      <c r="I150" s="33"/>
      <c r="J150" s="34"/>
      <c r="K150" s="40"/>
      <c r="L150" s="33"/>
      <c r="M150" s="33"/>
      <c r="N150" s="33"/>
      <c r="O150" s="33"/>
      <c r="P150" s="33"/>
      <c r="Q150" s="33"/>
      <c r="R150" s="33"/>
    </row>
    <row r="151" spans="1:18" hidden="1" x14ac:dyDescent="0.35">
      <c r="A151" s="8"/>
      <c r="B151" s="47"/>
      <c r="C151" s="43" t="s">
        <v>197</v>
      </c>
      <c r="D151" s="43"/>
      <c r="E151" s="43"/>
      <c r="F151" s="43"/>
      <c r="G151" s="43"/>
      <c r="H151" s="43"/>
      <c r="I151" s="43"/>
      <c r="J151" s="43"/>
      <c r="K151" s="45"/>
      <c r="L151" s="43"/>
      <c r="M151" s="43"/>
      <c r="N151" s="43"/>
      <c r="O151" s="43"/>
      <c r="P151" s="43"/>
      <c r="Q151" s="43"/>
      <c r="R151" s="43"/>
    </row>
    <row r="152" spans="1:18" hidden="1" x14ac:dyDescent="0.35">
      <c r="A152" s="8"/>
      <c r="B152" s="47"/>
      <c r="C152" s="44" t="s">
        <v>198</v>
      </c>
      <c r="D152" s="44"/>
      <c r="E152" s="44"/>
      <c r="F152" s="44"/>
      <c r="G152" s="44"/>
      <c r="H152" s="44"/>
      <c r="I152" s="44"/>
      <c r="J152" s="44"/>
      <c r="K152" s="46"/>
      <c r="L152" s="44"/>
      <c r="M152" s="44"/>
      <c r="N152" s="44"/>
      <c r="O152" s="44"/>
      <c r="P152" s="44"/>
      <c r="Q152" s="44"/>
      <c r="R152" s="44"/>
    </row>
    <row r="154" spans="1:18" x14ac:dyDescent="0.35">
      <c r="A154" s="251" t="s">
        <v>221</v>
      </c>
      <c r="B154" s="252"/>
      <c r="C154" s="252"/>
      <c r="D154" s="252"/>
      <c r="E154" s="252"/>
      <c r="F154" s="252"/>
      <c r="G154" s="252"/>
      <c r="H154" s="252"/>
    </row>
    <row r="155" spans="1:18" x14ac:dyDescent="0.35">
      <c r="A155" s="24" t="s">
        <v>1</v>
      </c>
      <c r="B155" s="24" t="s">
        <v>0</v>
      </c>
      <c r="C155" s="24" t="s">
        <v>204</v>
      </c>
      <c r="D155" s="24" t="s">
        <v>216</v>
      </c>
      <c r="E155" s="24" t="s">
        <v>227</v>
      </c>
      <c r="F155" s="24" t="s">
        <v>228</v>
      </c>
      <c r="G155" s="24" t="s">
        <v>217</v>
      </c>
      <c r="H155" s="24" t="s">
        <v>218</v>
      </c>
    </row>
    <row r="156" spans="1:18" x14ac:dyDescent="0.35">
      <c r="A156" s="21" t="str">
        <f>C4</f>
        <v>Con_Cust1Auto,IND</v>
      </c>
      <c r="B156" s="23" t="str">
        <f>B4</f>
        <v>IND</v>
      </c>
      <c r="C156" s="21" t="s">
        <v>219</v>
      </c>
      <c r="D156" s="55">
        <f>((E156-G156)/G156*100)</f>
        <v>942.22604629629632</v>
      </c>
      <c r="E156" s="56">
        <f>K85</f>
        <v>6753624.7800000003</v>
      </c>
      <c r="F156" s="56">
        <f>M85</f>
        <v>1008157</v>
      </c>
      <c r="G156" s="56">
        <f>K86</f>
        <v>648000</v>
      </c>
      <c r="H156" s="56">
        <f>M86</f>
        <v>144010</v>
      </c>
    </row>
    <row r="158" spans="1:18" x14ac:dyDescent="0.35">
      <c r="A158" s="251" t="s">
        <v>220</v>
      </c>
      <c r="B158" s="252"/>
      <c r="C158" s="252"/>
      <c r="D158" s="252"/>
      <c r="E158" s="252"/>
      <c r="F158" s="252"/>
      <c r="G158" s="252"/>
      <c r="H158" s="252"/>
      <c r="I158" s="252"/>
      <c r="J158" s="252"/>
    </row>
    <row r="159" spans="1:18" x14ac:dyDescent="0.35">
      <c r="A159" s="253" t="s">
        <v>222</v>
      </c>
      <c r="B159" s="262" t="s">
        <v>225</v>
      </c>
      <c r="C159" s="263"/>
      <c r="D159" s="263"/>
      <c r="E159" s="264"/>
      <c r="F159" s="262" t="s">
        <v>226</v>
      </c>
      <c r="G159" s="263"/>
      <c r="H159" s="263"/>
      <c r="I159" s="264"/>
      <c r="J159" s="265" t="s">
        <v>224</v>
      </c>
    </row>
    <row r="160" spans="1:18" x14ac:dyDescent="0.35">
      <c r="A160" s="254"/>
      <c r="B160" s="24" t="s">
        <v>187</v>
      </c>
      <c r="C160" s="24" t="s">
        <v>189</v>
      </c>
      <c r="D160" s="24" t="s">
        <v>223</v>
      </c>
      <c r="E160" s="24" t="s">
        <v>229</v>
      </c>
      <c r="F160" s="24" t="s">
        <v>187</v>
      </c>
      <c r="G160" s="24" t="s">
        <v>189</v>
      </c>
      <c r="H160" s="24" t="s">
        <v>223</v>
      </c>
      <c r="I160" s="24" t="s">
        <v>229</v>
      </c>
      <c r="J160" s="266"/>
    </row>
    <row r="161" spans="1:12" x14ac:dyDescent="0.35">
      <c r="A161" s="21"/>
      <c r="B161" s="56">
        <f>E156</f>
        <v>6753624.7800000003</v>
      </c>
      <c r="C161" s="56">
        <f>F156</f>
        <v>1008157</v>
      </c>
      <c r="D161" s="56">
        <f>B161-C161</f>
        <v>5745467.7800000003</v>
      </c>
      <c r="E161" s="55">
        <f>((B161-C161)/B161*100)</f>
        <v>85.072356951402924</v>
      </c>
      <c r="F161" s="56">
        <f>G156</f>
        <v>648000</v>
      </c>
      <c r="G161" s="56">
        <f>H156</f>
        <v>144010</v>
      </c>
      <c r="H161" s="56">
        <f>F161-G161</f>
        <v>503990</v>
      </c>
      <c r="I161" s="55">
        <f>((F161-G161)/F161*100)</f>
        <v>77.776234567901241</v>
      </c>
      <c r="J161" s="55">
        <f>((B161-F161)/F161*100)</f>
        <v>942.22604629629632</v>
      </c>
    </row>
    <row r="163" spans="1:12" x14ac:dyDescent="0.35">
      <c r="A163" s="57" t="s">
        <v>153</v>
      </c>
      <c r="B163" s="58"/>
      <c r="C163" s="58"/>
    </row>
    <row r="164" spans="1:12" x14ac:dyDescent="0.35">
      <c r="A164" s="24" t="s">
        <v>153</v>
      </c>
      <c r="B164" s="24" t="s">
        <v>162</v>
      </c>
      <c r="C164" s="24" t="s">
        <v>163</v>
      </c>
      <c r="D164" s="24" t="s">
        <v>542</v>
      </c>
      <c r="E164" s="24" t="s">
        <v>137</v>
      </c>
      <c r="F164" s="24" t="s">
        <v>55</v>
      </c>
      <c r="G164" s="24" t="s">
        <v>56</v>
      </c>
      <c r="H164" s="24" t="s">
        <v>543</v>
      </c>
      <c r="I164" s="24" t="s">
        <v>544</v>
      </c>
      <c r="J164" s="24" t="s">
        <v>158</v>
      </c>
      <c r="K164" s="24" t="s">
        <v>134</v>
      </c>
      <c r="L164" s="24" t="s">
        <v>132</v>
      </c>
    </row>
    <row r="165" spans="1:12" ht="72.5" x14ac:dyDescent="0.35">
      <c r="A165" s="26" t="s">
        <v>154</v>
      </c>
      <c r="B165" s="27" t="s">
        <v>240</v>
      </c>
      <c r="C165" s="27" t="s">
        <v>240</v>
      </c>
      <c r="D165" s="27" t="s">
        <v>148</v>
      </c>
      <c r="E165" s="27" t="s">
        <v>148</v>
      </c>
      <c r="F165" s="27"/>
      <c r="G165" s="27"/>
      <c r="H165" s="27"/>
      <c r="I165" s="27"/>
      <c r="J165" s="165">
        <v>44380</v>
      </c>
      <c r="K165" s="165">
        <v>44380</v>
      </c>
      <c r="L165" s="27" t="s">
        <v>4</v>
      </c>
    </row>
    <row r="166" spans="1:12" x14ac:dyDescent="0.35">
      <c r="A166" s="251" t="s">
        <v>231</v>
      </c>
      <c r="B166" s="252"/>
      <c r="C166" s="252"/>
      <c r="D166" s="252"/>
      <c r="E166" s="252"/>
      <c r="F166" s="252"/>
      <c r="G166" s="252"/>
      <c r="H166" s="252"/>
    </row>
    <row r="167" spans="1:12" x14ac:dyDescent="0.35">
      <c r="A167" s="24" t="s">
        <v>232</v>
      </c>
      <c r="B167" s="24" t="s">
        <v>233</v>
      </c>
      <c r="C167" s="24" t="s">
        <v>234</v>
      </c>
      <c r="D167" s="24" t="s">
        <v>0</v>
      </c>
      <c r="E167" s="24" t="s">
        <v>9</v>
      </c>
      <c r="F167" s="24" t="s">
        <v>235</v>
      </c>
      <c r="G167" s="24" t="s">
        <v>236</v>
      </c>
      <c r="H167" s="24"/>
    </row>
    <row r="168" spans="1:12" x14ac:dyDescent="0.35">
      <c r="A168" s="19">
        <v>10</v>
      </c>
      <c r="B168" s="19" t="s">
        <v>4</v>
      </c>
      <c r="C168" s="19">
        <v>1000</v>
      </c>
      <c r="D168" s="19" t="s">
        <v>6</v>
      </c>
      <c r="E168" s="19"/>
      <c r="F168" s="19" t="s">
        <v>230</v>
      </c>
      <c r="G168" s="19" t="s">
        <v>187</v>
      </c>
      <c r="H168" s="19"/>
    </row>
    <row r="169" spans="1:12" x14ac:dyDescent="0.35">
      <c r="A169" s="19">
        <v>20</v>
      </c>
      <c r="B169" s="19" t="s">
        <v>4</v>
      </c>
      <c r="C169" s="19">
        <v>1000</v>
      </c>
      <c r="D169" s="19" t="s">
        <v>6</v>
      </c>
      <c r="E169" s="19"/>
      <c r="F169" s="19" t="s">
        <v>239</v>
      </c>
      <c r="G169" s="19" t="s">
        <v>187</v>
      </c>
      <c r="H169" s="19"/>
    </row>
    <row r="170" spans="1:12" x14ac:dyDescent="0.35">
      <c r="A170" s="19">
        <v>30</v>
      </c>
      <c r="B170" s="19" t="s">
        <v>4</v>
      </c>
      <c r="C170" s="19">
        <v>1000</v>
      </c>
      <c r="D170" s="19" t="s">
        <v>6</v>
      </c>
      <c r="E170" s="19"/>
      <c r="F170" s="19" t="s">
        <v>237</v>
      </c>
      <c r="G170" s="19" t="s">
        <v>189</v>
      </c>
      <c r="H170" s="19"/>
    </row>
    <row r="171" spans="1:12" x14ac:dyDescent="0.35">
      <c r="A171" s="19">
        <v>40</v>
      </c>
      <c r="B171" s="19" t="s">
        <v>4</v>
      </c>
      <c r="C171" s="19">
        <v>1000</v>
      </c>
      <c r="D171" s="19" t="s">
        <v>6</v>
      </c>
      <c r="E171" s="19"/>
      <c r="F171" s="19" t="s">
        <v>238</v>
      </c>
      <c r="G171" s="19" t="s">
        <v>189</v>
      </c>
      <c r="H171" s="19"/>
    </row>
    <row r="172" spans="1:12" x14ac:dyDescent="0.35">
      <c r="A172" s="57" t="s">
        <v>153</v>
      </c>
      <c r="B172" s="58"/>
      <c r="C172" s="58"/>
      <c r="D172" s="9"/>
      <c r="E172" s="9"/>
      <c r="F172" s="9"/>
      <c r="G172" s="9"/>
      <c r="H172" s="9"/>
    </row>
    <row r="173" spans="1:12" x14ac:dyDescent="0.35">
      <c r="A173" s="24" t="s">
        <v>153</v>
      </c>
      <c r="B173" s="24" t="s">
        <v>162</v>
      </c>
      <c r="C173" s="24" t="s">
        <v>163</v>
      </c>
      <c r="D173" s="9"/>
      <c r="E173" s="9"/>
      <c r="F173" s="9"/>
      <c r="G173" s="9"/>
      <c r="H173" s="9"/>
    </row>
    <row r="174" spans="1:12" ht="72.5" x14ac:dyDescent="0.35">
      <c r="A174" s="60" t="s">
        <v>154</v>
      </c>
      <c r="B174" s="61" t="s">
        <v>164</v>
      </c>
      <c r="C174" s="61" t="s">
        <v>164</v>
      </c>
      <c r="D174" s="9"/>
      <c r="E174" s="9"/>
      <c r="F174" s="9"/>
      <c r="G174" s="9"/>
      <c r="H174" s="9"/>
    </row>
    <row r="175" spans="1:12" x14ac:dyDescent="0.35">
      <c r="A175" s="258" t="s">
        <v>242</v>
      </c>
      <c r="B175" s="258"/>
      <c r="C175" s="258"/>
      <c r="D175" s="258"/>
      <c r="E175" s="258"/>
    </row>
    <row r="176" spans="1:12" x14ac:dyDescent="0.35">
      <c r="A176" s="251" t="s">
        <v>220</v>
      </c>
      <c r="B176" s="252"/>
      <c r="C176" s="252"/>
      <c r="D176" s="252"/>
      <c r="E176" s="252"/>
      <c r="F176" s="252"/>
      <c r="G176" s="252"/>
      <c r="H176" s="252"/>
      <c r="I176" s="252"/>
      <c r="J176" s="252"/>
    </row>
    <row r="177" spans="1:18" x14ac:dyDescent="0.35">
      <c r="A177" s="253" t="s">
        <v>222</v>
      </c>
      <c r="B177" s="262" t="s">
        <v>225</v>
      </c>
      <c r="C177" s="263"/>
      <c r="D177" s="263"/>
      <c r="E177" s="264"/>
      <c r="F177" s="262" t="s">
        <v>226</v>
      </c>
      <c r="G177" s="263"/>
      <c r="H177" s="263"/>
      <c r="I177" s="264"/>
      <c r="J177" s="265" t="s">
        <v>224</v>
      </c>
    </row>
    <row r="178" spans="1:18" x14ac:dyDescent="0.35">
      <c r="A178" s="254"/>
      <c r="B178" s="24" t="s">
        <v>187</v>
      </c>
      <c r="C178" s="24" t="s">
        <v>189</v>
      </c>
      <c r="D178" s="24" t="s">
        <v>223</v>
      </c>
      <c r="E178" s="24" t="s">
        <v>229</v>
      </c>
      <c r="F178" s="24" t="s">
        <v>187</v>
      </c>
      <c r="G178" s="24" t="s">
        <v>189</v>
      </c>
      <c r="H178" s="24" t="s">
        <v>223</v>
      </c>
      <c r="I178" s="24" t="s">
        <v>229</v>
      </c>
      <c r="J178" s="266"/>
    </row>
    <row r="179" spans="1:18" x14ac:dyDescent="0.35">
      <c r="A179" s="21"/>
      <c r="B179" s="56">
        <f>E156+C168+C169</f>
        <v>6755624.7800000003</v>
      </c>
      <c r="C179" s="56">
        <f>F156+C170+C171</f>
        <v>1010157</v>
      </c>
      <c r="D179" s="56">
        <f>B179-C179</f>
        <v>5745467.7800000003</v>
      </c>
      <c r="E179" s="55">
        <f>((B179-C179)/B179*100)</f>
        <v>85.047171314331052</v>
      </c>
      <c r="F179" s="56">
        <f>G156</f>
        <v>648000</v>
      </c>
      <c r="G179" s="56">
        <f>H156</f>
        <v>144010</v>
      </c>
      <c r="H179" s="56">
        <f>F179-G179</f>
        <v>503990</v>
      </c>
      <c r="I179" s="55">
        <f>((F179-G179)/F179*100)</f>
        <v>77.776234567901241</v>
      </c>
      <c r="J179" s="55">
        <f>((B179-F179)/F179*100)</f>
        <v>942.53468827160486</v>
      </c>
    </row>
    <row r="180" spans="1:18" x14ac:dyDescent="0.35">
      <c r="A180" s="251" t="s">
        <v>221</v>
      </c>
      <c r="B180" s="252"/>
      <c r="C180" s="252"/>
      <c r="D180" s="252"/>
      <c r="E180" s="252"/>
      <c r="F180" s="252"/>
      <c r="G180" s="252"/>
      <c r="H180" s="252"/>
    </row>
    <row r="181" spans="1:18" x14ac:dyDescent="0.35">
      <c r="A181" s="24" t="s">
        <v>1</v>
      </c>
      <c r="B181" s="24" t="s">
        <v>0</v>
      </c>
      <c r="C181" s="24" t="s">
        <v>204</v>
      </c>
      <c r="D181" s="24" t="s">
        <v>216</v>
      </c>
      <c r="E181" s="24" t="s">
        <v>227</v>
      </c>
      <c r="F181" s="24" t="s">
        <v>228</v>
      </c>
      <c r="G181" s="24" t="s">
        <v>217</v>
      </c>
      <c r="H181" s="24" t="s">
        <v>218</v>
      </c>
    </row>
    <row r="182" spans="1:18" x14ac:dyDescent="0.35">
      <c r="A182" s="21"/>
      <c r="B182" s="23"/>
      <c r="C182" s="21" t="s">
        <v>219</v>
      </c>
      <c r="D182" s="55">
        <f>((E182-G182)/G182*100)</f>
        <v>942.53468827160486</v>
      </c>
      <c r="E182" s="56">
        <f>E156+C168+C169</f>
        <v>6755624.7800000003</v>
      </c>
      <c r="F182" s="56">
        <f>F156+C170+C171</f>
        <v>1010157</v>
      </c>
      <c r="G182" s="56">
        <f>G156</f>
        <v>648000</v>
      </c>
      <c r="H182" s="56">
        <f>H156</f>
        <v>144010</v>
      </c>
    </row>
    <row r="183" spans="1:18" x14ac:dyDescent="0.35">
      <c r="A183" s="74"/>
      <c r="B183" s="75"/>
      <c r="C183" s="75"/>
      <c r="D183" s="75"/>
      <c r="E183" s="76"/>
      <c r="F183" s="75"/>
      <c r="G183" s="75"/>
      <c r="H183" s="75"/>
      <c r="I183" s="76"/>
      <c r="J183" s="76"/>
    </row>
    <row r="184" spans="1:18" x14ac:dyDescent="0.35">
      <c r="A184" s="57" t="s">
        <v>153</v>
      </c>
      <c r="B184" s="58"/>
      <c r="C184" s="58"/>
    </row>
    <row r="185" spans="1:18" x14ac:dyDescent="0.35">
      <c r="A185" s="24" t="s">
        <v>153</v>
      </c>
      <c r="B185" s="24" t="s">
        <v>162</v>
      </c>
      <c r="C185" s="24" t="s">
        <v>163</v>
      </c>
    </row>
    <row r="186" spans="1:18" ht="72.5" x14ac:dyDescent="0.35">
      <c r="A186" s="60" t="s">
        <v>154</v>
      </c>
      <c r="B186" s="61" t="s">
        <v>240</v>
      </c>
      <c r="C186" s="61" t="s">
        <v>240</v>
      </c>
    </row>
    <row r="188" spans="1:18" x14ac:dyDescent="0.35">
      <c r="A188" s="258" t="s">
        <v>545</v>
      </c>
      <c r="B188" s="258"/>
      <c r="C188" s="258"/>
      <c r="D188" s="258"/>
      <c r="E188" s="258"/>
      <c r="F188" s="258"/>
      <c r="G188" s="258"/>
      <c r="H188" s="258"/>
      <c r="I188" s="258"/>
      <c r="J188" s="258"/>
      <c r="K188" s="258"/>
      <c r="L188" s="258"/>
    </row>
    <row r="189" spans="1:18" x14ac:dyDescent="0.35">
      <c r="A189" s="196" t="s">
        <v>243</v>
      </c>
      <c r="B189" s="67">
        <f>E65+60</f>
        <v>60</v>
      </c>
      <c r="C189" s="196"/>
      <c r="D189" s="196"/>
      <c r="E189" s="196"/>
      <c r="F189" s="196"/>
      <c r="G189" s="196"/>
      <c r="H189" s="196"/>
      <c r="I189" s="196"/>
      <c r="J189" s="196"/>
      <c r="K189" s="196"/>
      <c r="L189" s="196"/>
    </row>
    <row r="190" spans="1:18" x14ac:dyDescent="0.35">
      <c r="A190" s="249" t="s">
        <v>182</v>
      </c>
      <c r="B190" s="250"/>
      <c r="C190" s="250"/>
      <c r="D190" s="250"/>
      <c r="E190" s="250"/>
    </row>
    <row r="191" spans="1:18" x14ac:dyDescent="0.35">
      <c r="A191" s="199" t="s">
        <v>183</v>
      </c>
      <c r="B191" s="199" t="s">
        <v>44</v>
      </c>
      <c r="C191" s="199" t="s">
        <v>191</v>
      </c>
      <c r="D191" s="42" t="s">
        <v>199</v>
      </c>
      <c r="E191" s="42" t="s">
        <v>200</v>
      </c>
      <c r="F191" s="42" t="s">
        <v>57</v>
      </c>
      <c r="G191" s="199" t="s">
        <v>184</v>
      </c>
      <c r="H191" s="199" t="s">
        <v>185</v>
      </c>
      <c r="I191" s="42" t="s">
        <v>18</v>
      </c>
      <c r="J191" s="42" t="s">
        <v>186</v>
      </c>
      <c r="K191" s="42" t="s">
        <v>187</v>
      </c>
      <c r="L191" s="42" t="s">
        <v>188</v>
      </c>
      <c r="M191" s="42" t="s">
        <v>189</v>
      </c>
      <c r="N191" s="42" t="s">
        <v>206</v>
      </c>
      <c r="O191" s="42" t="s">
        <v>203</v>
      </c>
      <c r="P191" s="42" t="s">
        <v>204</v>
      </c>
      <c r="Q191" s="42" t="s">
        <v>205</v>
      </c>
      <c r="R191" s="42" t="s">
        <v>190</v>
      </c>
    </row>
    <row r="192" spans="1:18" x14ac:dyDescent="0.35">
      <c r="A192" s="49" t="s">
        <v>192</v>
      </c>
      <c r="B192" s="49"/>
      <c r="C192" s="49" t="s">
        <v>201</v>
      </c>
      <c r="D192" s="49"/>
      <c r="E192" s="49"/>
      <c r="F192" s="49"/>
      <c r="G192" s="49"/>
      <c r="H192" s="49"/>
      <c r="I192" s="49"/>
      <c r="J192" s="50">
        <f>J194+J212+J226</f>
        <v>336013</v>
      </c>
      <c r="K192" s="51">
        <f>SUMIFS(K194:K259,C194:C259,C192,A194:A259,"*"&amp;"DE_"&amp;"*")</f>
        <v>6753622.5700000003</v>
      </c>
      <c r="L192" s="49"/>
      <c r="M192" s="51">
        <f>SUMIFS(M194:M259,C194:C259,C192,A194:A259,"*"&amp;"DE_"&amp;"*")</f>
        <v>1008169</v>
      </c>
      <c r="N192" s="49"/>
      <c r="O192" s="49"/>
      <c r="P192" s="49"/>
      <c r="Q192" s="49"/>
      <c r="R192" s="49"/>
    </row>
    <row r="193" spans="1:18" x14ac:dyDescent="0.35">
      <c r="A193" s="49" t="s">
        <v>192</v>
      </c>
      <c r="B193" s="49"/>
      <c r="C193" s="49" t="s">
        <v>196</v>
      </c>
      <c r="D193" s="49"/>
      <c r="E193" s="49"/>
      <c r="F193" s="49"/>
      <c r="G193" s="49"/>
      <c r="H193" s="49"/>
      <c r="I193" s="49"/>
      <c r="J193" s="50">
        <f>J195+J213+J227</f>
        <v>336000</v>
      </c>
      <c r="K193" s="51">
        <f>SUMIFS(K194:K259,C194:C259,C193,A194:A259,"*"&amp;"DE_"&amp;"*")</f>
        <v>648000</v>
      </c>
      <c r="L193" s="49"/>
      <c r="M193" s="51">
        <f>SUMIFS(M194:M259,C194:C259,C193,A194:A259,"*"&amp;"DE_"&amp;"*")</f>
        <v>144010</v>
      </c>
      <c r="N193" s="49"/>
      <c r="O193" s="49"/>
      <c r="P193" s="49"/>
      <c r="Q193" s="49"/>
      <c r="R193" s="49"/>
    </row>
    <row r="194" spans="1:18" x14ac:dyDescent="0.35">
      <c r="A194" s="52" t="s">
        <v>193</v>
      </c>
      <c r="B194" s="52"/>
      <c r="C194" s="52" t="s">
        <v>201</v>
      </c>
      <c r="D194" s="52"/>
      <c r="E194" s="52"/>
      <c r="F194" s="52"/>
      <c r="G194" s="52"/>
      <c r="H194" s="52"/>
      <c r="I194" s="52"/>
      <c r="J194" s="53">
        <f>SUMIFS(J196:J211,C196:C211,C194)</f>
        <v>48003</v>
      </c>
      <c r="K194" s="54">
        <f>SUMIFS(K196:K211,C196:C211,C194)</f>
        <v>657712.92000000004</v>
      </c>
      <c r="L194" s="52"/>
      <c r="M194" s="54">
        <f>SUMIFS(M196:M211,C196:C211,C194)</f>
        <v>144029</v>
      </c>
      <c r="N194" s="52"/>
      <c r="O194" s="52"/>
      <c r="P194" s="52"/>
      <c r="Q194" s="52"/>
      <c r="R194" s="52"/>
    </row>
    <row r="195" spans="1:18" x14ac:dyDescent="0.35">
      <c r="A195" s="52" t="s">
        <v>193</v>
      </c>
      <c r="B195" s="52"/>
      <c r="C195" s="52" t="s">
        <v>196</v>
      </c>
      <c r="D195" s="52"/>
      <c r="E195" s="52"/>
      <c r="F195" s="52"/>
      <c r="G195" s="52"/>
      <c r="H195" s="52"/>
      <c r="I195" s="52"/>
      <c r="J195" s="53">
        <f>SUMIFS(J196:J211,C196:C211,C195)</f>
        <v>48000</v>
      </c>
      <c r="K195" s="54">
        <f>SUMIFS(K196:K211,C196:C211,C195)</f>
        <v>648000</v>
      </c>
      <c r="L195" s="52"/>
      <c r="M195" s="54">
        <f>SUMIFS(M196:M211,C196:C211,C195)</f>
        <v>144010</v>
      </c>
      <c r="N195" s="52"/>
      <c r="O195" s="52"/>
      <c r="P195" s="52"/>
      <c r="Q195" s="52"/>
      <c r="R195" s="52"/>
    </row>
    <row r="196" spans="1:18" x14ac:dyDescent="0.35">
      <c r="A196" s="59" t="s">
        <v>100</v>
      </c>
      <c r="B196" s="59"/>
      <c r="C196" s="30" t="s">
        <v>201</v>
      </c>
      <c r="D196" s="71">
        <v>44197</v>
      </c>
      <c r="E196" s="72">
        <f>D198-1</f>
        <v>59</v>
      </c>
      <c r="F196" s="30">
        <v>13.5</v>
      </c>
      <c r="G196" s="30" t="str">
        <f>CONCATENATE("USD,FLAT ",TEXT(F196,"0.00"))</f>
        <v>USD,FLAT 13.50</v>
      </c>
      <c r="H196" s="36">
        <f>K196/J196</f>
        <v>13.5</v>
      </c>
      <c r="I196" s="30" t="s">
        <v>22</v>
      </c>
      <c r="J196" s="32">
        <v>48000</v>
      </c>
      <c r="K196" s="36">
        <f>J196*F196</f>
        <v>648000</v>
      </c>
      <c r="L196" s="30" t="str">
        <f>TEXT(IFERROR(((K196-K197)/K197*100),"0.00"),"0.00")</f>
        <v>0.00</v>
      </c>
      <c r="M196" s="36">
        <f>(10+J196*3)</f>
        <v>144010</v>
      </c>
      <c r="N196" s="30"/>
      <c r="O196" s="30" t="s">
        <v>171</v>
      </c>
      <c r="P196" s="30" t="s">
        <v>546</v>
      </c>
      <c r="Q196" s="30" t="s">
        <v>547</v>
      </c>
      <c r="R196" s="30"/>
    </row>
    <row r="197" spans="1:18" hidden="1" x14ac:dyDescent="0.35">
      <c r="A197" s="59"/>
      <c r="B197" s="59"/>
      <c r="C197" s="33" t="s">
        <v>196</v>
      </c>
      <c r="D197" s="70"/>
      <c r="E197" s="70"/>
      <c r="F197" s="33">
        <v>13.5</v>
      </c>
      <c r="G197" s="33" t="str">
        <f>CONCATENATE("USD,FLAT ",TEXT(F197,"0.00"))</f>
        <v>USD,FLAT 13.50</v>
      </c>
      <c r="H197" s="38">
        <f>IFERROR(K197/J197,"0")</f>
        <v>13.5</v>
      </c>
      <c r="I197" s="33" t="s">
        <v>22</v>
      </c>
      <c r="J197" s="34">
        <v>48000</v>
      </c>
      <c r="K197" s="38">
        <f>J197*F197</f>
        <v>648000</v>
      </c>
      <c r="L197" s="33"/>
      <c r="M197" s="38">
        <f>(10+J197*3)</f>
        <v>144010</v>
      </c>
      <c r="N197" s="33"/>
      <c r="O197" s="33"/>
      <c r="P197" s="33"/>
      <c r="Q197" s="33"/>
      <c r="R197" s="33"/>
    </row>
    <row r="198" spans="1:18" x14ac:dyDescent="0.35">
      <c r="A198" s="59"/>
      <c r="B198" s="59"/>
      <c r="C198" s="43" t="s">
        <v>197</v>
      </c>
      <c r="D198" s="115">
        <f>B189</f>
        <v>60</v>
      </c>
      <c r="E198" s="43"/>
      <c r="F198" s="43">
        <v>12.99</v>
      </c>
      <c r="G198" s="43" t="str">
        <f>CONCATENATE("USD,FLAT ",TEXT(F198,"0.00"))</f>
        <v>USD,FLAT 12.99</v>
      </c>
      <c r="H198" s="116">
        <f>K198/J198</f>
        <v>12.99</v>
      </c>
      <c r="I198" s="43" t="s">
        <v>22</v>
      </c>
      <c r="J198" s="117">
        <v>48000</v>
      </c>
      <c r="K198" s="116">
        <f>J198*F198</f>
        <v>623520</v>
      </c>
      <c r="L198" s="118" t="str">
        <f>TEXT(IFERROR(((K198-K197)/K197*100),"0.00"),"0.00")</f>
        <v>-3.78</v>
      </c>
      <c r="M198" s="116">
        <f>(10+J198*3)</f>
        <v>144010</v>
      </c>
      <c r="N198" s="43"/>
      <c r="O198" s="43" t="s">
        <v>171</v>
      </c>
      <c r="P198" s="43" t="s">
        <v>546</v>
      </c>
      <c r="Q198" s="43" t="s">
        <v>547</v>
      </c>
      <c r="R198" s="43"/>
    </row>
    <row r="199" spans="1:18" hidden="1" x14ac:dyDescent="0.35">
      <c r="A199" s="59"/>
      <c r="B199" s="59"/>
      <c r="C199" s="44" t="s">
        <v>198</v>
      </c>
      <c r="D199" s="44"/>
      <c r="E199" s="44"/>
      <c r="F199" s="44"/>
      <c r="G199" s="44"/>
      <c r="H199" s="44"/>
      <c r="I199" s="44"/>
      <c r="J199" s="44"/>
      <c r="K199" s="44"/>
      <c r="L199" s="44"/>
      <c r="M199" s="44"/>
      <c r="N199" s="44"/>
      <c r="O199" s="44"/>
      <c r="P199" s="44"/>
      <c r="Q199" s="44"/>
      <c r="R199" s="44"/>
    </row>
    <row r="200" spans="1:18" x14ac:dyDescent="0.35">
      <c r="A200" s="166" t="s">
        <v>101</v>
      </c>
      <c r="B200" s="59"/>
      <c r="C200" s="30" t="s">
        <v>201</v>
      </c>
      <c r="D200" s="71">
        <v>44197</v>
      </c>
      <c r="E200" s="72">
        <f>D202-1</f>
        <v>59</v>
      </c>
      <c r="F200" s="63">
        <v>9.89</v>
      </c>
      <c r="G200" s="30" t="str">
        <f>CONCATENATE("USD,FLAT ",TEXT(F200,"0.00"))</f>
        <v>USD,FLAT 9.89</v>
      </c>
      <c r="H200" s="36">
        <f>K200/J200</f>
        <v>9.89</v>
      </c>
      <c r="I200" s="30" t="s">
        <v>22</v>
      </c>
      <c r="J200" s="64">
        <v>3</v>
      </c>
      <c r="K200" s="36">
        <f>J200*F200</f>
        <v>29.67</v>
      </c>
      <c r="L200" s="30" t="str">
        <f>TEXT(IFERROR(((K200-K201)/K201*100),"0.00"),"0.00")</f>
        <v>0.00</v>
      </c>
      <c r="M200" s="36">
        <f>(10+J200*3)</f>
        <v>19</v>
      </c>
      <c r="N200" s="30"/>
      <c r="O200" s="30" t="s">
        <v>171</v>
      </c>
      <c r="P200" s="30" t="s">
        <v>546</v>
      </c>
      <c r="Q200" s="30" t="s">
        <v>547</v>
      </c>
      <c r="R200" s="30"/>
    </row>
    <row r="201" spans="1:18" hidden="1" x14ac:dyDescent="0.35">
      <c r="A201" s="59"/>
      <c r="B201" s="59"/>
      <c r="C201" s="33" t="s">
        <v>196</v>
      </c>
      <c r="D201" s="33"/>
      <c r="E201" s="33"/>
      <c r="F201" s="33">
        <v>9.9499999999999993</v>
      </c>
      <c r="G201" s="33" t="str">
        <f>CONCATENATE("USD,FLAT ",TEXT(F201,"0.00"))</f>
        <v>USD,FLAT 9.95</v>
      </c>
      <c r="H201" s="38" t="str">
        <f>IFERROR(K201/J201,"0")</f>
        <v>0</v>
      </c>
      <c r="I201" s="33"/>
      <c r="J201" s="34"/>
      <c r="K201" s="38">
        <f>J201*F201</f>
        <v>0</v>
      </c>
      <c r="L201" s="33"/>
      <c r="M201" s="38"/>
      <c r="N201" s="33"/>
      <c r="O201" s="33"/>
      <c r="P201" s="33"/>
      <c r="Q201" s="33"/>
      <c r="R201" s="33"/>
    </row>
    <row r="202" spans="1:18" x14ac:dyDescent="0.35">
      <c r="A202" s="59"/>
      <c r="B202" s="59"/>
      <c r="C202" s="43" t="s">
        <v>197</v>
      </c>
      <c r="D202" s="115">
        <f>B189</f>
        <v>60</v>
      </c>
      <c r="E202" s="43"/>
      <c r="F202" s="43">
        <v>8.99</v>
      </c>
      <c r="G202" s="43" t="str">
        <f>CONCATENATE("USD,FLAT ",TEXT(F202,"0.00"))</f>
        <v>USD,FLAT 8.99</v>
      </c>
      <c r="H202" s="116">
        <f>K202/J202</f>
        <v>8.99</v>
      </c>
      <c r="I202" s="43" t="s">
        <v>22</v>
      </c>
      <c r="J202" s="117">
        <v>3</v>
      </c>
      <c r="K202" s="116">
        <f>J202*F202</f>
        <v>26.97</v>
      </c>
      <c r="L202" s="118" t="str">
        <f>TEXT(IFERROR(((K202-K203)/K203*100),"0.00"),"0.00")</f>
        <v>0.00</v>
      </c>
      <c r="M202" s="116">
        <f>(10+J202*3)</f>
        <v>19</v>
      </c>
      <c r="N202" s="43"/>
      <c r="O202" s="43" t="s">
        <v>171</v>
      </c>
      <c r="P202" s="43" t="s">
        <v>558</v>
      </c>
      <c r="Q202" s="43"/>
      <c r="R202" s="43"/>
    </row>
    <row r="203" spans="1:18" hidden="1" x14ac:dyDescent="0.35">
      <c r="A203" s="59"/>
      <c r="B203" s="59"/>
      <c r="C203" s="44" t="s">
        <v>198</v>
      </c>
      <c r="D203" s="44"/>
      <c r="E203" s="44"/>
      <c r="F203" s="44"/>
      <c r="G203" s="44"/>
      <c r="H203" s="44"/>
      <c r="I203" s="44"/>
      <c r="J203" s="44"/>
      <c r="K203" s="44"/>
      <c r="L203" s="44"/>
      <c r="M203" s="44"/>
      <c r="N203" s="44"/>
      <c r="O203" s="44"/>
      <c r="P203" s="44"/>
      <c r="Q203" s="44"/>
      <c r="R203" s="44"/>
    </row>
    <row r="204" spans="1:18" x14ac:dyDescent="0.35">
      <c r="A204" s="166" t="s">
        <v>207</v>
      </c>
      <c r="B204" s="59"/>
      <c r="C204" s="30" t="s">
        <v>201</v>
      </c>
      <c r="D204" s="71">
        <v>44197</v>
      </c>
      <c r="E204" s="72">
        <f>D206-1</f>
        <v>59</v>
      </c>
      <c r="F204" s="63">
        <v>111.08</v>
      </c>
      <c r="G204" s="30" t="str">
        <f>CONCATENATE("USD,FLAT ",TEXT(F204,"0.00"))</f>
        <v>USD,FLAT 111.08</v>
      </c>
      <c r="H204" s="36">
        <f>F204</f>
        <v>111.08</v>
      </c>
      <c r="I204" s="30"/>
      <c r="J204" s="32"/>
      <c r="K204" s="36">
        <f>(F204*5*5)</f>
        <v>2777</v>
      </c>
      <c r="L204" s="30" t="str">
        <f>TEXT(IFERROR(((K204-K205)/K205*100),"0.00"),"0.00")</f>
        <v>0.00</v>
      </c>
      <c r="M204" s="36">
        <v>0</v>
      </c>
      <c r="N204" s="35"/>
      <c r="O204" s="30" t="s">
        <v>171</v>
      </c>
      <c r="P204" s="30" t="s">
        <v>548</v>
      </c>
      <c r="Q204" s="30"/>
      <c r="R204" s="30"/>
    </row>
    <row r="205" spans="1:18" hidden="1" x14ac:dyDescent="0.35">
      <c r="A205" s="59"/>
      <c r="B205" s="59"/>
      <c r="C205" s="33" t="s">
        <v>196</v>
      </c>
      <c r="D205" s="33"/>
      <c r="E205" s="33"/>
      <c r="F205" s="33"/>
      <c r="G205" s="33"/>
      <c r="H205" s="38"/>
      <c r="I205" s="33"/>
      <c r="J205" s="34"/>
      <c r="K205" s="38"/>
      <c r="L205" s="33"/>
      <c r="M205" s="38"/>
      <c r="N205" s="33"/>
      <c r="O205" s="33"/>
      <c r="P205" s="33"/>
      <c r="Q205" s="33"/>
      <c r="R205" s="33"/>
    </row>
    <row r="206" spans="1:18" x14ac:dyDescent="0.35">
      <c r="A206" s="59"/>
      <c r="B206" s="59"/>
      <c r="C206" s="43" t="s">
        <v>197</v>
      </c>
      <c r="D206" s="115">
        <f>B189</f>
        <v>60</v>
      </c>
      <c r="E206" s="43"/>
      <c r="F206" s="43">
        <v>109.9</v>
      </c>
      <c r="G206" s="43" t="str">
        <f>CONCATENATE("USD,FLAT ",TEXT(F206,"0.00"))</f>
        <v>USD,FLAT 109.90</v>
      </c>
      <c r="H206" s="116">
        <f>F206</f>
        <v>109.9</v>
      </c>
      <c r="I206" s="43" t="s">
        <v>22</v>
      </c>
      <c r="J206" s="117"/>
      <c r="K206" s="116">
        <f>(F206*5*5)</f>
        <v>2747.5</v>
      </c>
      <c r="L206" s="118" t="str">
        <f>TEXT(IFERROR(((K206-K207)/K207*100),"0.00"),"0.00")</f>
        <v>0.00</v>
      </c>
      <c r="M206" s="116">
        <v>0</v>
      </c>
      <c r="N206" s="43"/>
      <c r="O206" s="43" t="s">
        <v>171</v>
      </c>
      <c r="P206" s="43" t="s">
        <v>548</v>
      </c>
      <c r="Q206" s="43"/>
      <c r="R206" s="43"/>
    </row>
    <row r="207" spans="1:18" hidden="1" x14ac:dyDescent="0.35">
      <c r="A207" s="8"/>
      <c r="B207" s="8"/>
      <c r="C207" s="44" t="s">
        <v>198</v>
      </c>
      <c r="D207" s="44"/>
      <c r="E207" s="44"/>
      <c r="F207" s="44"/>
      <c r="G207" s="44"/>
      <c r="H207" s="44"/>
      <c r="I207" s="44"/>
      <c r="J207" s="44"/>
      <c r="K207" s="44"/>
      <c r="L207" s="44"/>
      <c r="M207" s="44"/>
      <c r="N207" s="44"/>
      <c r="O207" s="44"/>
      <c r="P207" s="44"/>
      <c r="Q207" s="44"/>
      <c r="R207" s="44"/>
    </row>
    <row r="208" spans="1:18" hidden="1" x14ac:dyDescent="0.35">
      <c r="A208" s="59" t="s">
        <v>102</v>
      </c>
      <c r="B208" s="8"/>
      <c r="C208" s="30" t="s">
        <v>201</v>
      </c>
      <c r="D208" s="30"/>
      <c r="E208" s="30"/>
      <c r="F208" s="30">
        <v>276.25</v>
      </c>
      <c r="G208" s="30" t="str">
        <f>CONCATENATE("USD,FLAT ",TEXT(F208,"0.00"))</f>
        <v>USD,FLAT 276.25</v>
      </c>
      <c r="H208" s="36">
        <f>F208</f>
        <v>276.25</v>
      </c>
      <c r="I208" s="30"/>
      <c r="J208" s="32"/>
      <c r="K208" s="36">
        <f>(F208*5*5)</f>
        <v>6906.25</v>
      </c>
      <c r="L208" s="30" t="str">
        <f>TEXT(IFERROR(((K208-K209)/K209*100),"0.00"),"0.00")</f>
        <v>0.00</v>
      </c>
      <c r="M208" s="36">
        <v>0</v>
      </c>
      <c r="N208" s="30"/>
      <c r="O208" s="30"/>
      <c r="P208" s="30"/>
      <c r="Q208" s="30"/>
      <c r="R208" s="30"/>
    </row>
    <row r="209" spans="1:18" hidden="1" x14ac:dyDescent="0.35">
      <c r="A209" s="8"/>
      <c r="B209" s="8"/>
      <c r="C209" s="33" t="s">
        <v>196</v>
      </c>
      <c r="D209" s="33"/>
      <c r="E209" s="33"/>
      <c r="F209" s="33"/>
      <c r="G209" s="33"/>
      <c r="H209" s="38"/>
      <c r="I209" s="33"/>
      <c r="J209" s="34"/>
      <c r="K209" s="38"/>
      <c r="L209" s="33"/>
      <c r="M209" s="38"/>
      <c r="N209" s="33"/>
      <c r="O209" s="33"/>
      <c r="P209" s="33"/>
      <c r="Q209" s="33"/>
      <c r="R209" s="33"/>
    </row>
    <row r="210" spans="1:18" hidden="1" x14ac:dyDescent="0.35">
      <c r="A210" s="8"/>
      <c r="B210" s="8"/>
      <c r="C210" s="43" t="s">
        <v>197</v>
      </c>
      <c r="D210" s="43"/>
      <c r="E210" s="43"/>
      <c r="F210" s="43"/>
      <c r="G210" s="43"/>
      <c r="H210" s="43"/>
      <c r="I210" s="43"/>
      <c r="J210" s="43"/>
      <c r="K210" s="43"/>
      <c r="L210" s="43"/>
      <c r="M210" s="43"/>
      <c r="N210" s="43"/>
      <c r="O210" s="43"/>
      <c r="P210" s="43"/>
      <c r="Q210" s="43"/>
      <c r="R210" s="43"/>
    </row>
    <row r="211" spans="1:18" hidden="1" x14ac:dyDescent="0.35">
      <c r="A211" s="8"/>
      <c r="B211" s="8"/>
      <c r="C211" s="44" t="s">
        <v>198</v>
      </c>
      <c r="D211" s="44"/>
      <c r="E211" s="44"/>
      <c r="F211" s="44"/>
      <c r="G211" s="44"/>
      <c r="H211" s="44"/>
      <c r="I211" s="44"/>
      <c r="J211" s="44"/>
      <c r="K211" s="44"/>
      <c r="L211" s="44"/>
      <c r="M211" s="44"/>
      <c r="N211" s="44"/>
      <c r="O211" s="44"/>
      <c r="P211" s="44"/>
      <c r="Q211" s="44"/>
      <c r="R211" s="44"/>
    </row>
    <row r="212" spans="1:18" x14ac:dyDescent="0.35">
      <c r="A212" s="52" t="s">
        <v>194</v>
      </c>
      <c r="B212" s="52"/>
      <c r="C212" s="52" t="s">
        <v>201</v>
      </c>
      <c r="D212" s="52"/>
      <c r="E212" s="52"/>
      <c r="F212" s="52"/>
      <c r="G212" s="52"/>
      <c r="H212" s="52"/>
      <c r="I212" s="52"/>
      <c r="J212" s="53">
        <f>SUMIFS(J214:J225,C214:C225,C212)</f>
        <v>288000</v>
      </c>
      <c r="K212" s="54">
        <f>SUMIFS(K214:K225,C214:C225,C212)</f>
        <v>6092880</v>
      </c>
      <c r="L212" s="52"/>
      <c r="M212" s="54">
        <f>SUMIFS(M214:M225,C214:C225,C212)</f>
        <v>864030</v>
      </c>
      <c r="N212" s="52"/>
      <c r="O212" s="52"/>
      <c r="P212" s="52"/>
      <c r="Q212" s="52"/>
      <c r="R212" s="52"/>
    </row>
    <row r="213" spans="1:18" x14ac:dyDescent="0.35">
      <c r="A213" s="52" t="s">
        <v>194</v>
      </c>
      <c r="B213" s="52"/>
      <c r="C213" s="52" t="s">
        <v>196</v>
      </c>
      <c r="D213" s="52"/>
      <c r="E213" s="52"/>
      <c r="F213" s="52"/>
      <c r="G213" s="52"/>
      <c r="H213" s="52"/>
      <c r="I213" s="52"/>
      <c r="J213" s="53">
        <f>SUMIFS(J214:J225,C214:C225,C213)</f>
        <v>288000</v>
      </c>
      <c r="K213" s="54">
        <f>SUMIFS(K214:K223,C214:C223,C213)</f>
        <v>0</v>
      </c>
      <c r="L213" s="52"/>
      <c r="M213" s="54">
        <f>SUMIFS(M214:M223,C214:C223,C213)</f>
        <v>0</v>
      </c>
      <c r="N213" s="52"/>
      <c r="O213" s="52"/>
      <c r="P213" s="52"/>
      <c r="Q213" s="52"/>
      <c r="R213" s="52"/>
    </row>
    <row r="214" spans="1:18" x14ac:dyDescent="0.35">
      <c r="A214" s="59" t="s">
        <v>103</v>
      </c>
      <c r="B214" s="59"/>
      <c r="C214" s="30" t="s">
        <v>201</v>
      </c>
      <c r="D214" s="71">
        <v>44197</v>
      </c>
      <c r="E214" s="72">
        <f>D216-1</f>
        <v>59</v>
      </c>
      <c r="F214" s="31" t="s">
        <v>211</v>
      </c>
      <c r="G214" s="30" t="s">
        <v>208</v>
      </c>
      <c r="H214" s="36">
        <f>K214/J214</f>
        <v>12.25</v>
      </c>
      <c r="I214" s="30" t="s">
        <v>22</v>
      </c>
      <c r="J214" s="32">
        <v>72000</v>
      </c>
      <c r="K214" s="36">
        <f>(1000*12.95+4000*12.15+1000*11.95)*12</f>
        <v>882000</v>
      </c>
      <c r="L214" s="30" t="str">
        <f>TEXT(IFERROR(((K214-K215)/K215*100),"0.00"),"0.00")</f>
        <v>0.00</v>
      </c>
      <c r="M214" s="36">
        <f>(10+J214*3)</f>
        <v>216010</v>
      </c>
      <c r="N214" s="35" t="s">
        <v>54</v>
      </c>
      <c r="O214" s="30" t="s">
        <v>213</v>
      </c>
      <c r="P214" s="30" t="s">
        <v>549</v>
      </c>
      <c r="Q214" s="30"/>
      <c r="R214" s="30"/>
    </row>
    <row r="215" spans="1:18" hidden="1" x14ac:dyDescent="0.35">
      <c r="A215" s="8"/>
      <c r="B215" s="8"/>
      <c r="C215" s="33" t="s">
        <v>196</v>
      </c>
      <c r="D215" s="33"/>
      <c r="E215" s="33"/>
      <c r="F215" s="33"/>
      <c r="G215" s="33"/>
      <c r="H215" s="38">
        <f>IFERROR(K215/J215,"0")</f>
        <v>0</v>
      </c>
      <c r="I215" s="33" t="s">
        <v>22</v>
      </c>
      <c r="J215" s="34">
        <v>72000</v>
      </c>
      <c r="K215" s="40">
        <v>0</v>
      </c>
      <c r="L215" s="33"/>
      <c r="M215" s="38"/>
      <c r="N215" s="33"/>
      <c r="O215" s="33"/>
      <c r="P215" s="33"/>
      <c r="Q215" s="33"/>
      <c r="R215" s="33"/>
    </row>
    <row r="216" spans="1:18" x14ac:dyDescent="0.35">
      <c r="A216" s="8"/>
      <c r="B216" s="8"/>
      <c r="C216" s="43" t="s">
        <v>197</v>
      </c>
      <c r="D216" s="115">
        <f>B189</f>
        <v>60</v>
      </c>
      <c r="E216" s="43"/>
      <c r="F216" s="43" t="s">
        <v>244</v>
      </c>
      <c r="G216" s="43" t="str">
        <f>CONCATENATE("USD,FLAT ",TEXT(F216,"0.00"))</f>
        <v>USD,FLAT 13.05,11.15,11.95</v>
      </c>
      <c r="H216" s="116">
        <f>K216/J216</f>
        <v>11.6</v>
      </c>
      <c r="I216" s="43" t="s">
        <v>22</v>
      </c>
      <c r="J216" s="117">
        <v>72000</v>
      </c>
      <c r="K216" s="116">
        <f>(1000*13.05+4000*11.15+1000*11.95)*12</f>
        <v>835200</v>
      </c>
      <c r="L216" s="118" t="str">
        <f>TEXT(IFERROR(((K216-K217)/K217*100),"0.00"),"0.00")</f>
        <v>0.00</v>
      </c>
      <c r="M216" s="116">
        <f>(10+J216*3)</f>
        <v>216010</v>
      </c>
      <c r="N216" s="43"/>
      <c r="O216" s="43" t="s">
        <v>171</v>
      </c>
      <c r="P216" s="43" t="s">
        <v>549</v>
      </c>
      <c r="Q216" s="43"/>
      <c r="R216" s="43"/>
    </row>
    <row r="217" spans="1:18" hidden="1" x14ac:dyDescent="0.35">
      <c r="A217" s="8"/>
      <c r="B217" s="8"/>
      <c r="C217" s="44" t="s">
        <v>198</v>
      </c>
      <c r="D217" s="44"/>
      <c r="E217" s="44"/>
      <c r="F217" s="44"/>
      <c r="G217" s="44"/>
      <c r="H217" s="44"/>
      <c r="I217" s="44"/>
      <c r="J217" s="44"/>
      <c r="K217" s="46"/>
      <c r="L217" s="44"/>
      <c r="M217" s="44"/>
      <c r="N217" s="44"/>
      <c r="O217" s="44"/>
      <c r="P217" s="44"/>
      <c r="Q217" s="44"/>
      <c r="R217" s="44"/>
    </row>
    <row r="218" spans="1:18" hidden="1" x14ac:dyDescent="0.35">
      <c r="A218" s="59" t="s">
        <v>104</v>
      </c>
      <c r="B218" s="8"/>
      <c r="C218" s="30" t="s">
        <v>201</v>
      </c>
      <c r="D218" s="30"/>
      <c r="E218" s="30"/>
      <c r="F218" s="31" t="s">
        <v>211</v>
      </c>
      <c r="G218" s="30" t="s">
        <v>209</v>
      </c>
      <c r="H218" s="36">
        <f>K218/J218</f>
        <v>11.95</v>
      </c>
      <c r="I218" s="30" t="s">
        <v>22</v>
      </c>
      <c r="J218" s="32">
        <v>96000</v>
      </c>
      <c r="K218" s="36">
        <f>J218*11.95</f>
        <v>1147200</v>
      </c>
      <c r="L218" s="30" t="str">
        <f>TEXT(IFERROR(((K218-K219)/K219*100),"0.00"),"0.00")</f>
        <v>0.00</v>
      </c>
      <c r="M218" s="36">
        <f>(10+J218*3)</f>
        <v>288010</v>
      </c>
      <c r="N218" s="35" t="s">
        <v>54</v>
      </c>
      <c r="O218" s="30" t="s">
        <v>213</v>
      </c>
      <c r="P218" s="30"/>
      <c r="Q218" s="30"/>
      <c r="R218" s="30"/>
    </row>
    <row r="219" spans="1:18" hidden="1" x14ac:dyDescent="0.35">
      <c r="A219" s="8"/>
      <c r="B219" s="8"/>
      <c r="C219" s="33" t="s">
        <v>196</v>
      </c>
      <c r="D219" s="33"/>
      <c r="E219" s="33"/>
      <c r="F219" s="33"/>
      <c r="G219" s="33"/>
      <c r="H219" s="38">
        <f>IFERROR(K219/J219,"0")</f>
        <v>0</v>
      </c>
      <c r="I219" s="33" t="s">
        <v>22</v>
      </c>
      <c r="J219" s="34">
        <v>96000</v>
      </c>
      <c r="K219" s="40">
        <v>0</v>
      </c>
      <c r="L219" s="33"/>
      <c r="M219" s="33"/>
      <c r="N219" s="33"/>
      <c r="O219" s="33"/>
      <c r="P219" s="33"/>
      <c r="Q219" s="33"/>
      <c r="R219" s="33"/>
    </row>
    <row r="220" spans="1:18" hidden="1" x14ac:dyDescent="0.35">
      <c r="A220" s="8"/>
      <c r="B220" s="8"/>
      <c r="C220" s="43" t="s">
        <v>197</v>
      </c>
      <c r="D220" s="43"/>
      <c r="E220" s="43"/>
      <c r="F220" s="43"/>
      <c r="G220" s="43"/>
      <c r="H220" s="43"/>
      <c r="I220" s="43"/>
      <c r="J220" s="43"/>
      <c r="K220" s="45"/>
      <c r="L220" s="43"/>
      <c r="M220" s="43"/>
      <c r="N220" s="43"/>
      <c r="O220" s="43"/>
      <c r="P220" s="43"/>
      <c r="Q220" s="43"/>
      <c r="R220" s="43"/>
    </row>
    <row r="221" spans="1:18" hidden="1" x14ac:dyDescent="0.35">
      <c r="A221" s="8"/>
      <c r="B221" s="8"/>
      <c r="C221" s="44" t="s">
        <v>198</v>
      </c>
      <c r="D221" s="44"/>
      <c r="E221" s="44"/>
      <c r="F221" s="44"/>
      <c r="G221" s="44"/>
      <c r="H221" s="44"/>
      <c r="I221" s="44"/>
      <c r="J221" s="44"/>
      <c r="K221" s="46"/>
      <c r="L221" s="44"/>
      <c r="M221" s="44"/>
      <c r="N221" s="44"/>
      <c r="O221" s="44"/>
      <c r="P221" s="44"/>
      <c r="Q221" s="44"/>
      <c r="R221" s="44"/>
    </row>
    <row r="222" spans="1:18" ht="29" hidden="1" x14ac:dyDescent="0.35">
      <c r="A222" s="59" t="s">
        <v>105</v>
      </c>
      <c r="B222" s="8"/>
      <c r="C222" s="30" t="s">
        <v>201</v>
      </c>
      <c r="D222" s="30"/>
      <c r="E222" s="30"/>
      <c r="F222" s="31" t="s">
        <v>212</v>
      </c>
      <c r="G222" s="30" t="s">
        <v>210</v>
      </c>
      <c r="H222" s="36">
        <f>K222/J222</f>
        <v>33.863999999999997</v>
      </c>
      <c r="I222" s="30" t="s">
        <v>22</v>
      </c>
      <c r="J222" s="32">
        <v>120000</v>
      </c>
      <c r="K222" s="36">
        <f>'UC01 - CALCULATOIN'!C13</f>
        <v>4063680</v>
      </c>
      <c r="L222" s="30" t="str">
        <f>TEXT(IFERROR(((K222-K223)/K223*100),"0.00"),"0.00")</f>
        <v>0.00</v>
      </c>
      <c r="M222" s="36">
        <f>(10+J222*3)</f>
        <v>360010</v>
      </c>
      <c r="N222" s="35" t="s">
        <v>54</v>
      </c>
      <c r="O222" s="30" t="s">
        <v>213</v>
      </c>
      <c r="P222" s="30"/>
      <c r="Q222" s="30"/>
      <c r="R222" s="30"/>
    </row>
    <row r="223" spans="1:18" hidden="1" x14ac:dyDescent="0.35">
      <c r="A223" s="8"/>
      <c r="B223" s="8"/>
      <c r="C223" s="33" t="s">
        <v>196</v>
      </c>
      <c r="D223" s="33"/>
      <c r="E223" s="33"/>
      <c r="F223" s="33"/>
      <c r="G223" s="33"/>
      <c r="H223" s="38">
        <f>IFERROR(K223/J223,"0")</f>
        <v>0</v>
      </c>
      <c r="I223" s="33" t="s">
        <v>22</v>
      </c>
      <c r="J223" s="34">
        <v>120000</v>
      </c>
      <c r="K223" s="40">
        <v>0</v>
      </c>
      <c r="L223" s="33"/>
      <c r="M223" s="33"/>
      <c r="N223" s="33"/>
      <c r="O223" s="33"/>
      <c r="P223" s="33"/>
      <c r="Q223" s="33"/>
      <c r="R223" s="33"/>
    </row>
    <row r="224" spans="1:18" hidden="1" x14ac:dyDescent="0.35">
      <c r="A224" s="8"/>
      <c r="B224" s="8"/>
      <c r="C224" s="43" t="s">
        <v>197</v>
      </c>
      <c r="D224" s="43"/>
      <c r="E224" s="43"/>
      <c r="F224" s="43"/>
      <c r="G224" s="43"/>
      <c r="H224" s="43"/>
      <c r="I224" s="43"/>
      <c r="J224" s="43"/>
      <c r="K224" s="45"/>
      <c r="L224" s="43"/>
      <c r="M224" s="43"/>
      <c r="N224" s="43"/>
      <c r="O224" s="43"/>
      <c r="P224" s="43"/>
      <c r="Q224" s="43"/>
      <c r="R224" s="43"/>
    </row>
    <row r="225" spans="1:18" hidden="1" x14ac:dyDescent="0.35">
      <c r="A225" s="8"/>
      <c r="B225" s="8"/>
      <c r="C225" s="44" t="s">
        <v>198</v>
      </c>
      <c r="D225" s="44"/>
      <c r="E225" s="44"/>
      <c r="F225" s="44"/>
      <c r="G225" s="44"/>
      <c r="H225" s="44"/>
      <c r="I225" s="44"/>
      <c r="J225" s="44"/>
      <c r="K225" s="46"/>
      <c r="L225" s="44"/>
      <c r="M225" s="44"/>
      <c r="N225" s="44"/>
      <c r="O225" s="44"/>
      <c r="P225" s="44"/>
      <c r="Q225" s="44"/>
      <c r="R225" s="44"/>
    </row>
    <row r="226" spans="1:18" x14ac:dyDescent="0.35">
      <c r="A226" s="52" t="s">
        <v>195</v>
      </c>
      <c r="B226" s="52"/>
      <c r="C226" s="52" t="s">
        <v>201</v>
      </c>
      <c r="D226" s="52"/>
      <c r="E226" s="52"/>
      <c r="F226" s="52"/>
      <c r="G226" s="52"/>
      <c r="H226" s="52"/>
      <c r="I226" s="52"/>
      <c r="J226" s="53">
        <f>SUMIFS(J228:J256,C228:C256,C226)</f>
        <v>10</v>
      </c>
      <c r="K226" s="54">
        <f>SUMIFS(K228:K259,C228:C259,C226)</f>
        <v>3029.6500000000005</v>
      </c>
      <c r="L226" s="52"/>
      <c r="M226" s="54">
        <f>SUMIFS(M228:M259,C228:C259,C226)</f>
        <v>110</v>
      </c>
      <c r="N226" s="52"/>
      <c r="O226" s="52"/>
      <c r="P226" s="52"/>
      <c r="Q226" s="52"/>
      <c r="R226" s="52"/>
    </row>
    <row r="227" spans="1:18" x14ac:dyDescent="0.35">
      <c r="A227" s="52" t="s">
        <v>195</v>
      </c>
      <c r="B227" s="52"/>
      <c r="C227" s="52" t="s">
        <v>196</v>
      </c>
      <c r="D227" s="52"/>
      <c r="E227" s="52"/>
      <c r="F227" s="52"/>
      <c r="G227" s="52"/>
      <c r="H227" s="52"/>
      <c r="I227" s="52"/>
      <c r="J227" s="53">
        <f>SUMIFS(J228:J256,C228:C256,C227)</f>
        <v>0</v>
      </c>
      <c r="K227" s="54">
        <f>SUMIFS(K228:K259,C228:C259,C227)</f>
        <v>0</v>
      </c>
      <c r="L227" s="52"/>
      <c r="M227" s="54">
        <f>SUMIFS(M228:M259,C228:C259,C227)</f>
        <v>0</v>
      </c>
      <c r="N227" s="52"/>
      <c r="O227" s="52"/>
      <c r="P227" s="52"/>
      <c r="Q227" s="52"/>
      <c r="R227" s="52"/>
    </row>
    <row r="228" spans="1:18" x14ac:dyDescent="0.35">
      <c r="A228" s="59" t="s">
        <v>106</v>
      </c>
      <c r="B228" s="8"/>
      <c r="C228" s="30" t="s">
        <v>201</v>
      </c>
      <c r="D228" s="30"/>
      <c r="E228" s="30"/>
      <c r="F228" s="65">
        <v>0.14000000000000001</v>
      </c>
      <c r="G228" s="30" t="str">
        <f>CONCATENATE("USD,FLAT ",TEXT(F228,"0.00"))</f>
        <v>USD,FLAT 0.14</v>
      </c>
      <c r="H228" s="36">
        <f>(K228/J228)</f>
        <v>1500.14</v>
      </c>
      <c r="I228" s="30" t="s">
        <v>22</v>
      </c>
      <c r="J228" s="64">
        <v>2</v>
      </c>
      <c r="K228" s="39">
        <f>J228*F228+3000</f>
        <v>3000.28</v>
      </c>
      <c r="L228" s="30" t="str">
        <f>TEXT(IFERROR(((K228-K229)/K229*100),"0.00"),"0.00")</f>
        <v>0.00</v>
      </c>
      <c r="M228" s="36">
        <f>(10+J228*3)</f>
        <v>16</v>
      </c>
      <c r="N228" s="35"/>
      <c r="O228" s="30" t="s">
        <v>171</v>
      </c>
      <c r="P228" s="30" t="s">
        <v>549</v>
      </c>
      <c r="Q228" s="30"/>
      <c r="R228" s="30"/>
    </row>
    <row r="229" spans="1:18" hidden="1" x14ac:dyDescent="0.35">
      <c r="A229" s="59"/>
      <c r="B229" s="8"/>
      <c r="C229" s="33" t="s">
        <v>196</v>
      </c>
      <c r="D229" s="33"/>
      <c r="E229" s="33"/>
      <c r="F229" s="33"/>
      <c r="G229" s="33"/>
      <c r="H229" s="38" t="str">
        <f>IFERROR(K229/J229,"0")</f>
        <v>0</v>
      </c>
      <c r="I229" s="33"/>
      <c r="J229" s="34"/>
      <c r="K229" s="40"/>
      <c r="L229" s="33"/>
      <c r="M229" s="33"/>
      <c r="N229" s="33"/>
      <c r="O229" s="33"/>
      <c r="P229" s="33"/>
      <c r="Q229" s="33"/>
      <c r="R229" s="33"/>
    </row>
    <row r="230" spans="1:18" hidden="1" x14ac:dyDescent="0.35">
      <c r="A230" s="59"/>
      <c r="B230" s="8"/>
      <c r="C230" s="43" t="s">
        <v>197</v>
      </c>
      <c r="D230" s="43"/>
      <c r="E230" s="43"/>
      <c r="F230" s="43"/>
      <c r="G230" s="43"/>
      <c r="H230" s="43"/>
      <c r="I230" s="43"/>
      <c r="J230" s="43"/>
      <c r="K230" s="45"/>
      <c r="L230" s="43"/>
      <c r="M230" s="43"/>
      <c r="N230" s="43"/>
      <c r="O230" s="43"/>
      <c r="P230" s="43"/>
      <c r="Q230" s="43"/>
      <c r="R230" s="43"/>
    </row>
    <row r="231" spans="1:18" hidden="1" x14ac:dyDescent="0.35">
      <c r="A231" s="59"/>
      <c r="B231" s="8"/>
      <c r="C231" s="44" t="s">
        <v>198</v>
      </c>
      <c r="D231" s="44"/>
      <c r="E231" s="44"/>
      <c r="F231" s="44"/>
      <c r="G231" s="44"/>
      <c r="H231" s="44"/>
      <c r="I231" s="44"/>
      <c r="J231" s="44"/>
      <c r="K231" s="46"/>
      <c r="L231" s="44"/>
      <c r="M231" s="44"/>
      <c r="N231" s="44"/>
      <c r="O231" s="44"/>
      <c r="P231" s="44"/>
      <c r="Q231" s="44"/>
      <c r="R231" s="44"/>
    </row>
    <row r="232" spans="1:18" x14ac:dyDescent="0.35">
      <c r="A232" s="59" t="s">
        <v>107</v>
      </c>
      <c r="B232" s="8"/>
      <c r="C232" s="30" t="s">
        <v>201</v>
      </c>
      <c r="D232" s="30"/>
      <c r="E232" s="30"/>
      <c r="F232" s="65">
        <v>1.99</v>
      </c>
      <c r="G232" s="30" t="str">
        <f>CONCATENATE("USD,FLAT ",TEXT(F232,"0.00"))</f>
        <v>USD,FLAT 1.99</v>
      </c>
      <c r="H232" s="36">
        <f>K232/J232</f>
        <v>1.99</v>
      </c>
      <c r="I232" s="30" t="s">
        <v>22</v>
      </c>
      <c r="J232" s="64">
        <v>2</v>
      </c>
      <c r="K232" s="39">
        <f>J232*F232</f>
        <v>3.98</v>
      </c>
      <c r="L232" s="30" t="str">
        <f>TEXT(IFERROR(((K232-K233)/K233*100),"0.00"),"0.00")</f>
        <v>0.00</v>
      </c>
      <c r="M232" s="36">
        <f>(10+J232*3)</f>
        <v>16</v>
      </c>
      <c r="N232" s="35"/>
      <c r="O232" s="30" t="s">
        <v>171</v>
      </c>
      <c r="P232" s="30" t="s">
        <v>549</v>
      </c>
      <c r="Q232" s="30"/>
      <c r="R232" s="30"/>
    </row>
    <row r="233" spans="1:18" hidden="1" x14ac:dyDescent="0.35">
      <c r="A233" s="59"/>
      <c r="B233" s="8"/>
      <c r="C233" s="33" t="s">
        <v>196</v>
      </c>
      <c r="D233" s="33"/>
      <c r="E233" s="33"/>
      <c r="F233" s="33"/>
      <c r="G233" s="33"/>
      <c r="H233" s="38" t="str">
        <f>IFERROR(K233/J233,"0")</f>
        <v>0</v>
      </c>
      <c r="I233" s="33"/>
      <c r="J233" s="34"/>
      <c r="K233" s="40"/>
      <c r="L233" s="33"/>
      <c r="M233" s="33"/>
      <c r="N233" s="33"/>
      <c r="O233" s="33"/>
      <c r="P233" s="33"/>
      <c r="Q233" s="33"/>
      <c r="R233" s="33"/>
    </row>
    <row r="234" spans="1:18" hidden="1" x14ac:dyDescent="0.35">
      <c r="A234" s="59"/>
      <c r="B234" s="8"/>
      <c r="C234" s="43" t="s">
        <v>197</v>
      </c>
      <c r="D234" s="43"/>
      <c r="E234" s="43"/>
      <c r="F234" s="43"/>
      <c r="G234" s="43"/>
      <c r="H234" s="43"/>
      <c r="I234" s="43"/>
      <c r="J234" s="43"/>
      <c r="K234" s="45"/>
      <c r="L234" s="43"/>
      <c r="M234" s="43"/>
      <c r="N234" s="43"/>
      <c r="O234" s="43"/>
      <c r="P234" s="43"/>
      <c r="Q234" s="43"/>
      <c r="R234" s="43"/>
    </row>
    <row r="235" spans="1:18" hidden="1" x14ac:dyDescent="0.35">
      <c r="A235" s="59"/>
      <c r="B235" s="8"/>
      <c r="C235" s="44" t="s">
        <v>198</v>
      </c>
      <c r="D235" s="44"/>
      <c r="E235" s="44"/>
      <c r="F235" s="44"/>
      <c r="G235" s="44"/>
      <c r="H235" s="44"/>
      <c r="I235" s="44"/>
      <c r="J235" s="44"/>
      <c r="K235" s="46"/>
      <c r="L235" s="44"/>
      <c r="M235" s="44"/>
      <c r="N235" s="44"/>
      <c r="O235" s="44"/>
      <c r="P235" s="44"/>
      <c r="Q235" s="44"/>
      <c r="R235" s="44"/>
    </row>
    <row r="236" spans="1:18" hidden="1" x14ac:dyDescent="0.35">
      <c r="A236" s="59" t="s">
        <v>107</v>
      </c>
      <c r="B236" s="8" t="s">
        <v>51</v>
      </c>
      <c r="C236" s="30" t="s">
        <v>201</v>
      </c>
      <c r="D236" s="30"/>
      <c r="E236" s="30"/>
      <c r="F236" s="39">
        <v>0.75</v>
      </c>
      <c r="G236" s="30" t="str">
        <f>CONCATENATE("USD,FLAT ",TEXT(F236,"0.00"))</f>
        <v>USD,FLAT 0.75</v>
      </c>
      <c r="H236" s="36">
        <f>K236/J236</f>
        <v>0.75</v>
      </c>
      <c r="I236" s="30" t="s">
        <v>22</v>
      </c>
      <c r="J236" s="32">
        <v>1</v>
      </c>
      <c r="K236" s="39">
        <f>J236*F236</f>
        <v>0.75</v>
      </c>
      <c r="L236" s="30" t="str">
        <f>TEXT(IFERROR(((K236-K237)/K237*100),"0.00"),"0.00")</f>
        <v>0.00</v>
      </c>
      <c r="M236" s="36">
        <f>(10+J236*3)</f>
        <v>13</v>
      </c>
      <c r="N236" s="30"/>
      <c r="O236" s="30"/>
      <c r="P236" s="30"/>
      <c r="Q236" s="30"/>
      <c r="R236" s="30"/>
    </row>
    <row r="237" spans="1:18" hidden="1" x14ac:dyDescent="0.35">
      <c r="A237" s="59"/>
      <c r="B237" s="8"/>
      <c r="C237" s="33" t="s">
        <v>196</v>
      </c>
      <c r="D237" s="33"/>
      <c r="E237" s="33"/>
      <c r="F237" s="33"/>
      <c r="G237" s="33"/>
      <c r="H237" s="38" t="str">
        <f>IFERROR(K237/J237,"0")</f>
        <v>0</v>
      </c>
      <c r="I237" s="33"/>
      <c r="J237" s="34"/>
      <c r="K237" s="40"/>
      <c r="L237" s="33"/>
      <c r="M237" s="33"/>
      <c r="N237" s="33"/>
      <c r="O237" s="33"/>
      <c r="P237" s="33"/>
      <c r="Q237" s="33"/>
      <c r="R237" s="33"/>
    </row>
    <row r="238" spans="1:18" hidden="1" x14ac:dyDescent="0.35">
      <c r="A238" s="59"/>
      <c r="B238" s="8"/>
      <c r="C238" s="43" t="s">
        <v>197</v>
      </c>
      <c r="D238" s="43"/>
      <c r="E238" s="43"/>
      <c r="F238" s="43"/>
      <c r="G238" s="43"/>
      <c r="H238" s="43"/>
      <c r="I238" s="43"/>
      <c r="J238" s="43"/>
      <c r="K238" s="45"/>
      <c r="L238" s="43"/>
      <c r="M238" s="43"/>
      <c r="N238" s="43"/>
      <c r="O238" s="43"/>
      <c r="P238" s="43"/>
      <c r="Q238" s="43"/>
      <c r="R238" s="43"/>
    </row>
    <row r="239" spans="1:18" hidden="1" x14ac:dyDescent="0.35">
      <c r="A239" s="59"/>
      <c r="B239" s="8"/>
      <c r="C239" s="44" t="s">
        <v>198</v>
      </c>
      <c r="D239" s="44"/>
      <c r="E239" s="44"/>
      <c r="F239" s="44"/>
      <c r="G239" s="44"/>
      <c r="H239" s="44"/>
      <c r="I239" s="44"/>
      <c r="J239" s="44"/>
      <c r="K239" s="46"/>
      <c r="L239" s="44"/>
      <c r="M239" s="44"/>
      <c r="N239" s="44"/>
      <c r="O239" s="44"/>
      <c r="P239" s="44"/>
      <c r="Q239" s="44"/>
      <c r="R239" s="44"/>
    </row>
    <row r="240" spans="1:18" hidden="1" x14ac:dyDescent="0.35">
      <c r="A240" s="59" t="s">
        <v>107</v>
      </c>
      <c r="B240" s="8" t="s">
        <v>202</v>
      </c>
      <c r="C240" s="30" t="s">
        <v>201</v>
      </c>
      <c r="D240" s="30"/>
      <c r="E240" s="30"/>
      <c r="F240" s="39">
        <v>0.3</v>
      </c>
      <c r="G240" s="30" t="str">
        <f>CONCATENATE("USD,FLAT ",TEXT(F240,"0.00"))</f>
        <v>USD,FLAT 0.30</v>
      </c>
      <c r="H240" s="36">
        <f>K240/J240</f>
        <v>0.3</v>
      </c>
      <c r="I240" s="30" t="s">
        <v>22</v>
      </c>
      <c r="J240" s="32">
        <v>1</v>
      </c>
      <c r="K240" s="39">
        <f>J240*F240</f>
        <v>0.3</v>
      </c>
      <c r="L240" s="30" t="str">
        <f>TEXT(IFERROR(((K240-K241)/K241*100),"0.00"),"0.00")</f>
        <v>0.00</v>
      </c>
      <c r="M240" s="36">
        <f>(10+J240*3)</f>
        <v>13</v>
      </c>
      <c r="N240" s="30"/>
      <c r="O240" s="30"/>
      <c r="P240" s="30"/>
      <c r="Q240" s="30"/>
      <c r="R240" s="30"/>
    </row>
    <row r="241" spans="1:18" hidden="1" x14ac:dyDescent="0.35">
      <c r="A241" s="59"/>
      <c r="B241" s="8"/>
      <c r="C241" s="33" t="s">
        <v>196</v>
      </c>
      <c r="D241" s="33"/>
      <c r="E241" s="33"/>
      <c r="F241" s="33"/>
      <c r="G241" s="33"/>
      <c r="H241" s="38" t="str">
        <f>IFERROR(K241/J241,"0")</f>
        <v>0</v>
      </c>
      <c r="I241" s="33"/>
      <c r="J241" s="34"/>
      <c r="K241" s="40"/>
      <c r="L241" s="33"/>
      <c r="M241" s="33"/>
      <c r="N241" s="33"/>
      <c r="O241" s="33"/>
      <c r="P241" s="33"/>
      <c r="Q241" s="33"/>
      <c r="R241" s="33"/>
    </row>
    <row r="242" spans="1:18" hidden="1" x14ac:dyDescent="0.35">
      <c r="A242" s="59"/>
      <c r="B242" s="8"/>
      <c r="C242" s="43" t="s">
        <v>197</v>
      </c>
      <c r="D242" s="43"/>
      <c r="E242" s="43"/>
      <c r="F242" s="43"/>
      <c r="G242" s="43"/>
      <c r="H242" s="43"/>
      <c r="I242" s="43"/>
      <c r="J242" s="43"/>
      <c r="K242" s="45"/>
      <c r="L242" s="43"/>
      <c r="M242" s="43"/>
      <c r="N242" s="43"/>
      <c r="O242" s="43"/>
      <c r="P242" s="43"/>
      <c r="Q242" s="43"/>
      <c r="R242" s="43"/>
    </row>
    <row r="243" spans="1:18" hidden="1" x14ac:dyDescent="0.35">
      <c r="A243" s="59"/>
      <c r="B243" s="8"/>
      <c r="C243" s="44" t="s">
        <v>198</v>
      </c>
      <c r="D243" s="44"/>
      <c r="E243" s="44"/>
      <c r="F243" s="44"/>
      <c r="G243" s="44"/>
      <c r="H243" s="44"/>
      <c r="I243" s="44"/>
      <c r="J243" s="44"/>
      <c r="K243" s="46"/>
      <c r="L243" s="44"/>
      <c r="M243" s="44"/>
      <c r="N243" s="44"/>
      <c r="O243" s="44"/>
      <c r="P243" s="44"/>
      <c r="Q243" s="44"/>
      <c r="R243" s="44"/>
    </row>
    <row r="244" spans="1:18" hidden="1" x14ac:dyDescent="0.35">
      <c r="A244" s="59" t="s">
        <v>107</v>
      </c>
      <c r="B244" s="8" t="s">
        <v>4</v>
      </c>
      <c r="C244" s="30" t="s">
        <v>201</v>
      </c>
      <c r="D244" s="30"/>
      <c r="E244" s="30"/>
      <c r="F244" s="39">
        <v>6.67</v>
      </c>
      <c r="G244" s="30" t="str">
        <f>CONCATENATE("USD,FLAT ",TEXT(F244,"0.00"))</f>
        <v>USD,FLAT 6.67</v>
      </c>
      <c r="H244" s="36">
        <f>K244/J244</f>
        <v>6.67</v>
      </c>
      <c r="I244" s="30" t="s">
        <v>22</v>
      </c>
      <c r="J244" s="32">
        <v>1</v>
      </c>
      <c r="K244" s="39">
        <f>J244*F244</f>
        <v>6.67</v>
      </c>
      <c r="L244" s="39" t="str">
        <f>IFERROR(((K244-K245)/K245*100),"0.00")</f>
        <v>0.00</v>
      </c>
      <c r="M244" s="36">
        <f>(10+J244*3)</f>
        <v>13</v>
      </c>
      <c r="N244" s="30"/>
      <c r="O244" s="30"/>
      <c r="P244" s="30"/>
      <c r="Q244" s="30"/>
      <c r="R244" s="30"/>
    </row>
    <row r="245" spans="1:18" hidden="1" x14ac:dyDescent="0.35">
      <c r="A245" s="59"/>
      <c r="B245" s="8"/>
      <c r="C245" s="33" t="s">
        <v>196</v>
      </c>
      <c r="D245" s="33"/>
      <c r="E245" s="33"/>
      <c r="F245" s="33"/>
      <c r="G245" s="33"/>
      <c r="H245" s="38" t="str">
        <f>IFERROR(K245/J245,"0")</f>
        <v>0</v>
      </c>
      <c r="I245" s="33"/>
      <c r="J245" s="34"/>
      <c r="K245" s="40"/>
      <c r="L245" s="33"/>
      <c r="M245" s="33"/>
      <c r="N245" s="33"/>
      <c r="O245" s="33"/>
      <c r="P245" s="33"/>
      <c r="Q245" s="33"/>
      <c r="R245" s="33"/>
    </row>
    <row r="246" spans="1:18" hidden="1" x14ac:dyDescent="0.35">
      <c r="A246" s="59"/>
      <c r="B246" s="8"/>
      <c r="C246" s="43" t="s">
        <v>197</v>
      </c>
      <c r="D246" s="43"/>
      <c r="E246" s="43"/>
      <c r="F246" s="43"/>
      <c r="G246" s="43"/>
      <c r="H246" s="43"/>
      <c r="I246" s="43"/>
      <c r="J246" s="43"/>
      <c r="K246" s="45"/>
      <c r="L246" s="43"/>
      <c r="M246" s="43"/>
      <c r="N246" s="43"/>
      <c r="O246" s="43"/>
      <c r="P246" s="43"/>
      <c r="Q246" s="43"/>
      <c r="R246" s="43"/>
    </row>
    <row r="247" spans="1:18" hidden="1" x14ac:dyDescent="0.35">
      <c r="A247" s="59"/>
      <c r="B247" s="8"/>
      <c r="C247" s="44" t="s">
        <v>198</v>
      </c>
      <c r="D247" s="44"/>
      <c r="E247" s="44"/>
      <c r="F247" s="44"/>
      <c r="G247" s="44"/>
      <c r="H247" s="44"/>
      <c r="I247" s="44"/>
      <c r="J247" s="44"/>
      <c r="K247" s="46"/>
      <c r="L247" s="44"/>
      <c r="M247" s="44"/>
      <c r="N247" s="44"/>
      <c r="O247" s="44"/>
      <c r="P247" s="44"/>
      <c r="Q247" s="44"/>
      <c r="R247" s="44"/>
    </row>
    <row r="248" spans="1:18" hidden="1" x14ac:dyDescent="0.35">
      <c r="A248" s="59" t="s">
        <v>108</v>
      </c>
      <c r="B248" s="8"/>
      <c r="C248" s="30" t="s">
        <v>201</v>
      </c>
      <c r="D248" s="30"/>
      <c r="E248" s="30"/>
      <c r="F248" s="39">
        <v>0.4</v>
      </c>
      <c r="G248" s="30" t="str">
        <f>CONCATENATE("USD,FLAT ",TEXT(F248,"0.00"))</f>
        <v>USD,FLAT 0.40</v>
      </c>
      <c r="H248" s="36">
        <f>K248/J248</f>
        <v>0.4</v>
      </c>
      <c r="I248" s="30" t="s">
        <v>22</v>
      </c>
      <c r="J248" s="32">
        <v>1</v>
      </c>
      <c r="K248" s="39">
        <f>J248*F248</f>
        <v>0.4</v>
      </c>
      <c r="L248" s="30" t="str">
        <f>TEXT(IFERROR(((K248-K249)/K249*100),"0.00"),"0.00")</f>
        <v>0.00</v>
      </c>
      <c r="M248" s="36">
        <f>(10+J248*3)</f>
        <v>13</v>
      </c>
      <c r="N248" s="30"/>
      <c r="O248" s="30"/>
      <c r="P248" s="30"/>
      <c r="Q248" s="30"/>
      <c r="R248" s="30"/>
    </row>
    <row r="249" spans="1:18" hidden="1" x14ac:dyDescent="0.35">
      <c r="A249" s="59"/>
      <c r="B249" s="8"/>
      <c r="C249" s="33" t="s">
        <v>196</v>
      </c>
      <c r="D249" s="33"/>
      <c r="E249" s="33"/>
      <c r="F249" s="33"/>
      <c r="G249" s="33"/>
      <c r="H249" s="38" t="str">
        <f>IFERROR(K249/J249,"0")</f>
        <v>0</v>
      </c>
      <c r="I249" s="33"/>
      <c r="J249" s="34"/>
      <c r="K249" s="40"/>
      <c r="L249" s="33"/>
      <c r="M249" s="33"/>
      <c r="N249" s="33"/>
      <c r="O249" s="33"/>
      <c r="P249" s="33"/>
      <c r="Q249" s="33"/>
      <c r="R249" s="33"/>
    </row>
    <row r="250" spans="1:18" hidden="1" x14ac:dyDescent="0.35">
      <c r="A250" s="59"/>
      <c r="B250" s="8"/>
      <c r="C250" s="43" t="s">
        <v>197</v>
      </c>
      <c r="D250" s="43"/>
      <c r="E250" s="43"/>
      <c r="F250" s="43"/>
      <c r="G250" s="43"/>
      <c r="H250" s="43"/>
      <c r="I250" s="43"/>
      <c r="J250" s="43"/>
      <c r="K250" s="45"/>
      <c r="L250" s="43"/>
      <c r="M250" s="43"/>
      <c r="N250" s="43"/>
      <c r="O250" s="43"/>
      <c r="P250" s="43"/>
      <c r="Q250" s="43"/>
      <c r="R250" s="43"/>
    </row>
    <row r="251" spans="1:18" hidden="1" x14ac:dyDescent="0.35">
      <c r="A251" s="59"/>
      <c r="B251" s="8"/>
      <c r="C251" s="44" t="s">
        <v>198</v>
      </c>
      <c r="D251" s="44"/>
      <c r="E251" s="44"/>
      <c r="F251" s="44"/>
      <c r="G251" s="44"/>
      <c r="H251" s="44"/>
      <c r="I251" s="44"/>
      <c r="J251" s="44"/>
      <c r="K251" s="46"/>
      <c r="L251" s="44"/>
      <c r="M251" s="44"/>
      <c r="N251" s="44"/>
      <c r="O251" s="44"/>
      <c r="P251" s="44"/>
      <c r="Q251" s="44"/>
      <c r="R251" s="44"/>
    </row>
    <row r="252" spans="1:18" hidden="1" x14ac:dyDescent="0.35">
      <c r="A252" s="59" t="s">
        <v>109</v>
      </c>
      <c r="B252" s="8"/>
      <c r="C252" s="30" t="s">
        <v>201</v>
      </c>
      <c r="D252" s="30"/>
      <c r="E252" s="30"/>
      <c r="F252" s="39">
        <v>0.6</v>
      </c>
      <c r="G252" s="30" t="str">
        <f>CONCATENATE("USD,FLAT ",TEXT(F252,"0.00"))</f>
        <v>USD,FLAT 0.60</v>
      </c>
      <c r="H252" s="36">
        <f>K252/J252</f>
        <v>0.6</v>
      </c>
      <c r="I252" s="30" t="s">
        <v>22</v>
      </c>
      <c r="J252" s="32">
        <v>1</v>
      </c>
      <c r="K252" s="39">
        <f>J252*F252</f>
        <v>0.6</v>
      </c>
      <c r="L252" s="30" t="str">
        <f>TEXT(IFERROR(((K252-K253)/K253*100),"0.00"),"0.00")</f>
        <v>0.00</v>
      </c>
      <c r="M252" s="36">
        <f>(10+J252*3)</f>
        <v>13</v>
      </c>
      <c r="N252" s="30"/>
      <c r="O252" s="30"/>
      <c r="P252" s="30"/>
      <c r="Q252" s="30"/>
      <c r="R252" s="30"/>
    </row>
    <row r="253" spans="1:18" hidden="1" x14ac:dyDescent="0.35">
      <c r="A253" s="59"/>
      <c r="B253" s="8"/>
      <c r="C253" s="33" t="s">
        <v>196</v>
      </c>
      <c r="D253" s="33"/>
      <c r="E253" s="33"/>
      <c r="F253" s="33"/>
      <c r="G253" s="33"/>
      <c r="H253" s="38" t="str">
        <f>IFERROR(K253/J253,"0")</f>
        <v>0</v>
      </c>
      <c r="I253" s="33"/>
      <c r="J253" s="34"/>
      <c r="K253" s="40"/>
      <c r="L253" s="33"/>
      <c r="M253" s="33"/>
      <c r="N253" s="33"/>
      <c r="O253" s="33"/>
      <c r="P253" s="33"/>
      <c r="Q253" s="33"/>
      <c r="R253" s="33"/>
    </row>
    <row r="254" spans="1:18" hidden="1" x14ac:dyDescent="0.35">
      <c r="A254" s="59"/>
      <c r="B254" s="8"/>
      <c r="C254" s="43" t="s">
        <v>197</v>
      </c>
      <c r="D254" s="43"/>
      <c r="E254" s="43"/>
      <c r="F254" s="43"/>
      <c r="G254" s="43"/>
      <c r="H254" s="43"/>
      <c r="I254" s="43"/>
      <c r="J254" s="43"/>
      <c r="K254" s="45"/>
      <c r="L254" s="43"/>
      <c r="M254" s="43"/>
      <c r="N254" s="43"/>
      <c r="O254" s="43"/>
      <c r="P254" s="43"/>
      <c r="Q254" s="43"/>
      <c r="R254" s="43"/>
    </row>
    <row r="255" spans="1:18" hidden="1" x14ac:dyDescent="0.35">
      <c r="A255" s="59"/>
      <c r="B255" s="8"/>
      <c r="C255" s="44" t="s">
        <v>198</v>
      </c>
      <c r="D255" s="44"/>
      <c r="E255" s="44"/>
      <c r="F255" s="44"/>
      <c r="G255" s="44"/>
      <c r="H255" s="44"/>
      <c r="I255" s="44"/>
      <c r="J255" s="44"/>
      <c r="K255" s="46"/>
      <c r="L255" s="44"/>
      <c r="M255" s="44"/>
      <c r="N255" s="44"/>
      <c r="O255" s="44"/>
      <c r="P255" s="44"/>
      <c r="Q255" s="44"/>
      <c r="R255" s="44"/>
    </row>
    <row r="256" spans="1:18" x14ac:dyDescent="0.35">
      <c r="A256" s="59" t="s">
        <v>110</v>
      </c>
      <c r="B256" s="47"/>
      <c r="C256" s="30" t="s">
        <v>201</v>
      </c>
      <c r="D256" s="30"/>
      <c r="E256" s="30"/>
      <c r="F256" s="63">
        <v>16.670000000000002</v>
      </c>
      <c r="G256" s="30" t="str">
        <f>CONCATENATE("USD,FLAT ",TEXT(F256,"0.00"))</f>
        <v>USD,FLAT 16.67</v>
      </c>
      <c r="H256" s="36">
        <f>K256/J256</f>
        <v>16.670000000000002</v>
      </c>
      <c r="I256" s="30" t="s">
        <v>22</v>
      </c>
      <c r="J256" s="32">
        <v>1</v>
      </c>
      <c r="K256" s="39">
        <f>J256*F256</f>
        <v>16.670000000000002</v>
      </c>
      <c r="L256" s="30" t="str">
        <f>TEXT(IFERROR(((K256-K257)/K257*100),"0.00"),"0.00")</f>
        <v>0.00</v>
      </c>
      <c r="M256" s="36">
        <f>(10+J256*3)</f>
        <v>13</v>
      </c>
      <c r="N256" s="35"/>
      <c r="O256" s="30" t="s">
        <v>171</v>
      </c>
      <c r="P256" s="30" t="s">
        <v>549</v>
      </c>
      <c r="Q256" s="30"/>
      <c r="R256" s="30"/>
    </row>
    <row r="257" spans="1:18" hidden="1" x14ac:dyDescent="0.35">
      <c r="A257" s="8"/>
      <c r="B257" s="47"/>
      <c r="C257" s="33" t="s">
        <v>196</v>
      </c>
      <c r="D257" s="33"/>
      <c r="E257" s="33"/>
      <c r="F257" s="33"/>
      <c r="G257" s="33"/>
      <c r="H257" s="38" t="str">
        <f>IFERROR(K257/J257,"0")</f>
        <v>0</v>
      </c>
      <c r="I257" s="33"/>
      <c r="J257" s="34"/>
      <c r="K257" s="40"/>
      <c r="L257" s="33"/>
      <c r="M257" s="33"/>
      <c r="N257" s="33"/>
      <c r="O257" s="33"/>
      <c r="P257" s="33"/>
      <c r="Q257" s="33"/>
      <c r="R257" s="33"/>
    </row>
    <row r="258" spans="1:18" hidden="1" x14ac:dyDescent="0.35">
      <c r="A258" s="8"/>
      <c r="B258" s="47"/>
      <c r="C258" s="43" t="s">
        <v>197</v>
      </c>
      <c r="D258" s="43"/>
      <c r="E258" s="43"/>
      <c r="F258" s="43"/>
      <c r="G258" s="43"/>
      <c r="H258" s="43"/>
      <c r="I258" s="43"/>
      <c r="J258" s="43"/>
      <c r="K258" s="45"/>
      <c r="L258" s="43"/>
      <c r="M258" s="43"/>
      <c r="N258" s="43"/>
      <c r="O258" s="43"/>
      <c r="P258" s="43"/>
      <c r="Q258" s="43"/>
      <c r="R258" s="43"/>
    </row>
    <row r="259" spans="1:18" hidden="1" x14ac:dyDescent="0.35">
      <c r="A259" s="8"/>
      <c r="B259" s="47"/>
      <c r="C259" s="44" t="s">
        <v>198</v>
      </c>
      <c r="D259" s="44"/>
      <c r="E259" s="44"/>
      <c r="F259" s="44"/>
      <c r="G259" s="44"/>
      <c r="H259" s="44"/>
      <c r="I259" s="44"/>
      <c r="J259" s="44"/>
      <c r="K259" s="46"/>
      <c r="L259" s="44"/>
      <c r="M259" s="44"/>
      <c r="N259" s="44"/>
      <c r="O259" s="44"/>
      <c r="P259" s="44"/>
      <c r="Q259" s="44"/>
      <c r="R259" s="44"/>
    </row>
    <row r="260" spans="1:18" x14ac:dyDescent="0.35">
      <c r="A260" s="251" t="s">
        <v>220</v>
      </c>
      <c r="B260" s="252"/>
      <c r="C260" s="252"/>
      <c r="D260" s="252"/>
      <c r="E260" s="252"/>
      <c r="F260" s="252"/>
      <c r="G260" s="252"/>
      <c r="H260" s="252"/>
      <c r="I260" s="252"/>
      <c r="J260" s="252"/>
    </row>
    <row r="261" spans="1:18" x14ac:dyDescent="0.35">
      <c r="A261" s="253" t="s">
        <v>222</v>
      </c>
      <c r="B261" s="262" t="s">
        <v>225</v>
      </c>
      <c r="C261" s="263"/>
      <c r="D261" s="263"/>
      <c r="E261" s="264"/>
      <c r="F261" s="262" t="s">
        <v>226</v>
      </c>
      <c r="G261" s="263"/>
      <c r="H261" s="263"/>
      <c r="I261" s="264"/>
      <c r="J261" s="265" t="s">
        <v>224</v>
      </c>
    </row>
    <row r="262" spans="1:18" x14ac:dyDescent="0.35">
      <c r="A262" s="254"/>
      <c r="B262" s="24" t="s">
        <v>187</v>
      </c>
      <c r="C262" s="24" t="s">
        <v>189</v>
      </c>
      <c r="D262" s="24" t="s">
        <v>223</v>
      </c>
      <c r="E262" s="24" t="s">
        <v>229</v>
      </c>
      <c r="F262" s="24" t="s">
        <v>187</v>
      </c>
      <c r="G262" s="24" t="s">
        <v>189</v>
      </c>
      <c r="H262" s="24" t="s">
        <v>223</v>
      </c>
      <c r="I262" s="24" t="s">
        <v>229</v>
      </c>
      <c r="J262" s="266"/>
    </row>
    <row r="263" spans="1:18" x14ac:dyDescent="0.35">
      <c r="A263" s="21"/>
      <c r="B263" s="56">
        <f>K192+C168+C169</f>
        <v>6755622.5700000003</v>
      </c>
      <c r="C263" s="56">
        <f>M192+C170+C171</f>
        <v>1010169</v>
      </c>
      <c r="D263" s="56">
        <f>B263-C263</f>
        <v>5745453.5700000003</v>
      </c>
      <c r="E263" s="55">
        <f>((B263-C263)/B263*100)</f>
        <v>85.046988792921866</v>
      </c>
      <c r="F263" s="56">
        <f>K193</f>
        <v>648000</v>
      </c>
      <c r="G263" s="56">
        <f>M193</f>
        <v>144010</v>
      </c>
      <c r="H263" s="56">
        <f>F263-G263</f>
        <v>503990</v>
      </c>
      <c r="I263" s="55">
        <f>((F263-G263)/F263*100)</f>
        <v>77.776234567901241</v>
      </c>
      <c r="J263" s="55">
        <f>((B263-F263)/F263*100)</f>
        <v>942.53434722222221</v>
      </c>
    </row>
    <row r="264" spans="1:18" x14ac:dyDescent="0.35">
      <c r="A264" s="251" t="s">
        <v>221</v>
      </c>
      <c r="B264" s="252"/>
      <c r="C264" s="252"/>
      <c r="D264" s="252"/>
      <c r="E264" s="252"/>
      <c r="F264" s="252"/>
      <c r="G264" s="252"/>
      <c r="H264" s="252"/>
    </row>
    <row r="265" spans="1:18" x14ac:dyDescent="0.35">
      <c r="A265" s="24" t="s">
        <v>1</v>
      </c>
      <c r="B265" s="24" t="s">
        <v>0</v>
      </c>
      <c r="C265" s="24" t="s">
        <v>204</v>
      </c>
      <c r="D265" s="24" t="s">
        <v>216</v>
      </c>
      <c r="E265" s="24" t="s">
        <v>227</v>
      </c>
      <c r="F265" s="24" t="s">
        <v>228</v>
      </c>
      <c r="G265" s="24" t="s">
        <v>217</v>
      </c>
      <c r="H265" s="24" t="s">
        <v>218</v>
      </c>
    </row>
    <row r="266" spans="1:18" x14ac:dyDescent="0.35">
      <c r="A266" s="21"/>
      <c r="B266" s="23"/>
      <c r="C266" s="21" t="s">
        <v>219</v>
      </c>
      <c r="D266" s="56">
        <f>(E266-G266)/G266*100</f>
        <v>942.53434722222221</v>
      </c>
      <c r="E266" s="56">
        <f>K192+C168+C169</f>
        <v>6755622.5700000003</v>
      </c>
      <c r="F266" s="56">
        <f>M192+C170+C171</f>
        <v>1010169</v>
      </c>
      <c r="G266" s="56">
        <f>K193</f>
        <v>648000</v>
      </c>
      <c r="H266" s="56">
        <f>M193</f>
        <v>144010</v>
      </c>
    </row>
    <row r="267" spans="1:18" x14ac:dyDescent="0.35">
      <c r="A267" s="74"/>
      <c r="B267" s="75"/>
      <c r="C267" s="75"/>
      <c r="D267" s="75"/>
      <c r="E267" s="76"/>
      <c r="F267" s="75"/>
      <c r="G267" s="75"/>
      <c r="H267" s="75"/>
      <c r="I267" s="76"/>
      <c r="J267" s="76"/>
    </row>
    <row r="268" spans="1:18" x14ac:dyDescent="0.35">
      <c r="A268" s="57" t="s">
        <v>153</v>
      </c>
      <c r="B268" s="58"/>
      <c r="C268" s="58"/>
    </row>
    <row r="269" spans="1:18" x14ac:dyDescent="0.35">
      <c r="A269" s="24" t="s">
        <v>153</v>
      </c>
      <c r="B269" s="24" t="s">
        <v>162</v>
      </c>
      <c r="C269" s="24" t="s">
        <v>163</v>
      </c>
    </row>
    <row r="270" spans="1:18" ht="72.5" x14ac:dyDescent="0.35">
      <c r="A270" s="60" t="s">
        <v>154</v>
      </c>
      <c r="B270" s="61" t="s">
        <v>240</v>
      </c>
      <c r="C270" s="61" t="s">
        <v>240</v>
      </c>
    </row>
    <row r="272" spans="1:18" x14ac:dyDescent="0.35">
      <c r="A272" s="57" t="s">
        <v>556</v>
      </c>
      <c r="B272" s="58"/>
      <c r="C272" s="58"/>
      <c r="D272" s="58"/>
      <c r="E272" s="58"/>
    </row>
    <row r="273" spans="1:18" x14ac:dyDescent="0.35">
      <c r="A273" s="57" t="s">
        <v>153</v>
      </c>
      <c r="B273" s="58"/>
      <c r="C273" s="58"/>
    </row>
    <row r="274" spans="1:18" x14ac:dyDescent="0.35">
      <c r="A274" s="24" t="s">
        <v>153</v>
      </c>
      <c r="B274" s="24" t="s">
        <v>162</v>
      </c>
      <c r="C274" s="24" t="s">
        <v>163</v>
      </c>
      <c r="D274" s="25" t="s">
        <v>559</v>
      </c>
    </row>
    <row r="275" spans="1:18" ht="72.5" x14ac:dyDescent="0.35">
      <c r="A275" s="60" t="s">
        <v>154</v>
      </c>
      <c r="B275" s="61" t="s">
        <v>555</v>
      </c>
      <c r="C275" s="61" t="s">
        <v>554</v>
      </c>
      <c r="D275" s="176" t="s">
        <v>560</v>
      </c>
    </row>
    <row r="276" spans="1:18" x14ac:dyDescent="0.35">
      <c r="A276" s="199" t="s">
        <v>183</v>
      </c>
      <c r="B276" s="199" t="s">
        <v>44</v>
      </c>
      <c r="C276" s="199" t="s">
        <v>191</v>
      </c>
      <c r="D276" s="42" t="s">
        <v>199</v>
      </c>
      <c r="E276" s="42" t="s">
        <v>200</v>
      </c>
      <c r="F276" s="42" t="s">
        <v>57</v>
      </c>
      <c r="G276" s="199" t="s">
        <v>184</v>
      </c>
      <c r="H276" s="199" t="s">
        <v>185</v>
      </c>
      <c r="I276" s="42" t="s">
        <v>18</v>
      </c>
      <c r="J276" s="42" t="s">
        <v>186</v>
      </c>
      <c r="K276" s="42" t="s">
        <v>187</v>
      </c>
      <c r="L276" s="42" t="s">
        <v>188</v>
      </c>
      <c r="M276" s="42" t="s">
        <v>189</v>
      </c>
      <c r="N276" s="42" t="s">
        <v>206</v>
      </c>
      <c r="O276" s="42" t="s">
        <v>203</v>
      </c>
      <c r="P276" s="42" t="s">
        <v>204</v>
      </c>
      <c r="Q276" s="42" t="s">
        <v>205</v>
      </c>
      <c r="R276" s="42" t="s">
        <v>190</v>
      </c>
    </row>
    <row r="277" spans="1:18" x14ac:dyDescent="0.35">
      <c r="A277" s="59" t="s">
        <v>109</v>
      </c>
      <c r="B277" s="8"/>
      <c r="C277" s="30" t="s">
        <v>201</v>
      </c>
      <c r="D277" s="30"/>
      <c r="E277" s="30"/>
      <c r="F277" s="39">
        <v>0.6</v>
      </c>
      <c r="G277" s="30" t="str">
        <f>CONCATENATE("USD,FLAT ",TEXT(F277,"0.00"))</f>
        <v>USD,FLAT 0.60</v>
      </c>
      <c r="H277" s="36">
        <f>K277/J277</f>
        <v>0.6</v>
      </c>
      <c r="I277" s="30" t="s">
        <v>22</v>
      </c>
      <c r="J277" s="32">
        <v>1</v>
      </c>
      <c r="K277" s="39">
        <f>J277*F277</f>
        <v>0.6</v>
      </c>
      <c r="L277" s="30" t="str">
        <f>TEXT(IFERROR(((K277-K278)/K278*100),"0.00"),"0.00")</f>
        <v>0.00</v>
      </c>
      <c r="M277" s="36">
        <f>(10+J277*3)</f>
        <v>13</v>
      </c>
      <c r="N277" s="35" t="s">
        <v>54</v>
      </c>
      <c r="O277" s="30" t="s">
        <v>213</v>
      </c>
      <c r="P277" s="30" t="s">
        <v>546</v>
      </c>
      <c r="Q277" s="30" t="s">
        <v>557</v>
      </c>
      <c r="R277" s="30"/>
    </row>
    <row r="278" spans="1:18" x14ac:dyDescent="0.35">
      <c r="A278" s="8"/>
      <c r="B278" s="8"/>
      <c r="C278" s="33" t="s">
        <v>196</v>
      </c>
      <c r="D278" s="33"/>
      <c r="E278" s="33"/>
      <c r="F278" s="33"/>
      <c r="G278" s="33"/>
      <c r="H278" s="38" t="str">
        <f>IFERROR(K278/J278,"0")</f>
        <v>0</v>
      </c>
      <c r="I278" s="33"/>
      <c r="J278" s="34"/>
      <c r="K278" s="40"/>
      <c r="L278" s="33"/>
      <c r="M278" s="33"/>
      <c r="N278" s="33"/>
      <c r="O278" s="33"/>
      <c r="P278" s="33"/>
      <c r="Q278" s="33"/>
      <c r="R278" s="33"/>
    </row>
    <row r="279" spans="1:18" x14ac:dyDescent="0.35">
      <c r="A279" s="259" t="s">
        <v>561</v>
      </c>
      <c r="B279" s="260"/>
      <c r="C279" s="261"/>
      <c r="D279" s="171"/>
      <c r="E279" s="172"/>
      <c r="F279" s="172"/>
      <c r="G279" s="172"/>
      <c r="H279" s="173"/>
      <c r="I279" s="172"/>
      <c r="J279" s="174"/>
      <c r="K279" s="175"/>
      <c r="L279" s="172"/>
      <c r="M279" s="172"/>
      <c r="N279" s="172"/>
      <c r="O279" s="172"/>
      <c r="P279" s="172"/>
      <c r="Q279" s="172"/>
      <c r="R279" s="172"/>
    </row>
    <row r="280" spans="1:18" ht="58" x14ac:dyDescent="0.35">
      <c r="A280" s="25" t="s">
        <v>559</v>
      </c>
      <c r="B280" s="177" t="s">
        <v>562</v>
      </c>
      <c r="C280" s="30"/>
      <c r="D280" s="171"/>
      <c r="E280" s="172"/>
      <c r="F280" s="172"/>
      <c r="G280" s="172"/>
      <c r="H280" s="173"/>
      <c r="I280" s="172"/>
      <c r="J280" s="174"/>
      <c r="K280" s="175"/>
      <c r="L280" s="172"/>
      <c r="M280" s="172"/>
      <c r="N280" s="172"/>
      <c r="O280" s="172"/>
      <c r="P280" s="172"/>
      <c r="Q280" s="172"/>
      <c r="R280" s="172"/>
    </row>
    <row r="281" spans="1:18" x14ac:dyDescent="0.35">
      <c r="A281" s="258" t="s">
        <v>563</v>
      </c>
      <c r="B281" s="258"/>
      <c r="C281" s="258"/>
      <c r="D281" s="258"/>
      <c r="E281" s="258"/>
      <c r="F281" s="258"/>
      <c r="G281" s="258"/>
      <c r="H281" s="258"/>
      <c r="I281" s="258"/>
      <c r="J281" s="258"/>
      <c r="K281" s="258"/>
      <c r="L281" s="258"/>
    </row>
    <row r="282" spans="1:18" x14ac:dyDescent="0.35">
      <c r="A282" s="196"/>
      <c r="B282" s="67"/>
      <c r="C282" s="196"/>
      <c r="D282" s="196"/>
      <c r="E282" s="196"/>
      <c r="F282" s="196"/>
      <c r="G282" s="196"/>
      <c r="H282" s="196"/>
      <c r="I282" s="196"/>
      <c r="J282" s="196"/>
      <c r="K282" s="196"/>
      <c r="L282" s="196"/>
    </row>
    <row r="283" spans="1:18" x14ac:dyDescent="0.35">
      <c r="A283" s="249" t="s">
        <v>182</v>
      </c>
      <c r="B283" s="250"/>
      <c r="C283" s="250"/>
      <c r="D283" s="250"/>
      <c r="E283" s="250"/>
    </row>
    <row r="284" spans="1:18" x14ac:dyDescent="0.35">
      <c r="A284" s="199" t="s">
        <v>183</v>
      </c>
      <c r="B284" s="199" t="s">
        <v>44</v>
      </c>
      <c r="C284" s="199" t="s">
        <v>191</v>
      </c>
      <c r="D284" s="42" t="s">
        <v>199</v>
      </c>
      <c r="E284" s="42" t="s">
        <v>200</v>
      </c>
      <c r="F284" s="42" t="s">
        <v>57</v>
      </c>
      <c r="G284" s="199" t="s">
        <v>184</v>
      </c>
      <c r="H284" s="199" t="s">
        <v>185</v>
      </c>
      <c r="I284" s="42" t="s">
        <v>18</v>
      </c>
      <c r="J284" s="42" t="s">
        <v>186</v>
      </c>
      <c r="K284" s="42" t="s">
        <v>187</v>
      </c>
      <c r="L284" s="42" t="s">
        <v>188</v>
      </c>
      <c r="M284" s="42" t="s">
        <v>189</v>
      </c>
      <c r="N284" s="42" t="s">
        <v>206</v>
      </c>
      <c r="O284" s="42" t="s">
        <v>203</v>
      </c>
      <c r="P284" s="42" t="s">
        <v>204</v>
      </c>
      <c r="Q284" s="42" t="s">
        <v>205</v>
      </c>
      <c r="R284" s="42" t="s">
        <v>190</v>
      </c>
    </row>
    <row r="285" spans="1:18" x14ac:dyDescent="0.35">
      <c r="A285" s="52" t="s">
        <v>194</v>
      </c>
      <c r="B285" s="52"/>
      <c r="C285" s="52" t="s">
        <v>201</v>
      </c>
      <c r="D285" s="52"/>
      <c r="E285" s="52"/>
      <c r="F285" s="52"/>
      <c r="G285" s="52"/>
      <c r="H285" s="52"/>
      <c r="I285" s="52"/>
      <c r="J285" s="53">
        <f>SUMIFS(J287:J296,C287:C296,C285)</f>
        <v>288000</v>
      </c>
      <c r="K285" s="54">
        <f>SUMIFS(K287:K296,C287:C296,C285)</f>
        <v>6092880</v>
      </c>
      <c r="L285" s="52"/>
      <c r="M285" s="54">
        <f>SUMIFS(M287:M296,C287:C296,C285)</f>
        <v>864030</v>
      </c>
      <c r="N285" s="52"/>
      <c r="O285" s="52"/>
      <c r="P285" s="52"/>
      <c r="Q285" s="52"/>
      <c r="R285" s="52"/>
    </row>
    <row r="286" spans="1:18" x14ac:dyDescent="0.35">
      <c r="A286" s="52" t="s">
        <v>194</v>
      </c>
      <c r="B286" s="52"/>
      <c r="C286" s="52" t="s">
        <v>196</v>
      </c>
      <c r="D286" s="52"/>
      <c r="E286" s="52"/>
      <c r="F286" s="52"/>
      <c r="G286" s="52"/>
      <c r="H286" s="52"/>
      <c r="I286" s="52"/>
      <c r="J286" s="53">
        <f>SUMIFS(J287:J296,C287:C296,C286)</f>
        <v>288000</v>
      </c>
      <c r="K286" s="54">
        <f>SUMIFS(K287:K296,C287:C296,C286)</f>
        <v>0</v>
      </c>
      <c r="L286" s="52"/>
      <c r="M286" s="54">
        <f>SUMIFS(M287:M296,C287:C296,C286)</f>
        <v>0</v>
      </c>
      <c r="N286" s="52"/>
      <c r="O286" s="52"/>
      <c r="P286" s="52"/>
      <c r="Q286" s="52"/>
      <c r="R286" s="52"/>
    </row>
    <row r="287" spans="1:18" x14ac:dyDescent="0.35">
      <c r="A287" s="59" t="s">
        <v>103</v>
      </c>
      <c r="B287" s="8"/>
      <c r="C287" s="30" t="s">
        <v>201</v>
      </c>
      <c r="D287" s="30"/>
      <c r="E287" s="30"/>
      <c r="F287" s="31" t="s">
        <v>211</v>
      </c>
      <c r="G287" s="30" t="s">
        <v>208</v>
      </c>
      <c r="H287" s="36">
        <f>K287/J287</f>
        <v>12.25</v>
      </c>
      <c r="I287" s="30" t="s">
        <v>22</v>
      </c>
      <c r="J287" s="32">
        <v>72000</v>
      </c>
      <c r="K287" s="36">
        <f>(1000*12.95+4000*12.15+1000*11.95)*12</f>
        <v>882000</v>
      </c>
      <c r="L287" s="30" t="str">
        <f>TEXT(IFERROR(((K287-K288)/K288*100),"0.00"),"0.00")</f>
        <v>0.00</v>
      </c>
      <c r="M287" s="36">
        <f>(10+J287*3)</f>
        <v>216010</v>
      </c>
      <c r="N287" s="35" t="s">
        <v>54</v>
      </c>
      <c r="O287" s="30" t="s">
        <v>213</v>
      </c>
      <c r="P287" s="30" t="s">
        <v>546</v>
      </c>
      <c r="Q287" s="30" t="s">
        <v>564</v>
      </c>
      <c r="R287" s="30"/>
    </row>
    <row r="288" spans="1:18" x14ac:dyDescent="0.35">
      <c r="A288" s="8"/>
      <c r="B288" s="8"/>
      <c r="C288" s="33" t="s">
        <v>196</v>
      </c>
      <c r="D288" s="33"/>
      <c r="E288" s="33"/>
      <c r="F288" s="33"/>
      <c r="G288" s="33"/>
      <c r="H288" s="38">
        <f>IFERROR(K288/J288,"0")</f>
        <v>0</v>
      </c>
      <c r="I288" s="33" t="s">
        <v>22</v>
      </c>
      <c r="J288" s="34">
        <v>72000</v>
      </c>
      <c r="K288" s="40">
        <v>0</v>
      </c>
      <c r="L288" s="33"/>
      <c r="M288" s="38"/>
      <c r="N288" s="33"/>
      <c r="O288" s="33"/>
      <c r="P288" s="33"/>
      <c r="Q288" s="33"/>
      <c r="R288" s="33"/>
    </row>
    <row r="289" spans="1:18" hidden="1" x14ac:dyDescent="0.35">
      <c r="A289" s="8"/>
      <c r="B289" s="8"/>
      <c r="C289" s="43" t="s">
        <v>197</v>
      </c>
      <c r="D289" s="43"/>
      <c r="E289" s="43"/>
      <c r="F289" s="43"/>
      <c r="G289" s="43"/>
      <c r="H289" s="43"/>
      <c r="I289" s="43"/>
      <c r="J289" s="43"/>
      <c r="K289" s="45"/>
      <c r="L289" s="43"/>
      <c r="M289" s="43"/>
      <c r="N289" s="43"/>
      <c r="O289" s="43"/>
      <c r="P289" s="43"/>
      <c r="Q289" s="43"/>
      <c r="R289" s="43"/>
    </row>
    <row r="290" spans="1:18" hidden="1" x14ac:dyDescent="0.35">
      <c r="A290" s="8"/>
      <c r="B290" s="8"/>
      <c r="C290" s="44" t="s">
        <v>198</v>
      </c>
      <c r="D290" s="44"/>
      <c r="E290" s="44"/>
      <c r="F290" s="44"/>
      <c r="G290" s="44"/>
      <c r="H290" s="44"/>
      <c r="I290" s="44"/>
      <c r="J290" s="44"/>
      <c r="K290" s="46"/>
      <c r="L290" s="44"/>
      <c r="M290" s="44"/>
      <c r="N290" s="44"/>
      <c r="O290" s="44"/>
      <c r="P290" s="44"/>
      <c r="Q290" s="44"/>
      <c r="R290" s="44"/>
    </row>
    <row r="291" spans="1:18" x14ac:dyDescent="0.35">
      <c r="A291" s="59" t="s">
        <v>104</v>
      </c>
      <c r="B291" s="8"/>
      <c r="C291" s="30" t="s">
        <v>201</v>
      </c>
      <c r="D291" s="30"/>
      <c r="E291" s="30"/>
      <c r="F291" s="31" t="s">
        <v>211</v>
      </c>
      <c r="G291" s="30" t="s">
        <v>209</v>
      </c>
      <c r="H291" s="36">
        <f>K291/J291</f>
        <v>11.95</v>
      </c>
      <c r="I291" s="30" t="s">
        <v>22</v>
      </c>
      <c r="J291" s="32">
        <v>96000</v>
      </c>
      <c r="K291" s="36">
        <f>J291*11.95</f>
        <v>1147200</v>
      </c>
      <c r="L291" s="30" t="str">
        <f>TEXT(IFERROR(((K291-K292)/K292*100),"0.00"),"0.00")</f>
        <v>0.00</v>
      </c>
      <c r="M291" s="36">
        <f>(10+J291*3)</f>
        <v>288010</v>
      </c>
      <c r="N291" s="35" t="s">
        <v>54</v>
      </c>
      <c r="O291" s="30" t="s">
        <v>213</v>
      </c>
      <c r="P291" s="30" t="s">
        <v>546</v>
      </c>
      <c r="Q291" s="30" t="s">
        <v>564</v>
      </c>
      <c r="R291" s="30"/>
    </row>
    <row r="292" spans="1:18" x14ac:dyDescent="0.35">
      <c r="A292" s="8"/>
      <c r="B292" s="8"/>
      <c r="C292" s="33" t="s">
        <v>196</v>
      </c>
      <c r="D292" s="33"/>
      <c r="E292" s="33"/>
      <c r="F292" s="33"/>
      <c r="G292" s="33"/>
      <c r="H292" s="38">
        <f>IFERROR(K292/J292,"0")</f>
        <v>0</v>
      </c>
      <c r="I292" s="33" t="s">
        <v>22</v>
      </c>
      <c r="J292" s="34">
        <v>96000</v>
      </c>
      <c r="K292" s="40">
        <v>0</v>
      </c>
      <c r="L292" s="33"/>
      <c r="M292" s="33"/>
      <c r="N292" s="33"/>
      <c r="O292" s="33"/>
      <c r="P292" s="33"/>
      <c r="Q292" s="33"/>
      <c r="R292" s="33"/>
    </row>
    <row r="293" spans="1:18" hidden="1" x14ac:dyDescent="0.35">
      <c r="A293" s="8"/>
      <c r="B293" s="8"/>
      <c r="C293" s="43" t="s">
        <v>197</v>
      </c>
      <c r="D293" s="43"/>
      <c r="E293" s="43"/>
      <c r="F293" s="43"/>
      <c r="G293" s="43"/>
      <c r="H293" s="43"/>
      <c r="I293" s="43"/>
      <c r="J293" s="43"/>
      <c r="K293" s="45"/>
      <c r="L293" s="43"/>
      <c r="M293" s="43"/>
      <c r="N293" s="43"/>
      <c r="O293" s="43"/>
      <c r="P293" s="43"/>
      <c r="Q293" s="43"/>
      <c r="R293" s="43"/>
    </row>
    <row r="294" spans="1:18" hidden="1" x14ac:dyDescent="0.35">
      <c r="A294" s="8"/>
      <c r="B294" s="8"/>
      <c r="C294" s="44" t="s">
        <v>198</v>
      </c>
      <c r="D294" s="44"/>
      <c r="E294" s="44"/>
      <c r="F294" s="44"/>
      <c r="G294" s="44"/>
      <c r="H294" s="44"/>
      <c r="I294" s="44"/>
      <c r="J294" s="44"/>
      <c r="K294" s="46"/>
      <c r="L294" s="44"/>
      <c r="M294" s="44"/>
      <c r="N294" s="44"/>
      <c r="O294" s="44"/>
      <c r="P294" s="44"/>
      <c r="Q294" s="44"/>
      <c r="R294" s="44"/>
    </row>
    <row r="295" spans="1:18" ht="29" x14ac:dyDescent="0.35">
      <c r="A295" s="59" t="s">
        <v>105</v>
      </c>
      <c r="B295" s="8"/>
      <c r="C295" s="30" t="s">
        <v>201</v>
      </c>
      <c r="D295" s="30"/>
      <c r="E295" s="30"/>
      <c r="F295" s="31" t="s">
        <v>212</v>
      </c>
      <c r="G295" s="30" t="s">
        <v>210</v>
      </c>
      <c r="H295" s="36">
        <f>K295/J295</f>
        <v>33.863999999999997</v>
      </c>
      <c r="I295" s="30" t="s">
        <v>22</v>
      </c>
      <c r="J295" s="32">
        <v>120000</v>
      </c>
      <c r="K295" s="36">
        <f>'UC01 - CALCULATOIN'!C13</f>
        <v>4063680</v>
      </c>
      <c r="L295" s="30" t="str">
        <f>TEXT(IFERROR(((K295-K296)/K296*100),"0.00"),"0.00")</f>
        <v>0.00</v>
      </c>
      <c r="M295" s="36">
        <f>(10+J295*3)</f>
        <v>360010</v>
      </c>
      <c r="N295" s="35" t="s">
        <v>54</v>
      </c>
      <c r="O295" s="30" t="s">
        <v>213</v>
      </c>
      <c r="P295" s="30" t="s">
        <v>546</v>
      </c>
      <c r="Q295" s="30" t="s">
        <v>564</v>
      </c>
      <c r="R295" s="30"/>
    </row>
    <row r="296" spans="1:18" x14ac:dyDescent="0.35">
      <c r="A296" s="8"/>
      <c r="B296" s="8"/>
      <c r="C296" s="33" t="s">
        <v>196</v>
      </c>
      <c r="D296" s="33"/>
      <c r="E296" s="33"/>
      <c r="F296" s="33"/>
      <c r="G296" s="33"/>
      <c r="H296" s="38">
        <f>IFERROR(K296/J296,"0")</f>
        <v>0</v>
      </c>
      <c r="I296" s="33" t="s">
        <v>22</v>
      </c>
      <c r="J296" s="34">
        <v>120000</v>
      </c>
      <c r="K296" s="40">
        <v>0</v>
      </c>
      <c r="L296" s="33"/>
      <c r="M296" s="33"/>
      <c r="N296" s="33"/>
      <c r="O296" s="33"/>
      <c r="P296" s="33"/>
      <c r="Q296" s="33"/>
      <c r="R296" s="33"/>
    </row>
    <row r="297" spans="1:18" x14ac:dyDescent="0.35">
      <c r="A297" s="258" t="s">
        <v>570</v>
      </c>
      <c r="B297" s="258"/>
      <c r="C297" s="258"/>
      <c r="D297" s="258"/>
      <c r="E297" s="258"/>
      <c r="F297" s="258"/>
      <c r="G297" s="258"/>
      <c r="H297" s="258"/>
      <c r="I297" s="258"/>
      <c r="J297" s="258"/>
      <c r="K297" s="258"/>
      <c r="L297" s="258"/>
    </row>
    <row r="298" spans="1:18" x14ac:dyDescent="0.35">
      <c r="A298" s="196" t="s">
        <v>243</v>
      </c>
      <c r="B298" s="67">
        <f>E65+60</f>
        <v>60</v>
      </c>
      <c r="C298" s="196"/>
      <c r="D298" s="196"/>
      <c r="E298" s="196"/>
      <c r="F298" s="196"/>
      <c r="G298" s="196"/>
      <c r="H298" s="196"/>
      <c r="I298" s="196"/>
      <c r="J298" s="196"/>
      <c r="K298" s="196"/>
      <c r="L298" s="196"/>
    </row>
    <row r="299" spans="1:18" x14ac:dyDescent="0.35">
      <c r="A299" s="249" t="s">
        <v>565</v>
      </c>
      <c r="B299" s="250"/>
      <c r="C299" s="250"/>
      <c r="D299" s="250"/>
      <c r="E299" s="250"/>
      <c r="F299" s="196"/>
      <c r="G299" s="196"/>
      <c r="H299" s="196"/>
      <c r="I299" s="196"/>
      <c r="J299" s="196"/>
      <c r="K299" s="196"/>
      <c r="L299" s="196"/>
    </row>
    <row r="300" spans="1:18" x14ac:dyDescent="0.35">
      <c r="A300" s="21" t="s">
        <v>566</v>
      </c>
      <c r="B300" s="56" t="s">
        <v>567</v>
      </c>
      <c r="C300" s="56"/>
      <c r="D300" s="56"/>
      <c r="E300" s="55"/>
      <c r="F300" s="56"/>
      <c r="G300" s="55"/>
      <c r="H300" s="55"/>
      <c r="I300" s="56"/>
      <c r="J300" s="56"/>
      <c r="K300" s="56"/>
      <c r="L300" s="55"/>
      <c r="M300" s="55"/>
    </row>
    <row r="301" spans="1:18" x14ac:dyDescent="0.35">
      <c r="A301" s="249" t="s">
        <v>182</v>
      </c>
      <c r="B301" s="250"/>
      <c r="C301" s="250"/>
      <c r="D301" s="250"/>
      <c r="E301" s="250"/>
    </row>
    <row r="302" spans="1:18" x14ac:dyDescent="0.35">
      <c r="A302" s="199" t="s">
        <v>183</v>
      </c>
      <c r="B302" s="199" t="s">
        <v>44</v>
      </c>
      <c r="C302" s="199" t="s">
        <v>191</v>
      </c>
      <c r="D302" s="42" t="s">
        <v>199</v>
      </c>
      <c r="E302" s="42" t="s">
        <v>200</v>
      </c>
      <c r="F302" s="42" t="s">
        <v>57</v>
      </c>
      <c r="G302" s="199" t="s">
        <v>184</v>
      </c>
      <c r="H302" s="199" t="s">
        <v>185</v>
      </c>
      <c r="I302" s="42" t="s">
        <v>18</v>
      </c>
      <c r="J302" s="42" t="s">
        <v>186</v>
      </c>
      <c r="K302" s="42" t="s">
        <v>187</v>
      </c>
      <c r="L302" s="42" t="s">
        <v>188</v>
      </c>
      <c r="M302" s="42" t="s">
        <v>189</v>
      </c>
      <c r="N302" s="42" t="s">
        <v>206</v>
      </c>
      <c r="O302" s="42" t="s">
        <v>203</v>
      </c>
      <c r="P302" s="42" t="s">
        <v>204</v>
      </c>
      <c r="Q302" s="42" t="s">
        <v>205</v>
      </c>
      <c r="R302" s="42" t="s">
        <v>190</v>
      </c>
    </row>
    <row r="303" spans="1:18" x14ac:dyDescent="0.35">
      <c r="A303" s="49" t="s">
        <v>192</v>
      </c>
      <c r="B303" s="49"/>
      <c r="C303" s="49" t="s">
        <v>201</v>
      </c>
      <c r="D303" s="49"/>
      <c r="E303" s="49"/>
      <c r="F303" s="49"/>
      <c r="G303" s="49"/>
      <c r="H303" s="49"/>
      <c r="I303" s="49"/>
      <c r="J303" s="50">
        <f>J305+J323+J337</f>
        <v>336013</v>
      </c>
      <c r="K303" s="51">
        <f>SUMIFS(K305:K370,C305:C370,C303,A305:A370,"*"&amp;"DE_"&amp;"*")</f>
        <v>6753622.5700000003</v>
      </c>
      <c r="L303" s="49"/>
      <c r="M303" s="51">
        <f>SUMIFS(M305:M370,C305:C370,C303,A305:A370,"*"&amp;"DE_"&amp;"*")</f>
        <v>1008169</v>
      </c>
      <c r="N303" s="49"/>
      <c r="O303" s="49"/>
      <c r="P303" s="49"/>
      <c r="Q303" s="49"/>
      <c r="R303" s="49"/>
    </row>
    <row r="304" spans="1:18" x14ac:dyDescent="0.35">
      <c r="A304" s="49" t="s">
        <v>192</v>
      </c>
      <c r="B304" s="49"/>
      <c r="C304" s="49" t="s">
        <v>196</v>
      </c>
      <c r="D304" s="49"/>
      <c r="E304" s="49"/>
      <c r="F304" s="49"/>
      <c r="G304" s="49"/>
      <c r="H304" s="49"/>
      <c r="I304" s="49"/>
      <c r="J304" s="50">
        <f>J306+J324+J338</f>
        <v>336000</v>
      </c>
      <c r="K304" s="51">
        <f>SUMIFS(K305:K370,C305:C370,C304,A305:A370,"*"&amp;"DE_"&amp;"*")</f>
        <v>648000</v>
      </c>
      <c r="L304" s="49"/>
      <c r="M304" s="51">
        <f>SUMIFS(M305:M370,C305:C370,C304,A305:A370,"*"&amp;"DE_"&amp;"*")</f>
        <v>144010</v>
      </c>
      <c r="N304" s="49"/>
      <c r="O304" s="49"/>
      <c r="P304" s="49"/>
      <c r="Q304" s="49"/>
      <c r="R304" s="49"/>
    </row>
    <row r="305" spans="1:18" hidden="1" x14ac:dyDescent="0.35">
      <c r="A305" s="52" t="s">
        <v>193</v>
      </c>
      <c r="B305" s="52"/>
      <c r="C305" s="52" t="s">
        <v>201</v>
      </c>
      <c r="D305" s="52"/>
      <c r="E305" s="52"/>
      <c r="F305" s="52"/>
      <c r="G305" s="52"/>
      <c r="H305" s="52"/>
      <c r="I305" s="52"/>
      <c r="J305" s="53">
        <f>SUMIFS(J307:J322,C307:C322,C305)</f>
        <v>48003</v>
      </c>
      <c r="K305" s="54">
        <f>SUMIFS(K307:K322,C307:C322,C305)</f>
        <v>657712.92000000004</v>
      </c>
      <c r="L305" s="52"/>
      <c r="M305" s="54">
        <f>SUMIFS(M307:M322,C307:C322,C305)</f>
        <v>144029</v>
      </c>
      <c r="N305" s="52"/>
      <c r="O305" s="52"/>
      <c r="P305" s="52"/>
      <c r="Q305" s="52"/>
      <c r="R305" s="52"/>
    </row>
    <row r="306" spans="1:18" hidden="1" x14ac:dyDescent="0.35">
      <c r="A306" s="52" t="s">
        <v>193</v>
      </c>
      <c r="B306" s="52"/>
      <c r="C306" s="52" t="s">
        <v>196</v>
      </c>
      <c r="D306" s="52"/>
      <c r="E306" s="52"/>
      <c r="F306" s="52"/>
      <c r="G306" s="52"/>
      <c r="H306" s="52"/>
      <c r="I306" s="52"/>
      <c r="J306" s="53">
        <f>SUMIFS(J307:J322,C307:C322,C306)</f>
        <v>48000</v>
      </c>
      <c r="K306" s="54">
        <f>SUMIFS(K307:K322,C307:C322,C306)</f>
        <v>648000</v>
      </c>
      <c r="L306" s="52"/>
      <c r="M306" s="54">
        <f>SUMIFS(M307:M322,C307:C322,C306)</f>
        <v>144010</v>
      </c>
      <c r="N306" s="52"/>
      <c r="O306" s="52"/>
      <c r="P306" s="52"/>
      <c r="Q306" s="52"/>
      <c r="R306" s="52"/>
    </row>
    <row r="307" spans="1:18" hidden="1" x14ac:dyDescent="0.35">
      <c r="A307" s="59" t="s">
        <v>100</v>
      </c>
      <c r="B307" s="8"/>
      <c r="C307" s="30" t="s">
        <v>201</v>
      </c>
      <c r="D307" s="71">
        <v>44197</v>
      </c>
      <c r="E307" s="72">
        <f>D309-1</f>
        <v>59</v>
      </c>
      <c r="F307" s="30">
        <v>13.5</v>
      </c>
      <c r="G307" s="30" t="str">
        <f t="shared" ref="G307:G315" si="0">CONCATENATE("USD,FLAT ",TEXT(F307,"0.00"))</f>
        <v>USD,FLAT 13.50</v>
      </c>
      <c r="H307" s="36">
        <f>K307/J307</f>
        <v>13.5</v>
      </c>
      <c r="I307" s="30" t="s">
        <v>22</v>
      </c>
      <c r="J307" s="32">
        <v>48000</v>
      </c>
      <c r="K307" s="36">
        <f t="shared" ref="K307:K313" si="1">J307*F307</f>
        <v>648000</v>
      </c>
      <c r="L307" s="30" t="str">
        <f>TEXT(IFERROR(((K307-K308)/K308*100),"0.00"),"0.00")</f>
        <v>0.00</v>
      </c>
      <c r="M307" s="36">
        <f>(10+J307*3)</f>
        <v>144010</v>
      </c>
      <c r="N307" s="30"/>
      <c r="O307" s="30" t="s">
        <v>171</v>
      </c>
      <c r="P307" s="30"/>
      <c r="Q307" s="30"/>
      <c r="R307" s="30"/>
    </row>
    <row r="308" spans="1:18" hidden="1" x14ac:dyDescent="0.35">
      <c r="A308" s="59"/>
      <c r="B308" s="8"/>
      <c r="C308" s="33" t="s">
        <v>196</v>
      </c>
      <c r="D308" s="70"/>
      <c r="E308" s="70"/>
      <c r="F308" s="33">
        <v>13.5</v>
      </c>
      <c r="G308" s="33" t="str">
        <f t="shared" si="0"/>
        <v>USD,FLAT 13.50</v>
      </c>
      <c r="H308" s="38">
        <f>IFERROR(K308/J308,"0")</f>
        <v>13.5</v>
      </c>
      <c r="I308" s="33" t="s">
        <v>22</v>
      </c>
      <c r="J308" s="34">
        <v>48000</v>
      </c>
      <c r="K308" s="38">
        <f t="shared" si="1"/>
        <v>648000</v>
      </c>
      <c r="L308" s="33"/>
      <c r="M308" s="38">
        <f>(10+J308*3)</f>
        <v>144010</v>
      </c>
      <c r="N308" s="33"/>
      <c r="O308" s="33"/>
      <c r="P308" s="33"/>
      <c r="Q308" s="33"/>
      <c r="R308" s="33"/>
    </row>
    <row r="309" spans="1:18" hidden="1" x14ac:dyDescent="0.35">
      <c r="A309" s="59"/>
      <c r="B309" s="8"/>
      <c r="C309" s="63" t="s">
        <v>197</v>
      </c>
      <c r="D309" s="68">
        <f>B298</f>
        <v>60</v>
      </c>
      <c r="E309" s="63"/>
      <c r="F309" s="63">
        <v>12.99</v>
      </c>
      <c r="G309" s="63" t="str">
        <f t="shared" si="0"/>
        <v>USD,FLAT 12.99</v>
      </c>
      <c r="H309" s="69">
        <f>K309/J309</f>
        <v>12.99</v>
      </c>
      <c r="I309" s="63" t="s">
        <v>22</v>
      </c>
      <c r="J309" s="64">
        <v>48000</v>
      </c>
      <c r="K309" s="69">
        <f t="shared" si="1"/>
        <v>623520</v>
      </c>
      <c r="L309" s="73" t="str">
        <f>TEXT(IFERROR(((K309-K308)/K308*100),"0.00"),"0.00")</f>
        <v>-3.78</v>
      </c>
      <c r="M309" s="69">
        <f>(10+J309*3)</f>
        <v>144010</v>
      </c>
      <c r="N309" s="63"/>
      <c r="O309" s="63"/>
      <c r="P309" s="63"/>
      <c r="Q309" s="63"/>
      <c r="R309" s="63"/>
    </row>
    <row r="310" spans="1:18" hidden="1" x14ac:dyDescent="0.35">
      <c r="A310" s="59"/>
      <c r="B310" s="8"/>
      <c r="C310" s="44" t="s">
        <v>198</v>
      </c>
      <c r="D310" s="44"/>
      <c r="E310" s="44"/>
      <c r="F310" s="107"/>
      <c r="G310" s="107"/>
      <c r="H310" s="108"/>
      <c r="I310" s="107"/>
      <c r="J310" s="109"/>
      <c r="K310" s="108"/>
      <c r="L310" s="114"/>
      <c r="M310" s="108"/>
      <c r="N310" s="44"/>
      <c r="O310" s="44"/>
      <c r="P310" s="44"/>
      <c r="Q310" s="44"/>
      <c r="R310" s="44"/>
    </row>
    <row r="311" spans="1:18" hidden="1" x14ac:dyDescent="0.35">
      <c r="A311" s="59" t="s">
        <v>101</v>
      </c>
      <c r="B311" s="8"/>
      <c r="C311" s="30" t="s">
        <v>201</v>
      </c>
      <c r="D311" s="71">
        <v>44197</v>
      </c>
      <c r="E311" s="72">
        <f>D313-1</f>
        <v>59</v>
      </c>
      <c r="F311" s="63">
        <v>9.89</v>
      </c>
      <c r="G311" s="30" t="str">
        <f t="shared" si="0"/>
        <v>USD,FLAT 9.89</v>
      </c>
      <c r="H311" s="36">
        <f>K311/J311</f>
        <v>9.89</v>
      </c>
      <c r="I311" s="30" t="s">
        <v>22</v>
      </c>
      <c r="J311" s="64">
        <v>3</v>
      </c>
      <c r="K311" s="36">
        <f t="shared" si="1"/>
        <v>29.67</v>
      </c>
      <c r="L311" s="30" t="str">
        <f>TEXT(IFERROR(((K311-K312)/K312*100),"0.00"),"0.00")</f>
        <v>0.00</v>
      </c>
      <c r="M311" s="36">
        <f>(10+J311*3)</f>
        <v>19</v>
      </c>
      <c r="N311" s="30"/>
      <c r="O311" s="30"/>
      <c r="P311" s="30"/>
      <c r="Q311" s="30"/>
      <c r="R311" s="30"/>
    </row>
    <row r="312" spans="1:18" hidden="1" x14ac:dyDescent="0.35">
      <c r="A312" s="59"/>
      <c r="B312" s="8"/>
      <c r="C312" s="33" t="s">
        <v>196</v>
      </c>
      <c r="D312" s="33"/>
      <c r="E312" s="33"/>
      <c r="F312" s="33">
        <v>9.9499999999999993</v>
      </c>
      <c r="G312" s="33" t="str">
        <f t="shared" si="0"/>
        <v>USD,FLAT 9.95</v>
      </c>
      <c r="H312" s="38" t="str">
        <f>IFERROR(K312/J312,"0")</f>
        <v>0</v>
      </c>
      <c r="I312" s="33"/>
      <c r="J312" s="34"/>
      <c r="K312" s="38">
        <f t="shared" si="1"/>
        <v>0</v>
      </c>
      <c r="L312" s="33"/>
      <c r="M312" s="38"/>
      <c r="N312" s="33"/>
      <c r="O312" s="33"/>
      <c r="P312" s="33"/>
      <c r="Q312" s="33"/>
      <c r="R312" s="33"/>
    </row>
    <row r="313" spans="1:18" hidden="1" x14ac:dyDescent="0.35">
      <c r="A313" s="59"/>
      <c r="B313" s="8"/>
      <c r="C313" s="63" t="s">
        <v>197</v>
      </c>
      <c r="D313" s="68">
        <f>B298</f>
        <v>60</v>
      </c>
      <c r="E313" s="63"/>
      <c r="F313" s="63">
        <v>8.99</v>
      </c>
      <c r="G313" s="63" t="str">
        <f t="shared" si="0"/>
        <v>USD,FLAT 8.99</v>
      </c>
      <c r="H313" s="69">
        <f>K313/J313</f>
        <v>8.99</v>
      </c>
      <c r="I313" s="63" t="s">
        <v>22</v>
      </c>
      <c r="J313" s="64">
        <v>3</v>
      </c>
      <c r="K313" s="69">
        <f t="shared" si="1"/>
        <v>26.97</v>
      </c>
      <c r="L313" s="63" t="str">
        <f>TEXT(IFERROR(((K313-K314)/K314*100),"0.00"),"0.00")</f>
        <v>0.00</v>
      </c>
      <c r="M313" s="69">
        <f>(10+J313*3)</f>
        <v>19</v>
      </c>
      <c r="N313" s="63"/>
      <c r="O313" s="63"/>
      <c r="P313" s="63"/>
      <c r="Q313" s="63"/>
      <c r="R313" s="63"/>
    </row>
    <row r="314" spans="1:18" hidden="1" x14ac:dyDescent="0.35">
      <c r="A314" s="59"/>
      <c r="B314" s="8"/>
      <c r="C314" s="44" t="s">
        <v>198</v>
      </c>
      <c r="D314" s="44"/>
      <c r="E314" s="44"/>
      <c r="F314" s="107"/>
      <c r="G314" s="107"/>
      <c r="H314" s="108"/>
      <c r="I314" s="107"/>
      <c r="J314" s="109"/>
      <c r="K314" s="108"/>
      <c r="L314" s="107"/>
      <c r="M314" s="108"/>
      <c r="N314" s="44"/>
      <c r="O314" s="44"/>
      <c r="P314" s="44"/>
      <c r="Q314" s="44"/>
      <c r="R314" s="44"/>
    </row>
    <row r="315" spans="1:18" hidden="1" x14ac:dyDescent="0.35">
      <c r="A315" s="59" t="s">
        <v>207</v>
      </c>
      <c r="B315" s="8"/>
      <c r="C315" s="30" t="s">
        <v>201</v>
      </c>
      <c r="D315" s="71">
        <v>44197</v>
      </c>
      <c r="E315" s="72">
        <f>D317-1</f>
        <v>59</v>
      </c>
      <c r="F315" s="63">
        <v>111.08</v>
      </c>
      <c r="G315" s="30" t="str">
        <f t="shared" si="0"/>
        <v>USD,FLAT 111.08</v>
      </c>
      <c r="H315" s="36">
        <f>F315</f>
        <v>111.08</v>
      </c>
      <c r="I315" s="30"/>
      <c r="J315" s="32"/>
      <c r="K315" s="36">
        <f>(F315*5*5)</f>
        <v>2777</v>
      </c>
      <c r="L315" s="30" t="str">
        <f>TEXT(IFERROR(((K315-K316)/K316*100),"0.00"),"0.00")</f>
        <v>0.00</v>
      </c>
      <c r="M315" s="36">
        <v>0</v>
      </c>
      <c r="N315" s="30"/>
      <c r="O315" s="30"/>
      <c r="P315" s="30"/>
      <c r="Q315" s="30"/>
      <c r="R315" s="30"/>
    </row>
    <row r="316" spans="1:18" hidden="1" x14ac:dyDescent="0.35">
      <c r="A316" s="59"/>
      <c r="B316" s="8"/>
      <c r="C316" s="33" t="s">
        <v>196</v>
      </c>
      <c r="D316" s="33"/>
      <c r="E316" s="33"/>
      <c r="F316" s="33"/>
      <c r="G316" s="33"/>
      <c r="H316" s="38"/>
      <c r="I316" s="33"/>
      <c r="J316" s="34"/>
      <c r="K316" s="38"/>
      <c r="L316" s="33"/>
      <c r="M316" s="38"/>
      <c r="N316" s="33"/>
      <c r="O316" s="33"/>
      <c r="P316" s="33"/>
      <c r="Q316" s="33"/>
      <c r="R316" s="33"/>
    </row>
    <row r="317" spans="1:18" hidden="1" x14ac:dyDescent="0.35">
      <c r="A317" s="59"/>
      <c r="B317" s="8"/>
      <c r="C317" s="63" t="s">
        <v>197</v>
      </c>
      <c r="D317" s="68">
        <f>B298</f>
        <v>60</v>
      </c>
      <c r="E317" s="63"/>
      <c r="F317" s="63">
        <v>109.9</v>
      </c>
      <c r="G317" s="63" t="str">
        <f>CONCATENATE("USD,FLAT ",TEXT(F317,"0.00"))</f>
        <v>USD,FLAT 109.90</v>
      </c>
      <c r="H317" s="69">
        <f>F317</f>
        <v>109.9</v>
      </c>
      <c r="I317" s="63" t="s">
        <v>22</v>
      </c>
      <c r="J317" s="64"/>
      <c r="K317" s="69">
        <f>(F317*5*5)</f>
        <v>2747.5</v>
      </c>
      <c r="L317" s="63" t="str">
        <f>TEXT(IFERROR(((K317-K318)/K318*100),"0.00"),"0.00")</f>
        <v>0.00</v>
      </c>
      <c r="M317" s="69">
        <v>0</v>
      </c>
      <c r="N317" s="63"/>
      <c r="O317" s="63"/>
      <c r="P317" s="63"/>
      <c r="Q317" s="63"/>
      <c r="R317" s="63"/>
    </row>
    <row r="318" spans="1:18" hidden="1" x14ac:dyDescent="0.35">
      <c r="A318" s="59"/>
      <c r="B318" s="8"/>
      <c r="C318" s="44" t="s">
        <v>198</v>
      </c>
      <c r="D318" s="44"/>
      <c r="E318" s="44"/>
      <c r="F318" s="107"/>
      <c r="G318" s="107"/>
      <c r="H318" s="108"/>
      <c r="I318" s="107"/>
      <c r="J318" s="109"/>
      <c r="K318" s="108"/>
      <c r="L318" s="107"/>
      <c r="M318" s="108"/>
      <c r="N318" s="44"/>
      <c r="O318" s="44"/>
      <c r="P318" s="44"/>
      <c r="Q318" s="44"/>
      <c r="R318" s="44"/>
    </row>
    <row r="319" spans="1:18" hidden="1" x14ac:dyDescent="0.35">
      <c r="A319" s="59" t="s">
        <v>102</v>
      </c>
      <c r="B319" s="8"/>
      <c r="C319" s="30" t="s">
        <v>201</v>
      </c>
      <c r="D319" s="30"/>
      <c r="E319" s="30"/>
      <c r="F319" s="30">
        <v>276.25</v>
      </c>
      <c r="G319" s="30" t="str">
        <f>CONCATENATE("USD,FLAT ",TEXT(F319,"0.00"))</f>
        <v>USD,FLAT 276.25</v>
      </c>
      <c r="H319" s="36">
        <f>F319</f>
        <v>276.25</v>
      </c>
      <c r="I319" s="30"/>
      <c r="J319" s="32"/>
      <c r="K319" s="36">
        <f>(F319*5*5)</f>
        <v>6906.25</v>
      </c>
      <c r="L319" s="30" t="str">
        <f>TEXT(IFERROR(((K319-K320)/K320*100),"0.00"),"0.00")</f>
        <v>0.00</v>
      </c>
      <c r="M319" s="36">
        <v>0</v>
      </c>
      <c r="N319" s="30"/>
      <c r="O319" s="30"/>
      <c r="P319" s="30"/>
      <c r="Q319" s="30"/>
      <c r="R319" s="30"/>
    </row>
    <row r="320" spans="1:18" hidden="1" x14ac:dyDescent="0.35">
      <c r="A320" s="59"/>
      <c r="B320" s="8"/>
      <c r="C320" s="33" t="s">
        <v>196</v>
      </c>
      <c r="D320" s="33"/>
      <c r="E320" s="33"/>
      <c r="F320" s="33"/>
      <c r="G320" s="33"/>
      <c r="H320" s="38"/>
      <c r="I320" s="33"/>
      <c r="J320" s="34"/>
      <c r="K320" s="38"/>
      <c r="L320" s="33"/>
      <c r="M320" s="38"/>
      <c r="N320" s="33"/>
      <c r="O320" s="33"/>
      <c r="P320" s="33"/>
      <c r="Q320" s="33"/>
      <c r="R320" s="33"/>
    </row>
    <row r="321" spans="1:18" hidden="1" x14ac:dyDescent="0.35">
      <c r="A321" s="59"/>
      <c r="B321" s="8"/>
      <c r="C321" s="43" t="s">
        <v>197</v>
      </c>
      <c r="D321" s="43"/>
      <c r="E321" s="43"/>
      <c r="F321" s="43"/>
      <c r="G321" s="43"/>
      <c r="H321" s="43"/>
      <c r="I321" s="43"/>
      <c r="J321" s="43"/>
      <c r="K321" s="43"/>
      <c r="L321" s="43"/>
      <c r="M321" s="43"/>
      <c r="N321" s="43"/>
      <c r="O321" s="43"/>
      <c r="P321" s="43"/>
      <c r="Q321" s="43"/>
      <c r="R321" s="43"/>
    </row>
    <row r="322" spans="1:18" hidden="1" x14ac:dyDescent="0.35">
      <c r="A322" s="59"/>
      <c r="B322" s="8"/>
      <c r="C322" s="44" t="s">
        <v>198</v>
      </c>
      <c r="D322" s="44"/>
      <c r="E322" s="44"/>
      <c r="F322" s="44"/>
      <c r="G322" s="44"/>
      <c r="H322" s="44"/>
      <c r="I322" s="44"/>
      <c r="J322" s="44"/>
      <c r="K322" s="44"/>
      <c r="L322" s="44"/>
      <c r="M322" s="44"/>
      <c r="N322" s="44"/>
      <c r="O322" s="44"/>
      <c r="P322" s="44"/>
      <c r="Q322" s="44"/>
      <c r="R322" s="44"/>
    </row>
    <row r="323" spans="1:18" hidden="1" x14ac:dyDescent="0.35">
      <c r="A323" s="59" t="s">
        <v>194</v>
      </c>
      <c r="B323" s="52"/>
      <c r="C323" s="52" t="s">
        <v>201</v>
      </c>
      <c r="D323" s="52"/>
      <c r="E323" s="52"/>
      <c r="F323" s="52"/>
      <c r="G323" s="52"/>
      <c r="H323" s="52"/>
      <c r="I323" s="52"/>
      <c r="J323" s="53">
        <f>SUMIFS(J325:J336,C325:C336,C323)</f>
        <v>288000</v>
      </c>
      <c r="K323" s="54">
        <f>SUMIFS(K325:K336,C325:C336,C323)</f>
        <v>6092880</v>
      </c>
      <c r="L323" s="52"/>
      <c r="M323" s="54">
        <f>SUMIFS(M325:M336,C325:C336,C323)</f>
        <v>864030</v>
      </c>
      <c r="N323" s="52"/>
      <c r="O323" s="52"/>
      <c r="P323" s="52"/>
      <c r="Q323" s="52"/>
      <c r="R323" s="52"/>
    </row>
    <row r="324" spans="1:18" hidden="1" x14ac:dyDescent="0.35">
      <c r="A324" s="59" t="s">
        <v>194</v>
      </c>
      <c r="B324" s="52"/>
      <c r="C324" s="52" t="s">
        <v>196</v>
      </c>
      <c r="D324" s="52"/>
      <c r="E324" s="52"/>
      <c r="F324" s="52"/>
      <c r="G324" s="52"/>
      <c r="H324" s="52"/>
      <c r="I324" s="52"/>
      <c r="J324" s="53">
        <f>SUMIFS(J325:J336,C325:C336,C324)</f>
        <v>288000</v>
      </c>
      <c r="K324" s="54">
        <f>SUMIFS(K325:K334,C325:C334,C324)</f>
        <v>0</v>
      </c>
      <c r="L324" s="52"/>
      <c r="M324" s="54">
        <f>SUMIFS(M325:M334,C325:C334,C324)</f>
        <v>0</v>
      </c>
      <c r="N324" s="52"/>
      <c r="O324" s="52"/>
      <c r="P324" s="52"/>
      <c r="Q324" s="52"/>
      <c r="R324" s="52"/>
    </row>
    <row r="325" spans="1:18" hidden="1" x14ac:dyDescent="0.35">
      <c r="A325" s="59" t="s">
        <v>103</v>
      </c>
      <c r="B325" s="8"/>
      <c r="C325" s="30" t="s">
        <v>201</v>
      </c>
      <c r="D325" s="71">
        <v>44197</v>
      </c>
      <c r="E325" s="72">
        <f>D327-1</f>
        <v>59</v>
      </c>
      <c r="F325" s="31" t="s">
        <v>211</v>
      </c>
      <c r="G325" s="30" t="s">
        <v>208</v>
      </c>
      <c r="H325" s="36">
        <f>K325/J325</f>
        <v>12.25</v>
      </c>
      <c r="I325" s="30" t="s">
        <v>22</v>
      </c>
      <c r="J325" s="32">
        <v>72000</v>
      </c>
      <c r="K325" s="36">
        <f>(1000*12.95+4000*12.15+1000*11.95)*12</f>
        <v>882000</v>
      </c>
      <c r="L325" s="30" t="str">
        <f>TEXT(IFERROR(((K325-K326)/K326*100),"0.00"),"0.00")</f>
        <v>0.00</v>
      </c>
      <c r="M325" s="36">
        <f>(10+J325*3)</f>
        <v>216010</v>
      </c>
      <c r="N325" s="35" t="s">
        <v>54</v>
      </c>
      <c r="O325" s="30" t="s">
        <v>213</v>
      </c>
      <c r="P325" s="30"/>
      <c r="Q325" s="30"/>
      <c r="R325" s="30"/>
    </row>
    <row r="326" spans="1:18" hidden="1" x14ac:dyDescent="0.35">
      <c r="A326" s="59"/>
      <c r="B326" s="8"/>
      <c r="C326" s="33" t="s">
        <v>196</v>
      </c>
      <c r="D326" s="33"/>
      <c r="E326" s="33"/>
      <c r="F326" s="33"/>
      <c r="G326" s="33"/>
      <c r="H326" s="38">
        <f>IFERROR(K326/J326,"0")</f>
        <v>0</v>
      </c>
      <c r="I326" s="33" t="s">
        <v>22</v>
      </c>
      <c r="J326" s="34">
        <v>72000</v>
      </c>
      <c r="K326" s="40">
        <v>0</v>
      </c>
      <c r="L326" s="33"/>
      <c r="M326" s="38"/>
      <c r="N326" s="33"/>
      <c r="O326" s="33"/>
      <c r="P326" s="33"/>
      <c r="Q326" s="33"/>
      <c r="R326" s="33"/>
    </row>
    <row r="327" spans="1:18" hidden="1" x14ac:dyDescent="0.35">
      <c r="A327" s="59"/>
      <c r="B327" s="8"/>
      <c r="C327" s="63" t="s">
        <v>197</v>
      </c>
      <c r="D327" s="68">
        <f>B298</f>
        <v>60</v>
      </c>
      <c r="E327" s="63"/>
      <c r="F327" s="63" t="s">
        <v>244</v>
      </c>
      <c r="G327" s="63" t="str">
        <f>CONCATENATE("USD,FLAT ",TEXT(F327,"0.00"))</f>
        <v>USD,FLAT 13.05,11.15,11.95</v>
      </c>
      <c r="H327" s="69">
        <f>K327/J327</f>
        <v>11.6</v>
      </c>
      <c r="I327" s="63" t="s">
        <v>22</v>
      </c>
      <c r="J327" s="64">
        <v>72000</v>
      </c>
      <c r="K327" s="69">
        <f>(1000*13.05+4000*11.15+1000*11.95)*12</f>
        <v>835200</v>
      </c>
      <c r="L327" s="63" t="str">
        <f>TEXT(IFERROR(((K327-K328)/K328*100),"0.00"),"0.00")</f>
        <v>0.00</v>
      </c>
      <c r="M327" s="69">
        <f>(10+J327*3)</f>
        <v>216010</v>
      </c>
      <c r="N327" s="63"/>
      <c r="O327" s="63"/>
      <c r="P327" s="63"/>
      <c r="Q327" s="63"/>
      <c r="R327" s="63"/>
    </row>
    <row r="328" spans="1:18" hidden="1" x14ac:dyDescent="0.35">
      <c r="A328" s="59"/>
      <c r="B328" s="8"/>
      <c r="C328" s="44" t="s">
        <v>198</v>
      </c>
      <c r="D328" s="44"/>
      <c r="E328" s="44"/>
      <c r="F328" s="44"/>
      <c r="G328" s="44"/>
      <c r="H328" s="44"/>
      <c r="I328" s="44"/>
      <c r="J328" s="44"/>
      <c r="K328" s="46"/>
      <c r="L328" s="44"/>
      <c r="M328" s="44"/>
      <c r="N328" s="44"/>
      <c r="O328" s="44"/>
      <c r="P328" s="44"/>
      <c r="Q328" s="44"/>
      <c r="R328" s="44"/>
    </row>
    <row r="329" spans="1:18" hidden="1" x14ac:dyDescent="0.35">
      <c r="A329" s="59" t="s">
        <v>104</v>
      </c>
      <c r="B329" s="8"/>
      <c r="C329" s="30" t="s">
        <v>201</v>
      </c>
      <c r="D329" s="30"/>
      <c r="E329" s="30"/>
      <c r="F329" s="31" t="s">
        <v>211</v>
      </c>
      <c r="G329" s="30" t="s">
        <v>209</v>
      </c>
      <c r="H329" s="36">
        <f>K329/J329</f>
        <v>11.95</v>
      </c>
      <c r="I329" s="30" t="s">
        <v>22</v>
      </c>
      <c r="J329" s="32">
        <v>96000</v>
      </c>
      <c r="K329" s="36">
        <f>J329*11.95</f>
        <v>1147200</v>
      </c>
      <c r="L329" s="30" t="str">
        <f>TEXT(IFERROR(((K329-K330)/K330*100),"0.00"),"0.00")</f>
        <v>0.00</v>
      </c>
      <c r="M329" s="36">
        <f>(10+J329*3)</f>
        <v>288010</v>
      </c>
      <c r="N329" s="35" t="s">
        <v>54</v>
      </c>
      <c r="O329" s="30" t="s">
        <v>213</v>
      </c>
      <c r="P329" s="30"/>
      <c r="Q329" s="30"/>
      <c r="R329" s="30"/>
    </row>
    <row r="330" spans="1:18" hidden="1" x14ac:dyDescent="0.35">
      <c r="A330" s="59"/>
      <c r="B330" s="8"/>
      <c r="C330" s="33" t="s">
        <v>196</v>
      </c>
      <c r="D330" s="33"/>
      <c r="E330" s="33"/>
      <c r="F330" s="33"/>
      <c r="G330" s="33"/>
      <c r="H330" s="38">
        <f>IFERROR(K330/J330,"0")</f>
        <v>0</v>
      </c>
      <c r="I330" s="33" t="s">
        <v>22</v>
      </c>
      <c r="J330" s="34">
        <v>96000</v>
      </c>
      <c r="K330" s="40">
        <v>0</v>
      </c>
      <c r="L330" s="33"/>
      <c r="M330" s="33"/>
      <c r="N330" s="33"/>
      <c r="O330" s="33"/>
      <c r="P330" s="33"/>
      <c r="Q330" s="33"/>
      <c r="R330" s="33"/>
    </row>
    <row r="331" spans="1:18" hidden="1" x14ac:dyDescent="0.35">
      <c r="A331" s="59"/>
      <c r="B331" s="8"/>
      <c r="C331" s="43" t="s">
        <v>197</v>
      </c>
      <c r="D331" s="43"/>
      <c r="E331" s="43"/>
      <c r="F331" s="43"/>
      <c r="G331" s="43"/>
      <c r="H331" s="43"/>
      <c r="I331" s="43"/>
      <c r="J331" s="43"/>
      <c r="K331" s="45"/>
      <c r="L331" s="43"/>
      <c r="M331" s="43"/>
      <c r="N331" s="43"/>
      <c r="O331" s="43"/>
      <c r="P331" s="43"/>
      <c r="Q331" s="43"/>
      <c r="R331" s="43"/>
    </row>
    <row r="332" spans="1:18" hidden="1" x14ac:dyDescent="0.35">
      <c r="A332" s="59"/>
      <c r="B332" s="8"/>
      <c r="C332" s="44" t="s">
        <v>198</v>
      </c>
      <c r="D332" s="44"/>
      <c r="E332" s="44"/>
      <c r="F332" s="44"/>
      <c r="G332" s="44"/>
      <c r="H332" s="44"/>
      <c r="I332" s="44"/>
      <c r="J332" s="44"/>
      <c r="K332" s="46"/>
      <c r="L332" s="44"/>
      <c r="M332" s="44"/>
      <c r="N332" s="44"/>
      <c r="O332" s="44"/>
      <c r="P332" s="44"/>
      <c r="Q332" s="44"/>
      <c r="R332" s="44"/>
    </row>
    <row r="333" spans="1:18" ht="29" hidden="1" x14ac:dyDescent="0.35">
      <c r="A333" s="59" t="s">
        <v>105</v>
      </c>
      <c r="B333" s="8"/>
      <c r="C333" s="30" t="s">
        <v>201</v>
      </c>
      <c r="D333" s="30"/>
      <c r="E333" s="30"/>
      <c r="F333" s="31" t="s">
        <v>212</v>
      </c>
      <c r="G333" s="30" t="s">
        <v>210</v>
      </c>
      <c r="H333" s="36">
        <f>K333/J333</f>
        <v>33.863999999999997</v>
      </c>
      <c r="I333" s="30" t="s">
        <v>22</v>
      </c>
      <c r="J333" s="32">
        <v>120000</v>
      </c>
      <c r="K333" s="36">
        <f>'UC01 - CALCULATOIN'!C13</f>
        <v>4063680</v>
      </c>
      <c r="L333" s="30" t="str">
        <f>TEXT(IFERROR(((K333-K334)/K334*100),"0.00"),"0.00")</f>
        <v>0.00</v>
      </c>
      <c r="M333" s="36">
        <f>(10+J333*3)</f>
        <v>360010</v>
      </c>
      <c r="N333" s="35" t="s">
        <v>54</v>
      </c>
      <c r="O333" s="30" t="s">
        <v>213</v>
      </c>
      <c r="P333" s="30"/>
      <c r="Q333" s="30"/>
      <c r="R333" s="30"/>
    </row>
    <row r="334" spans="1:18" hidden="1" x14ac:dyDescent="0.35">
      <c r="A334" s="59"/>
      <c r="B334" s="8"/>
      <c r="C334" s="33" t="s">
        <v>196</v>
      </c>
      <c r="D334" s="33"/>
      <c r="E334" s="33"/>
      <c r="F334" s="33"/>
      <c r="G334" s="33"/>
      <c r="H334" s="38">
        <f>IFERROR(K334/J334,"0")</f>
        <v>0</v>
      </c>
      <c r="I334" s="33" t="s">
        <v>22</v>
      </c>
      <c r="J334" s="34">
        <v>120000</v>
      </c>
      <c r="K334" s="40">
        <v>0</v>
      </c>
      <c r="L334" s="33"/>
      <c r="M334" s="33"/>
      <c r="N334" s="33"/>
      <c r="O334" s="33"/>
      <c r="P334" s="33"/>
      <c r="Q334" s="33"/>
      <c r="R334" s="33"/>
    </row>
    <row r="335" spans="1:18" hidden="1" x14ac:dyDescent="0.35">
      <c r="A335" s="59"/>
      <c r="B335" s="8"/>
      <c r="C335" s="43" t="s">
        <v>197</v>
      </c>
      <c r="D335" s="43"/>
      <c r="E335" s="43"/>
      <c r="F335" s="43"/>
      <c r="G335" s="43"/>
      <c r="H335" s="43"/>
      <c r="I335" s="43"/>
      <c r="J335" s="43"/>
      <c r="K335" s="45"/>
      <c r="L335" s="43"/>
      <c r="M335" s="43"/>
      <c r="N335" s="43"/>
      <c r="O335" s="43"/>
      <c r="P335" s="43"/>
      <c r="Q335" s="43"/>
      <c r="R335" s="43"/>
    </row>
    <row r="336" spans="1:18" hidden="1" x14ac:dyDescent="0.35">
      <c r="A336" s="59"/>
      <c r="B336" s="8"/>
      <c r="C336" s="44" t="s">
        <v>198</v>
      </c>
      <c r="D336" s="44"/>
      <c r="E336" s="44"/>
      <c r="F336" s="44"/>
      <c r="G336" s="44"/>
      <c r="H336" s="44"/>
      <c r="I336" s="44"/>
      <c r="J336" s="44"/>
      <c r="K336" s="46"/>
      <c r="L336" s="44"/>
      <c r="M336" s="44"/>
      <c r="N336" s="44"/>
      <c r="O336" s="44"/>
      <c r="P336" s="44"/>
      <c r="Q336" s="44"/>
      <c r="R336" s="44"/>
    </row>
    <row r="337" spans="1:18" x14ac:dyDescent="0.35">
      <c r="A337" s="59" t="s">
        <v>195</v>
      </c>
      <c r="B337" s="52"/>
      <c r="C337" s="52" t="s">
        <v>201</v>
      </c>
      <c r="D337" s="52"/>
      <c r="E337" s="52"/>
      <c r="F337" s="52"/>
      <c r="G337" s="52"/>
      <c r="H337" s="52"/>
      <c r="I337" s="52"/>
      <c r="J337" s="53">
        <f>SUMIFS(J339:J370,C339:C370,C337)</f>
        <v>10</v>
      </c>
      <c r="K337" s="54">
        <f>SUMIFS(K339:K370,C339:C370,C337)</f>
        <v>3029.6500000000005</v>
      </c>
      <c r="L337" s="52"/>
      <c r="M337" s="54">
        <f>SUMIFS(M339:M370,C339:C370,C337)</f>
        <v>110</v>
      </c>
      <c r="N337" s="52"/>
      <c r="O337" s="52"/>
      <c r="P337" s="52"/>
      <c r="Q337" s="52"/>
      <c r="R337" s="52"/>
    </row>
    <row r="338" spans="1:18" x14ac:dyDescent="0.35">
      <c r="A338" s="59" t="s">
        <v>195</v>
      </c>
      <c r="B338" s="52"/>
      <c r="C338" s="52" t="s">
        <v>196</v>
      </c>
      <c r="D338" s="52"/>
      <c r="E338" s="52"/>
      <c r="F338" s="52"/>
      <c r="G338" s="52"/>
      <c r="H338" s="52"/>
      <c r="I338" s="52"/>
      <c r="J338" s="53">
        <f>SUMIFS(J339:J370,C339:C370,C338)</f>
        <v>0</v>
      </c>
      <c r="K338" s="54">
        <f>SUMIFS(K339:K370,C339:C370,C338)</f>
        <v>0</v>
      </c>
      <c r="L338" s="52"/>
      <c r="M338" s="54">
        <f>SUMIFS(M339:M370,C339:C370,C338)</f>
        <v>0</v>
      </c>
      <c r="N338" s="52"/>
      <c r="O338" s="52"/>
      <c r="P338" s="52"/>
      <c r="Q338" s="52"/>
      <c r="R338" s="52"/>
    </row>
    <row r="339" spans="1:18" ht="13.75" customHeight="1" x14ac:dyDescent="0.35">
      <c r="A339" s="59" t="s">
        <v>106</v>
      </c>
      <c r="B339" s="8"/>
      <c r="C339" s="30" t="s">
        <v>201</v>
      </c>
      <c r="D339" s="30"/>
      <c r="E339" s="30"/>
      <c r="F339" s="65">
        <v>0.14000000000000001</v>
      </c>
      <c r="G339" s="30" t="str">
        <f>CONCATENATE("USD,FLAT ",TEXT(F339,"0.00"))</f>
        <v>USD,FLAT 0.14</v>
      </c>
      <c r="H339" s="36">
        <f>(K339/J339)</f>
        <v>1500.14</v>
      </c>
      <c r="I339" s="30" t="s">
        <v>22</v>
      </c>
      <c r="J339" s="64">
        <v>2</v>
      </c>
      <c r="K339" s="39">
        <f>J339*F339+3000</f>
        <v>3000.28</v>
      </c>
      <c r="L339" s="30" t="str">
        <f>TEXT(IFERROR(((K339-K340)/K340*100),"0.00"),"0.00")</f>
        <v>0.00</v>
      </c>
      <c r="M339" s="36">
        <f>(10+J339*3)</f>
        <v>16</v>
      </c>
      <c r="N339" s="30"/>
      <c r="O339" s="30"/>
      <c r="P339" s="30"/>
      <c r="Q339" s="30"/>
      <c r="R339" s="30"/>
    </row>
    <row r="340" spans="1:18" x14ac:dyDescent="0.35">
      <c r="A340" s="59"/>
      <c r="B340" s="8"/>
      <c r="C340" s="33" t="s">
        <v>196</v>
      </c>
      <c r="D340" s="33"/>
      <c r="E340" s="33"/>
      <c r="F340" s="33"/>
      <c r="G340" s="33"/>
      <c r="H340" s="38" t="str">
        <f>IFERROR(K340/J340,"0")</f>
        <v>0</v>
      </c>
      <c r="I340" s="33"/>
      <c r="J340" s="34"/>
      <c r="K340" s="40"/>
      <c r="L340" s="33"/>
      <c r="M340" s="33"/>
      <c r="N340" s="33"/>
      <c r="O340" s="33"/>
      <c r="P340" s="33"/>
      <c r="Q340" s="33"/>
      <c r="R340" s="33"/>
    </row>
    <row r="341" spans="1:18" x14ac:dyDescent="0.35">
      <c r="A341" s="59"/>
      <c r="B341" s="8"/>
      <c r="C341" s="43" t="s">
        <v>197</v>
      </c>
      <c r="D341" s="43"/>
      <c r="E341" s="43"/>
      <c r="F341" s="43"/>
      <c r="G341" s="43"/>
      <c r="H341" s="43"/>
      <c r="I341" s="43"/>
      <c r="J341" s="43"/>
      <c r="K341" s="45"/>
      <c r="L341" s="43"/>
      <c r="M341" s="43"/>
      <c r="N341" s="43"/>
      <c r="O341" s="43"/>
      <c r="P341" s="43"/>
      <c r="Q341" s="43"/>
      <c r="R341" s="43"/>
    </row>
    <row r="342" spans="1:18" x14ac:dyDescent="0.35">
      <c r="A342" s="59"/>
      <c r="B342" s="8"/>
      <c r="C342" s="44" t="s">
        <v>198</v>
      </c>
      <c r="D342" s="44"/>
      <c r="E342" s="44"/>
      <c r="F342" s="107">
        <v>0.11</v>
      </c>
      <c r="G342" s="107" t="str">
        <f>CONCATENATE("USD,FLAT ",TEXT(F342,"0.00"))</f>
        <v>USD,FLAT 0.11</v>
      </c>
      <c r="H342" s="108">
        <f>K342/J342</f>
        <v>1500.11</v>
      </c>
      <c r="I342" s="107"/>
      <c r="J342" s="109">
        <v>2</v>
      </c>
      <c r="K342" s="110">
        <f>J342*F342+3000</f>
        <v>3000.22</v>
      </c>
      <c r="L342" s="107" t="str">
        <f>TEXT(IFERROR(((K342-K340)/K340*100),"0.00"),"0.00")</f>
        <v>0.00</v>
      </c>
      <c r="M342" s="108"/>
      <c r="N342" s="44"/>
      <c r="O342" s="44"/>
      <c r="P342" s="44"/>
      <c r="Q342" s="44"/>
      <c r="R342" s="44"/>
    </row>
    <row r="343" spans="1:18" hidden="1" x14ac:dyDescent="0.35">
      <c r="A343" s="59" t="s">
        <v>107</v>
      </c>
      <c r="B343" s="8"/>
      <c r="C343" s="30" t="s">
        <v>201</v>
      </c>
      <c r="D343" s="30"/>
      <c r="E343" s="30"/>
      <c r="F343" s="65">
        <v>1.99</v>
      </c>
      <c r="G343" s="30" t="str">
        <f>CONCATENATE("USD,FLAT ",TEXT(F343,"0.00"))</f>
        <v>USD,FLAT 1.99</v>
      </c>
      <c r="H343" s="36">
        <f>K343/J343</f>
        <v>1.99</v>
      </c>
      <c r="I343" s="30" t="s">
        <v>22</v>
      </c>
      <c r="J343" s="64">
        <v>2</v>
      </c>
      <c r="K343" s="39">
        <f>J343*F343</f>
        <v>3.98</v>
      </c>
      <c r="L343" s="30" t="str">
        <f>TEXT(IFERROR(((K343-K344)/K344*100),"0.00"),"0.00")</f>
        <v>0.00</v>
      </c>
      <c r="M343" s="36">
        <f>(10+J343*3)</f>
        <v>16</v>
      </c>
      <c r="N343" s="30"/>
      <c r="O343" s="30"/>
      <c r="P343" s="30"/>
      <c r="Q343" s="30"/>
      <c r="R343" s="30"/>
    </row>
    <row r="344" spans="1:18" hidden="1" x14ac:dyDescent="0.35">
      <c r="A344" s="59"/>
      <c r="B344" s="8"/>
      <c r="C344" s="33" t="s">
        <v>196</v>
      </c>
      <c r="D344" s="33"/>
      <c r="E344" s="33"/>
      <c r="F344" s="33"/>
      <c r="G344" s="33"/>
      <c r="H344" s="38" t="str">
        <f>IFERROR(K344/J344,"0")</f>
        <v>0</v>
      </c>
      <c r="I344" s="33"/>
      <c r="J344" s="34"/>
      <c r="K344" s="40"/>
      <c r="L344" s="33"/>
      <c r="M344" s="33"/>
      <c r="N344" s="33"/>
      <c r="O344" s="33"/>
      <c r="P344" s="33"/>
      <c r="Q344" s="33"/>
      <c r="R344" s="33"/>
    </row>
    <row r="345" spans="1:18" hidden="1" x14ac:dyDescent="0.35">
      <c r="A345" s="59"/>
      <c r="B345" s="8"/>
      <c r="C345" s="43" t="s">
        <v>197</v>
      </c>
      <c r="D345" s="43"/>
      <c r="E345" s="43"/>
      <c r="F345" s="43"/>
      <c r="G345" s="43"/>
      <c r="H345" s="43"/>
      <c r="I345" s="43"/>
      <c r="J345" s="43"/>
      <c r="K345" s="45"/>
      <c r="L345" s="43"/>
      <c r="M345" s="43"/>
      <c r="N345" s="43"/>
      <c r="O345" s="43"/>
      <c r="P345" s="43"/>
      <c r="Q345" s="43"/>
      <c r="R345" s="43"/>
    </row>
    <row r="346" spans="1:18" hidden="1" x14ac:dyDescent="0.35">
      <c r="A346" s="59"/>
      <c r="B346" s="8"/>
      <c r="C346" s="44" t="s">
        <v>198</v>
      </c>
      <c r="D346" s="44"/>
      <c r="E346" s="44"/>
      <c r="F346" s="107"/>
      <c r="G346" s="107"/>
      <c r="H346" s="108"/>
      <c r="I346" s="107"/>
      <c r="J346" s="109"/>
      <c r="K346" s="110"/>
      <c r="L346" s="107"/>
      <c r="M346" s="108"/>
      <c r="N346" s="44"/>
      <c r="O346" s="44"/>
      <c r="P346" s="44"/>
      <c r="Q346" s="44"/>
      <c r="R346" s="44"/>
    </row>
    <row r="347" spans="1:18" hidden="1" x14ac:dyDescent="0.35">
      <c r="A347" s="59" t="s">
        <v>107</v>
      </c>
      <c r="B347" s="8" t="s">
        <v>51</v>
      </c>
      <c r="C347" s="30" t="s">
        <v>201</v>
      </c>
      <c r="D347" s="30"/>
      <c r="E347" s="30"/>
      <c r="F347" s="39">
        <v>0.75</v>
      </c>
      <c r="G347" s="30" t="str">
        <f>CONCATENATE("USD,FLAT ",TEXT(F347,"0.00"))</f>
        <v>USD,FLAT 0.75</v>
      </c>
      <c r="H347" s="36">
        <f>K347/J347</f>
        <v>0.75</v>
      </c>
      <c r="I347" s="30" t="s">
        <v>22</v>
      </c>
      <c r="J347" s="32">
        <v>1</v>
      </c>
      <c r="K347" s="39">
        <f>J347*F347</f>
        <v>0.75</v>
      </c>
      <c r="L347" s="30" t="str">
        <f>TEXT(IFERROR(((K347-K348)/K348*100),"0.00"),"0.00")</f>
        <v>0.00</v>
      </c>
      <c r="M347" s="36">
        <f>(10+J347*3)</f>
        <v>13</v>
      </c>
      <c r="N347" s="30"/>
      <c r="O347" s="30"/>
      <c r="P347" s="30"/>
      <c r="Q347" s="30"/>
      <c r="R347" s="30"/>
    </row>
    <row r="348" spans="1:18" hidden="1" x14ac:dyDescent="0.35">
      <c r="A348" s="59"/>
      <c r="B348" s="8"/>
      <c r="C348" s="33" t="s">
        <v>196</v>
      </c>
      <c r="D348" s="33"/>
      <c r="E348" s="33"/>
      <c r="F348" s="33"/>
      <c r="G348" s="33"/>
      <c r="H348" s="38" t="str">
        <f>IFERROR(K348/J348,"0")</f>
        <v>0</v>
      </c>
      <c r="I348" s="33"/>
      <c r="J348" s="34"/>
      <c r="K348" s="40"/>
      <c r="L348" s="33"/>
      <c r="M348" s="33"/>
      <c r="N348" s="33"/>
      <c r="O348" s="33"/>
      <c r="P348" s="33"/>
      <c r="Q348" s="33"/>
      <c r="R348" s="33"/>
    </row>
    <row r="349" spans="1:18" hidden="1" x14ac:dyDescent="0.35">
      <c r="A349" s="59"/>
      <c r="B349" s="8"/>
      <c r="C349" s="43" t="s">
        <v>197</v>
      </c>
      <c r="D349" s="43"/>
      <c r="E349" s="43"/>
      <c r="F349" s="43"/>
      <c r="G349" s="43"/>
      <c r="H349" s="43"/>
      <c r="I349" s="43"/>
      <c r="J349" s="43"/>
      <c r="K349" s="45"/>
      <c r="L349" s="43"/>
      <c r="M349" s="43"/>
      <c r="N349" s="43"/>
      <c r="O349" s="43"/>
      <c r="P349" s="43"/>
      <c r="Q349" s="43"/>
      <c r="R349" s="43"/>
    </row>
    <row r="350" spans="1:18" hidden="1" x14ac:dyDescent="0.35">
      <c r="A350" s="59"/>
      <c r="B350" s="8"/>
      <c r="C350" s="44" t="s">
        <v>198</v>
      </c>
      <c r="D350" s="44"/>
      <c r="E350" s="44"/>
      <c r="F350" s="44"/>
      <c r="G350" s="44"/>
      <c r="H350" s="44"/>
      <c r="I350" s="44"/>
      <c r="J350" s="44"/>
      <c r="K350" s="46"/>
      <c r="L350" s="44"/>
      <c r="M350" s="44"/>
      <c r="N350" s="44"/>
      <c r="O350" s="44"/>
      <c r="P350" s="44"/>
      <c r="Q350" s="44"/>
      <c r="R350" s="44"/>
    </row>
    <row r="351" spans="1:18" hidden="1" x14ac:dyDescent="0.35">
      <c r="A351" s="59" t="s">
        <v>107</v>
      </c>
      <c r="B351" s="8" t="s">
        <v>202</v>
      </c>
      <c r="C351" s="30" t="s">
        <v>201</v>
      </c>
      <c r="D351" s="30"/>
      <c r="E351" s="30"/>
      <c r="F351" s="39">
        <v>0.3</v>
      </c>
      <c r="G351" s="30" t="str">
        <f>CONCATENATE("USD,FLAT ",TEXT(F351,"0.00"))</f>
        <v>USD,FLAT 0.30</v>
      </c>
      <c r="H351" s="36">
        <f>K351/J351</f>
        <v>0.3</v>
      </c>
      <c r="I351" s="30" t="s">
        <v>22</v>
      </c>
      <c r="J351" s="32">
        <v>1</v>
      </c>
      <c r="K351" s="39">
        <f>J351*F351</f>
        <v>0.3</v>
      </c>
      <c r="L351" s="30" t="str">
        <f>TEXT(IFERROR(((K351-K352)/K352*100),"0.00"),"0.00")</f>
        <v>0.00</v>
      </c>
      <c r="M351" s="36">
        <f>(10+J351*3)</f>
        <v>13</v>
      </c>
      <c r="N351" s="30"/>
      <c r="O351" s="30"/>
      <c r="P351" s="30"/>
      <c r="Q351" s="30"/>
      <c r="R351" s="30"/>
    </row>
    <row r="352" spans="1:18" hidden="1" x14ac:dyDescent="0.35">
      <c r="A352" s="59"/>
      <c r="B352" s="8"/>
      <c r="C352" s="33" t="s">
        <v>196</v>
      </c>
      <c r="D352" s="33"/>
      <c r="E352" s="33"/>
      <c r="F352" s="33"/>
      <c r="G352" s="33"/>
      <c r="H352" s="38" t="str">
        <f>IFERROR(K352/J352,"0")</f>
        <v>0</v>
      </c>
      <c r="I352" s="33"/>
      <c r="J352" s="34"/>
      <c r="K352" s="40"/>
      <c r="L352" s="33"/>
      <c r="M352" s="33"/>
      <c r="N352" s="33"/>
      <c r="O352" s="33"/>
      <c r="P352" s="33"/>
      <c r="Q352" s="33"/>
      <c r="R352" s="33"/>
    </row>
    <row r="353" spans="1:18" hidden="1" x14ac:dyDescent="0.35">
      <c r="A353" s="59"/>
      <c r="B353" s="8"/>
      <c r="C353" s="43" t="s">
        <v>197</v>
      </c>
      <c r="D353" s="43"/>
      <c r="E353" s="43"/>
      <c r="F353" s="43"/>
      <c r="G353" s="43"/>
      <c r="H353" s="43"/>
      <c r="I353" s="43"/>
      <c r="J353" s="43"/>
      <c r="K353" s="45"/>
      <c r="L353" s="43"/>
      <c r="M353" s="43"/>
      <c r="N353" s="43"/>
      <c r="O353" s="43"/>
      <c r="P353" s="43"/>
      <c r="Q353" s="43"/>
      <c r="R353" s="43"/>
    </row>
    <row r="354" spans="1:18" hidden="1" x14ac:dyDescent="0.35">
      <c r="A354" s="59"/>
      <c r="B354" s="8"/>
      <c r="C354" s="44" t="s">
        <v>198</v>
      </c>
      <c r="D354" s="44"/>
      <c r="E354" s="44"/>
      <c r="F354" s="44"/>
      <c r="G354" s="44"/>
      <c r="H354" s="44"/>
      <c r="I354" s="44"/>
      <c r="J354" s="44"/>
      <c r="K354" s="46"/>
      <c r="L354" s="44"/>
      <c r="M354" s="44"/>
      <c r="N354" s="44"/>
      <c r="O354" s="44"/>
      <c r="P354" s="44"/>
      <c r="Q354" s="44"/>
      <c r="R354" s="44"/>
    </row>
    <row r="355" spans="1:18" hidden="1" x14ac:dyDescent="0.35">
      <c r="A355" s="59" t="s">
        <v>107</v>
      </c>
      <c r="B355" s="8" t="s">
        <v>4</v>
      </c>
      <c r="C355" s="30" t="s">
        <v>201</v>
      </c>
      <c r="D355" s="30"/>
      <c r="E355" s="30"/>
      <c r="F355" s="39">
        <v>6.67</v>
      </c>
      <c r="G355" s="30" t="str">
        <f>CONCATENATE("USD,FLAT ",TEXT(F355,"0.00"))</f>
        <v>USD,FLAT 6.67</v>
      </c>
      <c r="H355" s="36">
        <f>K355/J355</f>
        <v>6.67</v>
      </c>
      <c r="I355" s="30" t="s">
        <v>22</v>
      </c>
      <c r="J355" s="32">
        <v>1</v>
      </c>
      <c r="K355" s="39">
        <f>J355*F355</f>
        <v>6.67</v>
      </c>
      <c r="L355" s="39" t="str">
        <f>IFERROR(((K355-K356)/K356*100),"0.00")</f>
        <v>0.00</v>
      </c>
      <c r="M355" s="36">
        <f>(10+J355*3)</f>
        <v>13</v>
      </c>
      <c r="N355" s="30"/>
      <c r="O355" s="30"/>
      <c r="P355" s="30"/>
      <c r="Q355" s="30"/>
      <c r="R355" s="30"/>
    </row>
    <row r="356" spans="1:18" hidden="1" x14ac:dyDescent="0.35">
      <c r="A356" s="59"/>
      <c r="B356" s="8"/>
      <c r="C356" s="33" t="s">
        <v>196</v>
      </c>
      <c r="D356" s="33"/>
      <c r="E356" s="33"/>
      <c r="F356" s="33"/>
      <c r="G356" s="33"/>
      <c r="H356" s="38" t="str">
        <f>IFERROR(K356/J356,"0")</f>
        <v>0</v>
      </c>
      <c r="I356" s="33"/>
      <c r="J356" s="34"/>
      <c r="K356" s="40"/>
      <c r="L356" s="33"/>
      <c r="M356" s="33"/>
      <c r="N356" s="33"/>
      <c r="O356" s="33"/>
      <c r="P356" s="33"/>
      <c r="Q356" s="33"/>
      <c r="R356" s="33"/>
    </row>
    <row r="357" spans="1:18" hidden="1" x14ac:dyDescent="0.35">
      <c r="A357" s="59"/>
      <c r="B357" s="8"/>
      <c r="C357" s="43" t="s">
        <v>197</v>
      </c>
      <c r="D357" s="43"/>
      <c r="E357" s="43"/>
      <c r="F357" s="43"/>
      <c r="G357" s="43"/>
      <c r="H357" s="43"/>
      <c r="I357" s="43"/>
      <c r="J357" s="43"/>
      <c r="K357" s="45"/>
      <c r="L357" s="43"/>
      <c r="M357" s="43"/>
      <c r="N357" s="43"/>
      <c r="O357" s="43"/>
      <c r="P357" s="43"/>
      <c r="Q357" s="43"/>
      <c r="R357" s="43"/>
    </row>
    <row r="358" spans="1:18" hidden="1" x14ac:dyDescent="0.35">
      <c r="A358" s="59"/>
      <c r="B358" s="8"/>
      <c r="C358" s="44" t="s">
        <v>198</v>
      </c>
      <c r="D358" s="44"/>
      <c r="E358" s="44"/>
      <c r="F358" s="44"/>
      <c r="G358" s="44"/>
      <c r="H358" s="44"/>
      <c r="I358" s="44"/>
      <c r="J358" s="44"/>
      <c r="K358" s="46"/>
      <c r="L358" s="44"/>
      <c r="M358" s="44"/>
      <c r="N358" s="44"/>
      <c r="O358" s="44"/>
      <c r="P358" s="44"/>
      <c r="Q358" s="44"/>
      <c r="R358" s="44"/>
    </row>
    <row r="359" spans="1:18" x14ac:dyDescent="0.35">
      <c r="A359" s="179" t="s">
        <v>108</v>
      </c>
      <c r="B359" s="8"/>
      <c r="C359" s="30" t="s">
        <v>201</v>
      </c>
      <c r="D359" s="30"/>
      <c r="E359" s="30"/>
      <c r="F359" s="39">
        <v>0.4</v>
      </c>
      <c r="G359" s="30" t="str">
        <f>CONCATENATE("USD,FLAT ",TEXT(F359,"0.00"))</f>
        <v>USD,FLAT 0.40</v>
      </c>
      <c r="H359" s="36">
        <f>K359/J359</f>
        <v>0.4</v>
      </c>
      <c r="I359" s="30" t="s">
        <v>22</v>
      </c>
      <c r="J359" s="32">
        <v>1</v>
      </c>
      <c r="K359" s="39">
        <f>J359*F359</f>
        <v>0.4</v>
      </c>
      <c r="L359" s="30" t="str">
        <f>TEXT(IFERROR(((K359-K360)/K360*100),"0.00"),"0.00")</f>
        <v>0.00</v>
      </c>
      <c r="M359" s="36">
        <f>(10+J359*3)</f>
        <v>13</v>
      </c>
      <c r="N359" s="30"/>
      <c r="O359" s="30"/>
      <c r="P359" s="30"/>
      <c r="Q359" s="30"/>
      <c r="R359" s="30"/>
    </row>
    <row r="360" spans="1:18" x14ac:dyDescent="0.35">
      <c r="A360" s="59"/>
      <c r="B360" s="8"/>
      <c r="C360" s="33" t="s">
        <v>196</v>
      </c>
      <c r="D360" s="33"/>
      <c r="E360" s="33"/>
      <c r="F360" s="33"/>
      <c r="G360" s="33"/>
      <c r="H360" s="38" t="str">
        <f>IFERROR(K360/J360,"0")</f>
        <v>0</v>
      </c>
      <c r="I360" s="33"/>
      <c r="J360" s="34"/>
      <c r="K360" s="40"/>
      <c r="L360" s="33"/>
      <c r="M360" s="33"/>
      <c r="N360" s="33"/>
      <c r="O360" s="33"/>
      <c r="P360" s="33"/>
      <c r="Q360" s="33"/>
      <c r="R360" s="33"/>
    </row>
    <row r="361" spans="1:18" x14ac:dyDescent="0.35">
      <c r="A361" s="59"/>
      <c r="B361" s="8"/>
      <c r="C361" s="43" t="s">
        <v>197</v>
      </c>
      <c r="D361" s="43"/>
      <c r="E361" s="43"/>
      <c r="F361" s="43"/>
      <c r="G361" s="43"/>
      <c r="H361" s="43"/>
      <c r="I361" s="43"/>
      <c r="J361" s="43"/>
      <c r="K361" s="45"/>
      <c r="L361" s="43"/>
      <c r="M361" s="43"/>
      <c r="N361" s="43"/>
      <c r="O361" s="43"/>
      <c r="P361" s="43"/>
      <c r="Q361" s="43"/>
      <c r="R361" s="43"/>
    </row>
    <row r="362" spans="1:18" x14ac:dyDescent="0.35">
      <c r="A362" s="59"/>
      <c r="B362" s="8"/>
      <c r="C362" s="44" t="s">
        <v>198</v>
      </c>
      <c r="D362" s="44"/>
      <c r="E362" s="44"/>
      <c r="F362" s="44">
        <v>0.32</v>
      </c>
      <c r="G362" s="107" t="str">
        <f>CONCATENATE("USD,FLAT ",TEXT(F362,"0.00"))</f>
        <v>USD,FLAT 0.32</v>
      </c>
      <c r="H362" s="108">
        <f>K362/J362</f>
        <v>0.32</v>
      </c>
      <c r="I362" s="107"/>
      <c r="J362" s="109">
        <v>1</v>
      </c>
      <c r="K362" s="110">
        <f>J362*F362</f>
        <v>0.32</v>
      </c>
      <c r="L362" s="107" t="str">
        <f>TEXT(IFERROR(((K362-K360)/K360*100),"0.00"),"0.00")</f>
        <v>0.00</v>
      </c>
      <c r="M362" s="44"/>
      <c r="N362" s="44"/>
      <c r="O362" s="44"/>
      <c r="P362" s="44"/>
      <c r="Q362" s="44"/>
      <c r="R362" s="44"/>
    </row>
    <row r="363" spans="1:18" hidden="1" x14ac:dyDescent="0.35">
      <c r="A363" s="59" t="s">
        <v>109</v>
      </c>
      <c r="B363" s="8"/>
      <c r="C363" s="30" t="s">
        <v>201</v>
      </c>
      <c r="D363" s="30"/>
      <c r="E363" s="30"/>
      <c r="F363" s="39">
        <v>0.6</v>
      </c>
      <c r="G363" s="30" t="str">
        <f>CONCATENATE("USD,FLAT ",TEXT(F363,"0.00"))</f>
        <v>USD,FLAT 0.60</v>
      </c>
      <c r="H363" s="36">
        <f>K363/J363</f>
        <v>0.6</v>
      </c>
      <c r="I363" s="30" t="s">
        <v>22</v>
      </c>
      <c r="J363" s="32">
        <v>1</v>
      </c>
      <c r="K363" s="39">
        <f>J363*F363</f>
        <v>0.6</v>
      </c>
      <c r="L363" s="30" t="str">
        <f>TEXT(IFERROR(((K363-K364)/K364*100),"0.00"),"0.00")</f>
        <v>0.00</v>
      </c>
      <c r="M363" s="36">
        <f>(10+J363*3)</f>
        <v>13</v>
      </c>
      <c r="N363" s="30"/>
      <c r="O363" s="30"/>
      <c r="P363" s="30"/>
      <c r="Q363" s="30"/>
      <c r="R363" s="30"/>
    </row>
    <row r="364" spans="1:18" hidden="1" x14ac:dyDescent="0.35">
      <c r="A364" s="8"/>
      <c r="B364" s="8"/>
      <c r="C364" s="33" t="s">
        <v>196</v>
      </c>
      <c r="D364" s="33"/>
      <c r="E364" s="33"/>
      <c r="F364" s="33"/>
      <c r="G364" s="33"/>
      <c r="H364" s="38" t="str">
        <f>IFERROR(K364/J364,"0")</f>
        <v>0</v>
      </c>
      <c r="I364" s="33"/>
      <c r="J364" s="34"/>
      <c r="K364" s="40"/>
      <c r="L364" s="33"/>
      <c r="M364" s="33"/>
      <c r="N364" s="33"/>
      <c r="O364" s="33"/>
      <c r="P364" s="33"/>
      <c r="Q364" s="33"/>
      <c r="R364" s="33"/>
    </row>
    <row r="365" spans="1:18" hidden="1" x14ac:dyDescent="0.35">
      <c r="A365" s="8"/>
      <c r="B365" s="8"/>
      <c r="C365" s="43" t="s">
        <v>197</v>
      </c>
      <c r="D365" s="43"/>
      <c r="E365" s="43"/>
      <c r="F365" s="43"/>
      <c r="G365" s="43"/>
      <c r="H365" s="43"/>
      <c r="I365" s="43"/>
      <c r="J365" s="43"/>
      <c r="K365" s="45"/>
      <c r="L365" s="43"/>
      <c r="M365" s="43"/>
      <c r="N365" s="43"/>
      <c r="O365" s="43"/>
      <c r="P365" s="43"/>
      <c r="Q365" s="43"/>
      <c r="R365" s="43"/>
    </row>
    <row r="366" spans="1:18" hidden="1" x14ac:dyDescent="0.35">
      <c r="A366" s="8"/>
      <c r="B366" s="8"/>
      <c r="C366" s="44" t="s">
        <v>198</v>
      </c>
      <c r="D366" s="44"/>
      <c r="E366" s="44"/>
      <c r="F366" s="107"/>
      <c r="G366" s="107"/>
      <c r="H366" s="108"/>
      <c r="I366" s="107"/>
      <c r="J366" s="109"/>
      <c r="K366" s="108"/>
      <c r="L366" s="107"/>
      <c r="M366" s="108"/>
      <c r="N366" s="44"/>
      <c r="O366" s="44"/>
      <c r="P366" s="44"/>
      <c r="Q366" s="44"/>
      <c r="R366" s="44"/>
    </row>
    <row r="367" spans="1:18" hidden="1" x14ac:dyDescent="0.35">
      <c r="A367" s="62" t="s">
        <v>110</v>
      </c>
      <c r="B367" s="47"/>
      <c r="C367" s="30" t="s">
        <v>201</v>
      </c>
      <c r="D367" s="30"/>
      <c r="E367" s="30"/>
      <c r="F367" s="63">
        <v>16.670000000000002</v>
      </c>
      <c r="G367" s="30" t="str">
        <f>CONCATENATE("USD,FLAT ",TEXT(F367,"0.00"))</f>
        <v>USD,FLAT 16.67</v>
      </c>
      <c r="H367" s="36">
        <f>K367/J367</f>
        <v>16.670000000000002</v>
      </c>
      <c r="I367" s="30" t="s">
        <v>22</v>
      </c>
      <c r="J367" s="32">
        <v>1</v>
      </c>
      <c r="K367" s="39">
        <f>J367*F367</f>
        <v>16.670000000000002</v>
      </c>
      <c r="L367" s="30" t="str">
        <f>TEXT(IFERROR(((K367-K368)/K368*100),"0.00"),"0.00")</f>
        <v>0.00</v>
      </c>
      <c r="M367" s="36">
        <f>(10+J367*3)</f>
        <v>13</v>
      </c>
      <c r="N367" s="30"/>
      <c r="O367" s="30"/>
      <c r="P367" s="30"/>
      <c r="Q367" s="30"/>
      <c r="R367" s="30"/>
    </row>
    <row r="368" spans="1:18" hidden="1" x14ac:dyDescent="0.35">
      <c r="A368" s="8"/>
      <c r="B368" s="47"/>
      <c r="C368" s="33" t="s">
        <v>196</v>
      </c>
      <c r="D368" s="33"/>
      <c r="E368" s="33"/>
      <c r="F368" s="33"/>
      <c r="G368" s="33"/>
      <c r="H368" s="38" t="str">
        <f>IFERROR(K368/J368,"0")</f>
        <v>0</v>
      </c>
      <c r="I368" s="33"/>
      <c r="J368" s="34"/>
      <c r="K368" s="40"/>
      <c r="L368" s="33"/>
      <c r="M368" s="33"/>
      <c r="N368" s="33"/>
      <c r="O368" s="33"/>
      <c r="P368" s="33"/>
      <c r="Q368" s="33"/>
      <c r="R368" s="33"/>
    </row>
    <row r="369" spans="1:18" hidden="1" x14ac:dyDescent="0.35">
      <c r="A369" s="8"/>
      <c r="B369" s="47"/>
      <c r="C369" s="43" t="s">
        <v>197</v>
      </c>
      <c r="D369" s="43"/>
      <c r="E369" s="43"/>
      <c r="F369" s="43"/>
      <c r="G369" s="43"/>
      <c r="H369" s="43"/>
      <c r="I369" s="43"/>
      <c r="J369" s="43"/>
      <c r="K369" s="45"/>
      <c r="L369" s="43"/>
      <c r="M369" s="43"/>
      <c r="N369" s="43"/>
      <c r="O369" s="43"/>
      <c r="P369" s="43"/>
      <c r="Q369" s="43"/>
      <c r="R369" s="43"/>
    </row>
    <row r="370" spans="1:18" hidden="1" x14ac:dyDescent="0.35">
      <c r="A370" s="8"/>
      <c r="B370" s="47"/>
      <c r="C370" s="44" t="s">
        <v>198</v>
      </c>
      <c r="D370" s="44"/>
      <c r="E370" s="44"/>
      <c r="F370" s="44"/>
      <c r="G370" s="44"/>
      <c r="H370" s="44"/>
      <c r="I370" s="44"/>
      <c r="J370" s="44"/>
      <c r="K370" s="46"/>
      <c r="L370" s="44"/>
      <c r="M370" s="44"/>
      <c r="N370" s="44"/>
      <c r="O370" s="44"/>
      <c r="P370" s="44"/>
      <c r="Q370" s="44"/>
      <c r="R370" s="44"/>
    </row>
    <row r="371" spans="1:18" x14ac:dyDescent="0.35">
      <c r="J371" s="48"/>
    </row>
    <row r="372" spans="1:18" x14ac:dyDescent="0.35">
      <c r="A372" s="251" t="s">
        <v>220</v>
      </c>
      <c r="B372" s="252"/>
      <c r="C372" s="252"/>
      <c r="D372" s="252"/>
      <c r="E372" s="252"/>
      <c r="F372" s="252"/>
      <c r="G372" s="252"/>
      <c r="H372" s="252"/>
      <c r="I372" s="252"/>
      <c r="J372" s="252"/>
    </row>
    <row r="373" spans="1:18" x14ac:dyDescent="0.35">
      <c r="A373" s="253" t="s">
        <v>222</v>
      </c>
      <c r="B373" s="255" t="s">
        <v>225</v>
      </c>
      <c r="C373" s="256"/>
      <c r="D373" s="256"/>
      <c r="E373" s="257"/>
      <c r="F373" s="270" t="s">
        <v>358</v>
      </c>
      <c r="G373" s="271"/>
      <c r="H373" s="272"/>
      <c r="I373" s="267" t="s">
        <v>226</v>
      </c>
      <c r="J373" s="268"/>
      <c r="K373" s="268"/>
      <c r="L373" s="269"/>
      <c r="M373" s="197" t="s">
        <v>224</v>
      </c>
    </row>
    <row r="374" spans="1:18" x14ac:dyDescent="0.35">
      <c r="A374" s="254"/>
      <c r="B374" s="111" t="s">
        <v>187</v>
      </c>
      <c r="C374" s="111" t="s">
        <v>189</v>
      </c>
      <c r="D374" s="111" t="s">
        <v>223</v>
      </c>
      <c r="E374" s="111" t="s">
        <v>229</v>
      </c>
      <c r="F374" s="112" t="s">
        <v>187</v>
      </c>
      <c r="G374" s="112" t="s">
        <v>223</v>
      </c>
      <c r="H374" s="112" t="s">
        <v>229</v>
      </c>
      <c r="I374" s="113" t="s">
        <v>187</v>
      </c>
      <c r="J374" s="113" t="s">
        <v>189</v>
      </c>
      <c r="K374" s="113" t="s">
        <v>223</v>
      </c>
      <c r="L374" s="113" t="s">
        <v>229</v>
      </c>
      <c r="M374" s="198"/>
    </row>
    <row r="375" spans="1:18" x14ac:dyDescent="0.35">
      <c r="A375" s="21"/>
      <c r="B375" s="56">
        <f>K303+C168+C169</f>
        <v>6755622.5700000003</v>
      </c>
      <c r="C375" s="56">
        <f>M303+C170+C171</f>
        <v>1010169</v>
      </c>
      <c r="D375" s="56">
        <f>B375-C375</f>
        <v>5745453.5700000003</v>
      </c>
      <c r="E375" s="55">
        <f>((B375-C375)/B375*100)</f>
        <v>85.046988792921866</v>
      </c>
      <c r="F375" s="56">
        <f>(K307+K311+K315+K319+K325+K329+K333+K342+K343+K347+K351+K355+K362+K363+K367)+C168+C169</f>
        <v>6755622.4299999997</v>
      </c>
      <c r="G375" s="55">
        <f>F375-C375</f>
        <v>5745453.4299999997</v>
      </c>
      <c r="H375" s="55">
        <f>(F375-C375)/F375*100</f>
        <v>85.046988483043449</v>
      </c>
      <c r="I375" s="56">
        <f>K304</f>
        <v>648000</v>
      </c>
      <c r="J375" s="56">
        <f>M304</f>
        <v>144010</v>
      </c>
      <c r="K375" s="56">
        <f>I375-J375</f>
        <v>503990</v>
      </c>
      <c r="L375" s="55">
        <f>((I375-J375)/I375*100)</f>
        <v>77.776234567901241</v>
      </c>
      <c r="M375" s="55">
        <f>((B375-I375)/I375*100)</f>
        <v>942.53434722222221</v>
      </c>
    </row>
    <row r="376" spans="1:18" x14ac:dyDescent="0.35">
      <c r="A376" s="251" t="s">
        <v>221</v>
      </c>
      <c r="B376" s="252"/>
      <c r="C376" s="252"/>
      <c r="D376" s="252"/>
      <c r="E376" s="252"/>
      <c r="F376" s="252"/>
      <c r="G376" s="252"/>
      <c r="H376" s="252"/>
    </row>
    <row r="377" spans="1:18" x14ac:dyDescent="0.35">
      <c r="A377" s="24" t="s">
        <v>1</v>
      </c>
      <c r="B377" s="24" t="s">
        <v>0</v>
      </c>
      <c r="C377" s="24" t="s">
        <v>204</v>
      </c>
      <c r="D377" s="24" t="s">
        <v>216</v>
      </c>
      <c r="E377" s="24" t="s">
        <v>227</v>
      </c>
      <c r="F377" s="24" t="s">
        <v>228</v>
      </c>
      <c r="G377" s="24" t="s">
        <v>217</v>
      </c>
      <c r="H377" s="24" t="s">
        <v>218</v>
      </c>
    </row>
    <row r="378" spans="1:18" x14ac:dyDescent="0.35">
      <c r="A378" s="21"/>
      <c r="B378" s="23"/>
      <c r="C378" s="21" t="s">
        <v>219</v>
      </c>
      <c r="D378" s="56">
        <f>(E378-G378)/G378*100</f>
        <v>942.53434722222221</v>
      </c>
      <c r="E378" s="56">
        <f>K303+C168+C169</f>
        <v>6755622.5700000003</v>
      </c>
      <c r="F378" s="56">
        <f>M303+C170+C171</f>
        <v>1010169</v>
      </c>
      <c r="G378" s="56">
        <f>K304</f>
        <v>648000</v>
      </c>
      <c r="H378" s="56">
        <f>M304</f>
        <v>144010</v>
      </c>
    </row>
    <row r="379" spans="1:18" x14ac:dyDescent="0.35">
      <c r="A379" s="74"/>
      <c r="B379" s="75"/>
      <c r="C379" s="75"/>
      <c r="D379" s="75"/>
      <c r="E379" s="76"/>
      <c r="F379" s="75"/>
      <c r="G379" s="75"/>
      <c r="H379" s="75"/>
      <c r="I379" s="76"/>
      <c r="J379" s="76"/>
    </row>
    <row r="380" spans="1:18" x14ac:dyDescent="0.35">
      <c r="A380" s="57" t="s">
        <v>153</v>
      </c>
      <c r="B380" s="58"/>
      <c r="C380" s="58"/>
    </row>
    <row r="381" spans="1:18" x14ac:dyDescent="0.35">
      <c r="A381" s="24" t="s">
        <v>153</v>
      </c>
      <c r="B381" s="24" t="s">
        <v>162</v>
      </c>
      <c r="C381" s="24" t="s">
        <v>163</v>
      </c>
    </row>
    <row r="382" spans="1:18" ht="72.5" x14ac:dyDescent="0.35">
      <c r="A382" s="60" t="s">
        <v>154</v>
      </c>
      <c r="B382" s="61" t="s">
        <v>240</v>
      </c>
      <c r="C382" s="61" t="s">
        <v>240</v>
      </c>
      <c r="F382" s="178"/>
      <c r="G382" s="178"/>
    </row>
    <row r="383" spans="1:18" x14ac:dyDescent="0.35">
      <c r="F383" s="48"/>
    </row>
    <row r="384" spans="1:18" x14ac:dyDescent="0.35">
      <c r="G384" s="48"/>
    </row>
    <row r="385" spans="1:18" x14ac:dyDescent="0.35">
      <c r="A385" s="258" t="s">
        <v>571</v>
      </c>
      <c r="B385" s="258"/>
      <c r="C385" s="258"/>
      <c r="D385" s="258"/>
      <c r="E385" s="258"/>
    </row>
    <row r="386" spans="1:18" x14ac:dyDescent="0.35">
      <c r="A386" s="249" t="s">
        <v>182</v>
      </c>
      <c r="B386" s="250"/>
      <c r="C386" s="250"/>
      <c r="D386" s="250"/>
      <c r="E386" s="250"/>
    </row>
    <row r="387" spans="1:18" x14ac:dyDescent="0.35">
      <c r="A387" s="199" t="s">
        <v>183</v>
      </c>
      <c r="B387" s="199" t="s">
        <v>44</v>
      </c>
      <c r="C387" s="199" t="s">
        <v>191</v>
      </c>
      <c r="D387" s="42" t="s">
        <v>199</v>
      </c>
      <c r="E387" s="42" t="s">
        <v>200</v>
      </c>
      <c r="F387" s="42" t="s">
        <v>57</v>
      </c>
      <c r="G387" s="199" t="s">
        <v>184</v>
      </c>
      <c r="H387" s="199" t="s">
        <v>185</v>
      </c>
      <c r="I387" s="42" t="s">
        <v>18</v>
      </c>
      <c r="J387" s="42" t="s">
        <v>186</v>
      </c>
      <c r="K387" s="42" t="s">
        <v>187</v>
      </c>
      <c r="L387" s="42" t="s">
        <v>188</v>
      </c>
      <c r="M387" s="42" t="s">
        <v>189</v>
      </c>
      <c r="N387" s="42" t="s">
        <v>206</v>
      </c>
      <c r="O387" s="42" t="s">
        <v>203</v>
      </c>
      <c r="P387" s="42" t="s">
        <v>204</v>
      </c>
      <c r="Q387" s="42" t="s">
        <v>205</v>
      </c>
      <c r="R387" s="42" t="s">
        <v>190</v>
      </c>
    </row>
    <row r="388" spans="1:18" x14ac:dyDescent="0.35">
      <c r="A388" s="49" t="s">
        <v>192</v>
      </c>
      <c r="B388" s="49"/>
      <c r="C388" s="49" t="s">
        <v>201</v>
      </c>
      <c r="D388" s="49"/>
      <c r="E388" s="49"/>
      <c r="F388" s="49"/>
      <c r="G388" s="49"/>
      <c r="H388" s="49"/>
      <c r="I388" s="49"/>
      <c r="J388" s="50">
        <f>J390+J408+J422</f>
        <v>336013</v>
      </c>
      <c r="K388" s="51">
        <f>SUMIFS(K390:K455,C390:C455,C388,A390:A455,"*"&amp;"DE_"&amp;"*")</f>
        <v>6753622.4299999997</v>
      </c>
      <c r="L388" s="49"/>
      <c r="M388" s="51">
        <f>SUMIFS(M390:M455,C390:C455,C388,A390:A455,"*"&amp;"DE_"&amp;"*")</f>
        <v>1008169</v>
      </c>
      <c r="N388" s="49"/>
      <c r="O388" s="49"/>
      <c r="P388" s="49"/>
      <c r="Q388" s="49"/>
      <c r="R388" s="49" t="s">
        <v>552</v>
      </c>
    </row>
    <row r="389" spans="1:18" x14ac:dyDescent="0.35">
      <c r="A389" s="49" t="s">
        <v>192</v>
      </c>
      <c r="B389" s="49"/>
      <c r="C389" s="49" t="s">
        <v>196</v>
      </c>
      <c r="D389" s="49"/>
      <c r="E389" s="49"/>
      <c r="F389" s="49"/>
      <c r="G389" s="49"/>
      <c r="H389" s="49"/>
      <c r="I389" s="49"/>
      <c r="J389" s="50">
        <f>(J391+J409+J423)</f>
        <v>336000</v>
      </c>
      <c r="K389" s="51">
        <f>SUMIFS(K390:K455,C390:C455,C389,A390:A455,"*"&amp;"DE_"&amp;"*")</f>
        <v>648000</v>
      </c>
      <c r="L389" s="49"/>
      <c r="M389" s="51">
        <f>SUMIFS(M390:M455,C390:C455,C389,A390:A455,"*"&amp;"DE_"&amp;"*")</f>
        <v>144010</v>
      </c>
      <c r="N389" s="49"/>
      <c r="O389" s="49"/>
      <c r="P389" s="49"/>
      <c r="Q389" s="49"/>
      <c r="R389" s="49"/>
    </row>
    <row r="390" spans="1:18" hidden="1" x14ac:dyDescent="0.35">
      <c r="A390" s="52" t="s">
        <v>193</v>
      </c>
      <c r="B390" s="52"/>
      <c r="C390" s="52" t="s">
        <v>201</v>
      </c>
      <c r="D390" s="52"/>
      <c r="E390" s="52"/>
      <c r="F390" s="52"/>
      <c r="G390" s="52"/>
      <c r="H390" s="52"/>
      <c r="I390" s="52"/>
      <c r="J390" s="53">
        <f>SUMIFS(J392:J405,C392:C405,C390)</f>
        <v>48003</v>
      </c>
      <c r="K390" s="54">
        <f>SUMIFS(K392:K407,C392:C407,C390)</f>
        <v>657712.92000000004</v>
      </c>
      <c r="L390" s="52"/>
      <c r="M390" s="54">
        <f>SUMIFS(M392:M407,C392:C407,C390)</f>
        <v>144029</v>
      </c>
      <c r="N390" s="52"/>
      <c r="O390" s="52"/>
      <c r="P390" s="52"/>
      <c r="Q390" s="52"/>
      <c r="R390" s="52" t="s">
        <v>551</v>
      </c>
    </row>
    <row r="391" spans="1:18" hidden="1" x14ac:dyDescent="0.35">
      <c r="A391" s="52" t="s">
        <v>193</v>
      </c>
      <c r="B391" s="52"/>
      <c r="C391" s="52" t="s">
        <v>196</v>
      </c>
      <c r="D391" s="52"/>
      <c r="E391" s="52"/>
      <c r="F391" s="52"/>
      <c r="G391" s="52"/>
      <c r="H391" s="52"/>
      <c r="I391" s="52"/>
      <c r="J391" s="53">
        <f>SUMIFS(J392:J405,C392:C405,C391)</f>
        <v>48000</v>
      </c>
      <c r="K391" s="54">
        <f>SUMIFS(K392:K407,C392:C407,C391)</f>
        <v>648000</v>
      </c>
      <c r="L391" s="52"/>
      <c r="M391" s="54">
        <f>SUMIFS(M392:M407,C392:C407,C391)</f>
        <v>144010</v>
      </c>
      <c r="N391" s="52"/>
      <c r="O391" s="52"/>
      <c r="P391" s="52"/>
      <c r="Q391" s="52"/>
      <c r="R391" s="52"/>
    </row>
    <row r="392" spans="1:18" hidden="1" x14ac:dyDescent="0.35">
      <c r="A392" s="59" t="s">
        <v>100</v>
      </c>
      <c r="B392" s="8"/>
      <c r="C392" s="30" t="s">
        <v>201</v>
      </c>
      <c r="D392" s="30"/>
      <c r="E392" s="30"/>
      <c r="F392" s="30">
        <v>13.5</v>
      </c>
      <c r="G392" s="30" t="str">
        <f>CONCATENATE("USD,FLAT ",TEXT(F392,"0.00"))</f>
        <v>USD,FLAT 13.50</v>
      </c>
      <c r="H392" s="36">
        <f>K392/J392</f>
        <v>13.5</v>
      </c>
      <c r="I392" s="30" t="s">
        <v>22</v>
      </c>
      <c r="J392" s="32">
        <v>48000</v>
      </c>
      <c r="K392" s="36">
        <f>J392*F392</f>
        <v>648000</v>
      </c>
      <c r="L392" s="30" t="str">
        <f>TEXT(IFERROR(((K392-K393)/K393*100),"0.00"),"0.00")</f>
        <v>0.00</v>
      </c>
      <c r="M392" s="36">
        <f>(10+J392*3)</f>
        <v>144010</v>
      </c>
      <c r="N392" s="30"/>
      <c r="O392" s="30" t="s">
        <v>171</v>
      </c>
      <c r="P392" s="30" t="s">
        <v>546</v>
      </c>
      <c r="Q392" s="30" t="s">
        <v>547</v>
      </c>
      <c r="R392" s="30" t="s">
        <v>550</v>
      </c>
    </row>
    <row r="393" spans="1:18" hidden="1" x14ac:dyDescent="0.35">
      <c r="A393" s="8"/>
      <c r="B393" s="8"/>
      <c r="C393" s="33" t="s">
        <v>196</v>
      </c>
      <c r="D393" s="33"/>
      <c r="E393" s="33"/>
      <c r="F393" s="33">
        <v>13.5</v>
      </c>
      <c r="G393" s="33" t="str">
        <f>CONCATENATE("USD,FLAT ",TEXT(F393,"0.00"))</f>
        <v>USD,FLAT 13.50</v>
      </c>
      <c r="H393" s="38">
        <f>IFERROR(K393/J393,"0")</f>
        <v>13.5</v>
      </c>
      <c r="I393" s="33" t="s">
        <v>22</v>
      </c>
      <c r="J393" s="34">
        <v>48000</v>
      </c>
      <c r="K393" s="38">
        <f>J393*F393</f>
        <v>648000</v>
      </c>
      <c r="L393" s="33"/>
      <c r="M393" s="38">
        <f>(10+J393*3)</f>
        <v>144010</v>
      </c>
      <c r="N393" s="33"/>
      <c r="O393" s="33"/>
      <c r="P393" s="33"/>
      <c r="Q393" s="33"/>
      <c r="R393" s="33"/>
    </row>
    <row r="394" spans="1:18" hidden="1" x14ac:dyDescent="0.35">
      <c r="A394" s="8"/>
      <c r="B394" s="8"/>
      <c r="C394" s="43" t="s">
        <v>197</v>
      </c>
      <c r="D394" s="43"/>
      <c r="E394" s="43"/>
      <c r="F394" s="43"/>
      <c r="G394" s="43"/>
      <c r="H394" s="43"/>
      <c r="I394" s="43"/>
      <c r="J394" s="43"/>
      <c r="K394" s="43"/>
      <c r="L394" s="43"/>
      <c r="M394" s="43"/>
      <c r="N394" s="43"/>
      <c r="O394" s="43"/>
      <c r="P394" s="43"/>
      <c r="Q394" s="43"/>
      <c r="R394" s="43"/>
    </row>
    <row r="395" spans="1:18" hidden="1" x14ac:dyDescent="0.35">
      <c r="A395" s="8"/>
      <c r="B395" s="8"/>
      <c r="C395" s="44" t="s">
        <v>198</v>
      </c>
      <c r="D395" s="44"/>
      <c r="E395" s="44"/>
      <c r="F395" s="44"/>
      <c r="G395" s="44"/>
      <c r="H395" s="44"/>
      <c r="I395" s="44"/>
      <c r="J395" s="44"/>
      <c r="K395" s="44"/>
      <c r="L395" s="44"/>
      <c r="M395" s="44"/>
      <c r="N395" s="44"/>
      <c r="O395" s="44"/>
      <c r="P395" s="44"/>
      <c r="Q395" s="44"/>
      <c r="R395" s="44"/>
    </row>
    <row r="396" spans="1:18" hidden="1" x14ac:dyDescent="0.35">
      <c r="A396" s="59" t="s">
        <v>101</v>
      </c>
      <c r="B396" s="8"/>
      <c r="C396" s="30" t="s">
        <v>201</v>
      </c>
      <c r="D396" s="30"/>
      <c r="E396" s="30"/>
      <c r="F396" s="30">
        <v>9.89</v>
      </c>
      <c r="G396" s="30" t="str">
        <f>CONCATENATE("USD,FLAT ",TEXT(F396,"0.00"))</f>
        <v>USD,FLAT 9.89</v>
      </c>
      <c r="H396" s="36">
        <f>K396/J396</f>
        <v>9.89</v>
      </c>
      <c r="I396" s="30" t="s">
        <v>22</v>
      </c>
      <c r="J396" s="32">
        <v>3</v>
      </c>
      <c r="K396" s="36">
        <f>J396*F396</f>
        <v>29.67</v>
      </c>
      <c r="L396" s="30" t="str">
        <f>TEXT(IFERROR(((K396-K397)/K397*100),"0.00"),"0.00")</f>
        <v>0.00</v>
      </c>
      <c r="M396" s="36">
        <f>(10+J396*3)</f>
        <v>19</v>
      </c>
      <c r="N396" s="30"/>
      <c r="O396" s="30" t="s">
        <v>171</v>
      </c>
      <c r="P396" s="30" t="s">
        <v>546</v>
      </c>
      <c r="Q396" s="30" t="s">
        <v>547</v>
      </c>
      <c r="R396" s="30"/>
    </row>
    <row r="397" spans="1:18" hidden="1" x14ac:dyDescent="0.35">
      <c r="A397" s="8"/>
      <c r="B397" s="8"/>
      <c r="C397" s="33" t="s">
        <v>196</v>
      </c>
      <c r="D397" s="33"/>
      <c r="E397" s="33"/>
      <c r="F397" s="33">
        <v>9.9499999999999993</v>
      </c>
      <c r="G397" s="33" t="str">
        <f>CONCATENATE("USD,FLAT ",TEXT(F397,"0.00"))</f>
        <v>USD,FLAT 9.95</v>
      </c>
      <c r="H397" s="38" t="str">
        <f>IFERROR(K397/J397,"0")</f>
        <v>0</v>
      </c>
      <c r="I397" s="33"/>
      <c r="J397" s="34"/>
      <c r="K397" s="38">
        <f>J397*F397</f>
        <v>0</v>
      </c>
      <c r="L397" s="33"/>
      <c r="M397" s="38"/>
      <c r="N397" s="33"/>
      <c r="O397" s="33"/>
      <c r="P397" s="33"/>
      <c r="Q397" s="33"/>
      <c r="R397" s="33"/>
    </row>
    <row r="398" spans="1:18" hidden="1" x14ac:dyDescent="0.35">
      <c r="A398" s="8"/>
      <c r="B398" s="8"/>
      <c r="C398" s="43" t="s">
        <v>197</v>
      </c>
      <c r="D398" s="43"/>
      <c r="E398" s="43"/>
      <c r="F398" s="43"/>
      <c r="G398" s="43"/>
      <c r="H398" s="43"/>
      <c r="I398" s="43"/>
      <c r="J398" s="43"/>
      <c r="K398" s="43"/>
      <c r="L398" s="43"/>
      <c r="M398" s="43"/>
      <c r="N398" s="43"/>
      <c r="O398" s="43"/>
      <c r="P398" s="43"/>
      <c r="Q398" s="43"/>
      <c r="R398" s="43"/>
    </row>
    <row r="399" spans="1:18" hidden="1" x14ac:dyDescent="0.35">
      <c r="A399" s="8"/>
      <c r="B399" s="8"/>
      <c r="C399" s="44" t="s">
        <v>198</v>
      </c>
      <c r="D399" s="44"/>
      <c r="E399" s="44"/>
      <c r="F399" s="44"/>
      <c r="G399" s="44"/>
      <c r="H399" s="44"/>
      <c r="I399" s="44"/>
      <c r="J399" s="44"/>
      <c r="K399" s="44"/>
      <c r="L399" s="44"/>
      <c r="M399" s="44"/>
      <c r="N399" s="44"/>
      <c r="O399" s="44"/>
      <c r="P399" s="44"/>
      <c r="Q399" s="44"/>
      <c r="R399" s="44"/>
    </row>
    <row r="400" spans="1:18" hidden="1" x14ac:dyDescent="0.35">
      <c r="A400" s="59" t="s">
        <v>207</v>
      </c>
      <c r="B400" s="8"/>
      <c r="C400" s="30" t="s">
        <v>201</v>
      </c>
      <c r="D400" s="30"/>
      <c r="E400" s="30"/>
      <c r="F400" s="30">
        <v>111.08</v>
      </c>
      <c r="G400" s="30" t="str">
        <f>CONCATENATE("USD,FLAT ",TEXT(F400,"0.00"))</f>
        <v>USD,FLAT 111.08</v>
      </c>
      <c r="H400" s="36">
        <f>F400</f>
        <v>111.08</v>
      </c>
      <c r="I400" s="30"/>
      <c r="J400" s="32"/>
      <c r="K400" s="36">
        <f>(F400*5*5)</f>
        <v>2777</v>
      </c>
      <c r="L400" s="30" t="str">
        <f>TEXT(IFERROR(((K400-K401)/K401*100),"0.00"),"0.00")</f>
        <v>0.00</v>
      </c>
      <c r="M400" s="36">
        <v>0</v>
      </c>
      <c r="N400" s="35" t="s">
        <v>54</v>
      </c>
      <c r="O400" s="30" t="s">
        <v>213</v>
      </c>
      <c r="P400" s="30" t="s">
        <v>548</v>
      </c>
      <c r="Q400" s="30"/>
      <c r="R400" s="30"/>
    </row>
    <row r="401" spans="1:18" hidden="1" x14ac:dyDescent="0.35">
      <c r="A401" s="8"/>
      <c r="B401" s="8"/>
      <c r="C401" s="33" t="s">
        <v>196</v>
      </c>
      <c r="D401" s="33"/>
      <c r="E401" s="33"/>
      <c r="F401" s="33"/>
      <c r="G401" s="33"/>
      <c r="H401" s="38"/>
      <c r="I401" s="33"/>
      <c r="J401" s="34"/>
      <c r="K401" s="38"/>
      <c r="L401" s="33"/>
      <c r="M401" s="38"/>
      <c r="N401" s="33"/>
      <c r="O401" s="33"/>
      <c r="P401" s="33"/>
      <c r="Q401" s="33"/>
      <c r="R401" s="33"/>
    </row>
    <row r="402" spans="1:18" hidden="1" x14ac:dyDescent="0.35">
      <c r="A402" s="8"/>
      <c r="B402" s="8"/>
      <c r="C402" s="43" t="s">
        <v>197</v>
      </c>
      <c r="D402" s="43"/>
      <c r="E402" s="43"/>
      <c r="F402" s="43"/>
      <c r="G402" s="43"/>
      <c r="H402" s="43"/>
      <c r="I402" s="43"/>
      <c r="J402" s="43"/>
      <c r="K402" s="43"/>
      <c r="L402" s="43"/>
      <c r="M402" s="43"/>
      <c r="N402" s="43"/>
      <c r="O402" s="43"/>
      <c r="P402" s="43"/>
      <c r="Q402" s="43"/>
      <c r="R402" s="43"/>
    </row>
    <row r="403" spans="1:18" hidden="1" x14ac:dyDescent="0.35">
      <c r="A403" s="8"/>
      <c r="B403" s="8"/>
      <c r="C403" s="44" t="s">
        <v>198</v>
      </c>
      <c r="D403" s="44"/>
      <c r="E403" s="44"/>
      <c r="F403" s="44"/>
      <c r="G403" s="44"/>
      <c r="H403" s="44"/>
      <c r="I403" s="44"/>
      <c r="J403" s="44"/>
      <c r="K403" s="44"/>
      <c r="L403" s="44"/>
      <c r="M403" s="44"/>
      <c r="N403" s="44"/>
      <c r="O403" s="44"/>
      <c r="P403" s="44"/>
      <c r="Q403" s="44"/>
      <c r="R403" s="44"/>
    </row>
    <row r="404" spans="1:18" hidden="1" x14ac:dyDescent="0.35">
      <c r="A404" s="59" t="s">
        <v>102</v>
      </c>
      <c r="B404" s="8"/>
      <c r="C404" s="30" t="s">
        <v>201</v>
      </c>
      <c r="D404" s="30"/>
      <c r="E404" s="30"/>
      <c r="F404" s="30">
        <v>276.25</v>
      </c>
      <c r="G404" s="30" t="str">
        <f>CONCATENATE("USD,FLAT ",TEXT(F404,"0.00"))</f>
        <v>USD,FLAT 276.25</v>
      </c>
      <c r="H404" s="36">
        <f>F404</f>
        <v>276.25</v>
      </c>
      <c r="I404" s="30"/>
      <c r="J404" s="32"/>
      <c r="K404" s="36">
        <f>(F404*5*5)</f>
        <v>6906.25</v>
      </c>
      <c r="L404" s="30" t="str">
        <f>TEXT(IFERROR(((K404-K405)/K405*100),"0.00"),"0.00")</f>
        <v>0.00</v>
      </c>
      <c r="M404" s="36">
        <v>0</v>
      </c>
      <c r="N404" s="35" t="s">
        <v>54</v>
      </c>
      <c r="O404" s="30" t="s">
        <v>213</v>
      </c>
      <c r="P404" s="30" t="s">
        <v>548</v>
      </c>
      <c r="Q404" s="30"/>
      <c r="R404" s="30"/>
    </row>
    <row r="405" spans="1:18" hidden="1" x14ac:dyDescent="0.35">
      <c r="A405" s="8"/>
      <c r="B405" s="8"/>
      <c r="C405" s="33" t="s">
        <v>196</v>
      </c>
      <c r="D405" s="33"/>
      <c r="E405" s="33"/>
      <c r="F405" s="33"/>
      <c r="G405" s="33"/>
      <c r="H405" s="38"/>
      <c r="I405" s="33"/>
      <c r="J405" s="34"/>
      <c r="K405" s="38"/>
      <c r="L405" s="33"/>
      <c r="M405" s="38"/>
      <c r="N405" s="33"/>
      <c r="O405" s="33"/>
      <c r="P405" s="33"/>
      <c r="Q405" s="33"/>
      <c r="R405" s="33"/>
    </row>
    <row r="406" spans="1:18" hidden="1" x14ac:dyDescent="0.35">
      <c r="A406" s="8"/>
      <c r="B406" s="8"/>
      <c r="C406" s="43" t="s">
        <v>197</v>
      </c>
      <c r="D406" s="43"/>
      <c r="E406" s="43"/>
      <c r="F406" s="43"/>
      <c r="G406" s="43"/>
      <c r="H406" s="43"/>
      <c r="I406" s="43"/>
      <c r="J406" s="43"/>
      <c r="K406" s="43"/>
      <c r="L406" s="43"/>
      <c r="M406" s="43"/>
      <c r="N406" s="43"/>
      <c r="O406" s="43"/>
      <c r="P406" s="43"/>
      <c r="Q406" s="43"/>
      <c r="R406" s="43"/>
    </row>
    <row r="407" spans="1:18" hidden="1" x14ac:dyDescent="0.35">
      <c r="A407" s="8"/>
      <c r="B407" s="8"/>
      <c r="C407" s="44" t="s">
        <v>198</v>
      </c>
      <c r="D407" s="44"/>
      <c r="E407" s="44"/>
      <c r="F407" s="44"/>
      <c r="G407" s="44"/>
      <c r="H407" s="44"/>
      <c r="I407" s="44"/>
      <c r="J407" s="44"/>
      <c r="K407" s="44"/>
      <c r="L407" s="44"/>
      <c r="M407" s="44"/>
      <c r="N407" s="44"/>
      <c r="O407" s="44"/>
      <c r="P407" s="44"/>
      <c r="Q407" s="44"/>
      <c r="R407" s="44"/>
    </row>
    <row r="408" spans="1:18" hidden="1" x14ac:dyDescent="0.35">
      <c r="A408" s="52" t="s">
        <v>194</v>
      </c>
      <c r="B408" s="52"/>
      <c r="C408" s="52" t="s">
        <v>201</v>
      </c>
      <c r="D408" s="52"/>
      <c r="E408" s="52"/>
      <c r="F408" s="52"/>
      <c r="G408" s="52"/>
      <c r="H408" s="52"/>
      <c r="I408" s="52"/>
      <c r="J408" s="53">
        <f>SUMIFS(J410:J419,C410:C419,C408)</f>
        <v>288000</v>
      </c>
      <c r="K408" s="54">
        <f>SUMIFS(K410:K421,C410:C421,C408)</f>
        <v>6092880</v>
      </c>
      <c r="L408" s="52"/>
      <c r="M408" s="54">
        <f>SUMIFS(M410:M421,C410:C421,C408)</f>
        <v>864030</v>
      </c>
      <c r="N408" s="52"/>
      <c r="O408" s="52"/>
      <c r="P408" s="52"/>
      <c r="Q408" s="52"/>
      <c r="R408" s="52"/>
    </row>
    <row r="409" spans="1:18" hidden="1" x14ac:dyDescent="0.35">
      <c r="A409" s="52" t="s">
        <v>194</v>
      </c>
      <c r="B409" s="52"/>
      <c r="C409" s="52" t="s">
        <v>196</v>
      </c>
      <c r="D409" s="52"/>
      <c r="E409" s="52"/>
      <c r="F409" s="52"/>
      <c r="G409" s="52"/>
      <c r="H409" s="52"/>
      <c r="I409" s="52"/>
      <c r="J409" s="53">
        <f>SUMIFS(J410:J419,C410:C419,C409)</f>
        <v>288000</v>
      </c>
      <c r="K409" s="54">
        <f>SUMIFS(K410:K419,C410:C419,C409)</f>
        <v>0</v>
      </c>
      <c r="L409" s="52"/>
      <c r="M409" s="54">
        <f>SUMIFS(M410:M419,C410:C419,C409)</f>
        <v>0</v>
      </c>
      <c r="N409" s="52"/>
      <c r="O409" s="52"/>
      <c r="P409" s="52"/>
      <c r="Q409" s="52"/>
      <c r="R409" s="52"/>
    </row>
    <row r="410" spans="1:18" hidden="1" x14ac:dyDescent="0.35">
      <c r="A410" s="59" t="s">
        <v>103</v>
      </c>
      <c r="B410" s="8"/>
      <c r="C410" s="30" t="s">
        <v>201</v>
      </c>
      <c r="D410" s="30"/>
      <c r="E410" s="30"/>
      <c r="F410" s="31" t="s">
        <v>211</v>
      </c>
      <c r="G410" s="30" t="s">
        <v>208</v>
      </c>
      <c r="H410" s="36">
        <f>K410/J410</f>
        <v>12.25</v>
      </c>
      <c r="I410" s="30" t="s">
        <v>22</v>
      </c>
      <c r="J410" s="32">
        <v>72000</v>
      </c>
      <c r="K410" s="36">
        <f>(1000*12.95+4000*12.15+1000*11.95)*12</f>
        <v>882000</v>
      </c>
      <c r="L410" s="30" t="str">
        <f>TEXT(IFERROR(((K410-K411)/K411*100),"0.00"),"0.00")</f>
        <v>0.00</v>
      </c>
      <c r="M410" s="36">
        <f>(10+J410*3)</f>
        <v>216010</v>
      </c>
      <c r="N410" s="35" t="s">
        <v>54</v>
      </c>
      <c r="O410" s="30" t="s">
        <v>213</v>
      </c>
      <c r="P410" s="30" t="s">
        <v>549</v>
      </c>
      <c r="Q410" s="30"/>
      <c r="R410" s="30"/>
    </row>
    <row r="411" spans="1:18" hidden="1" x14ac:dyDescent="0.35">
      <c r="A411" s="8"/>
      <c r="B411" s="8"/>
      <c r="C411" s="33" t="s">
        <v>196</v>
      </c>
      <c r="D411" s="33"/>
      <c r="E411" s="33"/>
      <c r="F411" s="33"/>
      <c r="G411" s="33"/>
      <c r="H411" s="38">
        <f>IFERROR(K411/J411,"0")</f>
        <v>0</v>
      </c>
      <c r="I411" s="33" t="s">
        <v>22</v>
      </c>
      <c r="J411" s="34">
        <v>72000</v>
      </c>
      <c r="K411" s="40">
        <v>0</v>
      </c>
      <c r="L411" s="33"/>
      <c r="M411" s="38"/>
      <c r="N411" s="33"/>
      <c r="O411" s="33"/>
      <c r="P411" s="33"/>
      <c r="Q411" s="33"/>
      <c r="R411" s="33"/>
    </row>
    <row r="412" spans="1:18" hidden="1" x14ac:dyDescent="0.35">
      <c r="A412" s="8"/>
      <c r="B412" s="8"/>
      <c r="C412" s="43" t="s">
        <v>197</v>
      </c>
      <c r="D412" s="43"/>
      <c r="E412" s="43"/>
      <c r="F412" s="43"/>
      <c r="G412" s="43"/>
      <c r="H412" s="43"/>
      <c r="I412" s="43"/>
      <c r="J412" s="43"/>
      <c r="K412" s="45"/>
      <c r="L412" s="43"/>
      <c r="M412" s="43"/>
      <c r="N412" s="43"/>
      <c r="O412" s="43"/>
      <c r="P412" s="43"/>
      <c r="Q412" s="43"/>
      <c r="R412" s="43"/>
    </row>
    <row r="413" spans="1:18" hidden="1" x14ac:dyDescent="0.35">
      <c r="A413" s="8"/>
      <c r="B413" s="8"/>
      <c r="C413" s="44" t="s">
        <v>198</v>
      </c>
      <c r="D413" s="44"/>
      <c r="E413" s="44"/>
      <c r="F413" s="44"/>
      <c r="G413" s="44"/>
      <c r="H413" s="44"/>
      <c r="I413" s="44"/>
      <c r="J413" s="44"/>
      <c r="K413" s="46"/>
      <c r="L413" s="44"/>
      <c r="M413" s="44"/>
      <c r="N413" s="44"/>
      <c r="O413" s="44"/>
      <c r="P413" s="44"/>
      <c r="Q413" s="44"/>
      <c r="R413" s="44"/>
    </row>
    <row r="414" spans="1:18" hidden="1" x14ac:dyDescent="0.35">
      <c r="A414" s="59" t="s">
        <v>104</v>
      </c>
      <c r="B414" s="8"/>
      <c r="C414" s="30" t="s">
        <v>201</v>
      </c>
      <c r="D414" s="30"/>
      <c r="E414" s="30"/>
      <c r="F414" s="31" t="s">
        <v>211</v>
      </c>
      <c r="G414" s="30" t="s">
        <v>209</v>
      </c>
      <c r="H414" s="36">
        <f>K414/J414</f>
        <v>11.95</v>
      </c>
      <c r="I414" s="30" t="s">
        <v>22</v>
      </c>
      <c r="J414" s="32">
        <v>96000</v>
      </c>
      <c r="K414" s="36">
        <f>J414*11.95</f>
        <v>1147200</v>
      </c>
      <c r="L414" s="30" t="str">
        <f>TEXT(IFERROR(((K414-K415)/K415*100),"0.00"),"0.00")</f>
        <v>0.00</v>
      </c>
      <c r="M414" s="36">
        <f>(10+J414*3)</f>
        <v>288010</v>
      </c>
      <c r="N414" s="35" t="s">
        <v>54</v>
      </c>
      <c r="O414" s="30" t="s">
        <v>213</v>
      </c>
      <c r="P414" s="30" t="s">
        <v>549</v>
      </c>
      <c r="Q414" s="30"/>
      <c r="R414" s="30"/>
    </row>
    <row r="415" spans="1:18" hidden="1" x14ac:dyDescent="0.35">
      <c r="A415" s="8"/>
      <c r="B415" s="8"/>
      <c r="C415" s="33" t="s">
        <v>196</v>
      </c>
      <c r="D415" s="33"/>
      <c r="E415" s="33"/>
      <c r="F415" s="33"/>
      <c r="G415" s="33"/>
      <c r="H415" s="38">
        <f>IFERROR(K415/J415,"0")</f>
        <v>0</v>
      </c>
      <c r="I415" s="33" t="s">
        <v>22</v>
      </c>
      <c r="J415" s="34">
        <v>96000</v>
      </c>
      <c r="K415" s="40">
        <v>0</v>
      </c>
      <c r="L415" s="33"/>
      <c r="M415" s="33"/>
      <c r="N415" s="33"/>
      <c r="O415" s="33"/>
      <c r="P415" s="33"/>
      <c r="Q415" s="33"/>
      <c r="R415" s="33"/>
    </row>
    <row r="416" spans="1:18" hidden="1" x14ac:dyDescent="0.35">
      <c r="A416" s="8"/>
      <c r="B416" s="8"/>
      <c r="C416" s="43" t="s">
        <v>197</v>
      </c>
      <c r="D416" s="43"/>
      <c r="E416" s="43"/>
      <c r="F416" s="43"/>
      <c r="G416" s="43"/>
      <c r="H416" s="43"/>
      <c r="I416" s="43"/>
      <c r="J416" s="43"/>
      <c r="K416" s="45"/>
      <c r="L416" s="43"/>
      <c r="M416" s="43"/>
      <c r="N416" s="43"/>
      <c r="O416" s="43"/>
      <c r="P416" s="43"/>
      <c r="Q416" s="43"/>
      <c r="R416" s="43"/>
    </row>
    <row r="417" spans="1:18" hidden="1" x14ac:dyDescent="0.35">
      <c r="A417" s="8"/>
      <c r="B417" s="8"/>
      <c r="C417" s="44" t="s">
        <v>198</v>
      </c>
      <c r="D417" s="44"/>
      <c r="E417" s="44"/>
      <c r="F417" s="44"/>
      <c r="G417" s="44"/>
      <c r="H417" s="44"/>
      <c r="I417" s="44"/>
      <c r="J417" s="44"/>
      <c r="K417" s="46"/>
      <c r="L417" s="44"/>
      <c r="M417" s="44"/>
      <c r="N417" s="44"/>
      <c r="O417" s="44"/>
      <c r="P417" s="44"/>
      <c r="Q417" s="44"/>
      <c r="R417" s="44"/>
    </row>
    <row r="418" spans="1:18" ht="29" hidden="1" x14ac:dyDescent="0.35">
      <c r="A418" s="59" t="s">
        <v>105</v>
      </c>
      <c r="B418" s="8"/>
      <c r="C418" s="30" t="s">
        <v>201</v>
      </c>
      <c r="D418" s="30"/>
      <c r="E418" s="30"/>
      <c r="F418" s="31" t="s">
        <v>212</v>
      </c>
      <c r="G418" s="30" t="s">
        <v>210</v>
      </c>
      <c r="H418" s="36">
        <f>K418/J418</f>
        <v>33.863999999999997</v>
      </c>
      <c r="I418" s="30" t="s">
        <v>22</v>
      </c>
      <c r="J418" s="32">
        <v>120000</v>
      </c>
      <c r="K418" s="36">
        <f>'UC01 - CALCULATOIN'!C13</f>
        <v>4063680</v>
      </c>
      <c r="L418" s="30" t="str">
        <f>TEXT(IFERROR(((K418-K419)/K419*100),"0.00"),"0.00")</f>
        <v>0.00</v>
      </c>
      <c r="M418" s="36">
        <f>(10+J418*3)</f>
        <v>360010</v>
      </c>
      <c r="N418" s="35" t="s">
        <v>54</v>
      </c>
      <c r="O418" s="30" t="s">
        <v>213</v>
      </c>
      <c r="P418" s="30" t="s">
        <v>549</v>
      </c>
      <c r="Q418" s="30"/>
      <c r="R418" s="30"/>
    </row>
    <row r="419" spans="1:18" hidden="1" x14ac:dyDescent="0.35">
      <c r="A419" s="8"/>
      <c r="B419" s="8"/>
      <c r="C419" s="33" t="s">
        <v>196</v>
      </c>
      <c r="D419" s="33"/>
      <c r="E419" s="33"/>
      <c r="F419" s="33"/>
      <c r="G419" s="33"/>
      <c r="H419" s="38">
        <f>IFERROR(K419/J419,"0")</f>
        <v>0</v>
      </c>
      <c r="I419" s="33" t="s">
        <v>22</v>
      </c>
      <c r="J419" s="34">
        <v>120000</v>
      </c>
      <c r="K419" s="40">
        <v>0</v>
      </c>
      <c r="L419" s="33"/>
      <c r="M419" s="33"/>
      <c r="N419" s="33"/>
      <c r="O419" s="33"/>
      <c r="P419" s="33"/>
      <c r="Q419" s="33"/>
      <c r="R419" s="33"/>
    </row>
    <row r="420" spans="1:18" hidden="1" x14ac:dyDescent="0.35">
      <c r="A420" s="8"/>
      <c r="B420" s="8"/>
      <c r="C420" s="43" t="s">
        <v>197</v>
      </c>
      <c r="D420" s="43"/>
      <c r="E420" s="43"/>
      <c r="F420" s="43"/>
      <c r="G420" s="43"/>
      <c r="H420" s="43"/>
      <c r="I420" s="43"/>
      <c r="J420" s="43"/>
      <c r="K420" s="45"/>
      <c r="L420" s="43"/>
      <c r="M420" s="43"/>
      <c r="N420" s="43"/>
      <c r="O420" s="43"/>
      <c r="P420" s="43"/>
      <c r="Q420" s="43"/>
      <c r="R420" s="43"/>
    </row>
    <row r="421" spans="1:18" hidden="1" x14ac:dyDescent="0.35">
      <c r="A421" s="8"/>
      <c r="B421" s="8"/>
      <c r="C421" s="44" t="s">
        <v>198</v>
      </c>
      <c r="D421" s="44"/>
      <c r="E421" s="44"/>
      <c r="F421" s="44"/>
      <c r="G421" s="44"/>
      <c r="H421" s="44"/>
      <c r="I421" s="44"/>
      <c r="J421" s="44"/>
      <c r="K421" s="46"/>
      <c r="L421" s="44"/>
      <c r="M421" s="44"/>
      <c r="N421" s="44"/>
      <c r="O421" s="44"/>
      <c r="P421" s="44"/>
      <c r="Q421" s="44"/>
      <c r="R421" s="44"/>
    </row>
    <row r="422" spans="1:18" x14ac:dyDescent="0.35">
      <c r="A422" s="52" t="s">
        <v>195</v>
      </c>
      <c r="B422" s="52"/>
      <c r="C422" s="52" t="s">
        <v>201</v>
      </c>
      <c r="D422" s="52"/>
      <c r="E422" s="52"/>
      <c r="F422" s="52"/>
      <c r="G422" s="52"/>
      <c r="H422" s="52"/>
      <c r="I422" s="52"/>
      <c r="J422" s="53">
        <f>SUMIFS(J424:J453,C424:C453,C422)</f>
        <v>10</v>
      </c>
      <c r="K422" s="54">
        <f>SUMIFS(K424:K455,C424:C455,C422)</f>
        <v>3029.51</v>
      </c>
      <c r="L422" s="52"/>
      <c r="M422" s="54">
        <f>SUMIFS(M424:M455,C424:C455,C422)</f>
        <v>110</v>
      </c>
      <c r="N422" s="52"/>
      <c r="O422" s="52"/>
      <c r="P422" s="52"/>
      <c r="Q422" s="52"/>
      <c r="R422" s="52"/>
    </row>
    <row r="423" spans="1:18" x14ac:dyDescent="0.35">
      <c r="A423" s="52" t="s">
        <v>195</v>
      </c>
      <c r="B423" s="52"/>
      <c r="C423" s="52" t="s">
        <v>196</v>
      </c>
      <c r="D423" s="52"/>
      <c r="E423" s="52"/>
      <c r="F423" s="52"/>
      <c r="G423" s="52"/>
      <c r="H423" s="52"/>
      <c r="I423" s="52"/>
      <c r="J423" s="53">
        <f>SUMIFS(J424:J453,C424:C453,C423)</f>
        <v>0</v>
      </c>
      <c r="K423" s="54">
        <f>SUMIFS(K424:K455,C424:C455,C423)</f>
        <v>0</v>
      </c>
      <c r="L423" s="52"/>
      <c r="M423" s="54">
        <f>SUMIFS(M424:M455,C424:C455,C423)</f>
        <v>0</v>
      </c>
      <c r="N423" s="52"/>
      <c r="O423" s="52"/>
      <c r="P423" s="52"/>
      <c r="Q423" s="52"/>
      <c r="R423" s="52"/>
    </row>
    <row r="424" spans="1:18" x14ac:dyDescent="0.35">
      <c r="A424" s="59" t="s">
        <v>106</v>
      </c>
      <c r="B424" s="8"/>
      <c r="C424" s="30" t="s">
        <v>201</v>
      </c>
      <c r="D424" s="30"/>
      <c r="E424" s="30"/>
      <c r="F424" s="39">
        <v>0.11</v>
      </c>
      <c r="G424" s="30" t="str">
        <f>CONCATENATE("USD,FLAT ",TEXT(F424,"0.00"))</f>
        <v>USD,FLAT 0.11</v>
      </c>
      <c r="H424" s="36">
        <f>(K424/J424)</f>
        <v>1500.11</v>
      </c>
      <c r="I424" s="30" t="s">
        <v>22</v>
      </c>
      <c r="J424" s="32">
        <v>2</v>
      </c>
      <c r="K424" s="39">
        <f>J424*F424+3000</f>
        <v>3000.22</v>
      </c>
      <c r="L424" s="30" t="str">
        <f>TEXT(IFERROR(((K424-K425)/K425*100),"0.00"),"0.00")</f>
        <v>0.00</v>
      </c>
      <c r="M424" s="36">
        <f>(10+J424*3)</f>
        <v>16</v>
      </c>
      <c r="N424" s="35" t="s">
        <v>54</v>
      </c>
      <c r="O424" s="30" t="s">
        <v>213</v>
      </c>
      <c r="P424" s="30" t="s">
        <v>549</v>
      </c>
      <c r="Q424" s="30"/>
      <c r="R424" s="30"/>
    </row>
    <row r="425" spans="1:18" x14ac:dyDescent="0.35">
      <c r="A425" s="8"/>
      <c r="B425" s="8"/>
      <c r="C425" s="33" t="s">
        <v>196</v>
      </c>
      <c r="D425" s="33"/>
      <c r="E425" s="33"/>
      <c r="F425" s="33"/>
      <c r="G425" s="33"/>
      <c r="H425" s="38" t="str">
        <f>IFERROR(K425/J425,"0")</f>
        <v>0</v>
      </c>
      <c r="I425" s="33"/>
      <c r="J425" s="34"/>
      <c r="K425" s="40"/>
      <c r="L425" s="33"/>
      <c r="M425" s="33"/>
      <c r="N425" s="33"/>
      <c r="O425" s="33"/>
      <c r="P425" s="33"/>
      <c r="Q425" s="33"/>
      <c r="R425" s="33"/>
    </row>
    <row r="426" spans="1:18" x14ac:dyDescent="0.35">
      <c r="A426" s="8"/>
      <c r="B426" s="8"/>
      <c r="C426" s="43" t="s">
        <v>197</v>
      </c>
      <c r="D426" s="43"/>
      <c r="E426" s="43"/>
      <c r="F426" s="43"/>
      <c r="G426" s="43"/>
      <c r="H426" s="43"/>
      <c r="I426" s="43"/>
      <c r="J426" s="43"/>
      <c r="K426" s="45"/>
      <c r="L426" s="43"/>
      <c r="M426" s="43"/>
      <c r="N426" s="43"/>
      <c r="O426" s="43"/>
      <c r="P426" s="43"/>
      <c r="Q426" s="43"/>
      <c r="R426" s="43"/>
    </row>
    <row r="427" spans="1:18" x14ac:dyDescent="0.35">
      <c r="A427" s="8"/>
      <c r="B427" s="8"/>
      <c r="C427" s="44" t="s">
        <v>198</v>
      </c>
      <c r="D427" s="44"/>
      <c r="E427" s="44"/>
      <c r="F427" s="44"/>
      <c r="G427" s="44"/>
      <c r="H427" s="44"/>
      <c r="I427" s="44"/>
      <c r="J427" s="44"/>
      <c r="K427" s="46"/>
      <c r="L427" s="44"/>
      <c r="M427" s="44"/>
      <c r="N427" s="44"/>
      <c r="O427" s="44"/>
      <c r="P427" s="44"/>
      <c r="Q427" s="44"/>
      <c r="R427" s="44"/>
    </row>
    <row r="428" spans="1:18" hidden="1" x14ac:dyDescent="0.35">
      <c r="A428" s="59" t="s">
        <v>107</v>
      </c>
      <c r="B428" s="8"/>
      <c r="C428" s="30" t="s">
        <v>201</v>
      </c>
      <c r="D428" s="30"/>
      <c r="E428" s="30"/>
      <c r="F428" s="39">
        <v>1.99</v>
      </c>
      <c r="G428" s="30" t="str">
        <f>CONCATENATE("USD,FLAT ",TEXT(F428,"0.00"))</f>
        <v>USD,FLAT 1.99</v>
      </c>
      <c r="H428" s="36">
        <f>K428/J428</f>
        <v>1.99</v>
      </c>
      <c r="I428" s="30" t="s">
        <v>22</v>
      </c>
      <c r="J428" s="32">
        <v>2</v>
      </c>
      <c r="K428" s="39">
        <f>J428*F428</f>
        <v>3.98</v>
      </c>
      <c r="L428" s="30" t="str">
        <f>TEXT(IFERROR(((K428-K429)/K429*100),"0.00"),"0.00")</f>
        <v>0.00</v>
      </c>
      <c r="M428" s="36">
        <f>(10+J428*3)</f>
        <v>16</v>
      </c>
      <c r="N428" s="35" t="s">
        <v>54</v>
      </c>
      <c r="O428" s="30" t="s">
        <v>213</v>
      </c>
      <c r="P428" s="30" t="s">
        <v>549</v>
      </c>
      <c r="Q428" s="30"/>
      <c r="R428" s="30"/>
    </row>
    <row r="429" spans="1:18" hidden="1" x14ac:dyDescent="0.35">
      <c r="A429" s="8"/>
      <c r="B429" s="8"/>
      <c r="C429" s="33" t="s">
        <v>196</v>
      </c>
      <c r="D429" s="33"/>
      <c r="E429" s="33"/>
      <c r="F429" s="33"/>
      <c r="G429" s="33"/>
      <c r="H429" s="38" t="str">
        <f>IFERROR(K429/J429,"0")</f>
        <v>0</v>
      </c>
      <c r="I429" s="33"/>
      <c r="J429" s="34"/>
      <c r="K429" s="40"/>
      <c r="L429" s="33"/>
      <c r="M429" s="33"/>
      <c r="N429" s="33"/>
      <c r="O429" s="33"/>
      <c r="P429" s="33"/>
      <c r="Q429" s="33"/>
      <c r="R429" s="33"/>
    </row>
    <row r="430" spans="1:18" hidden="1" x14ac:dyDescent="0.35">
      <c r="A430" s="8"/>
      <c r="B430" s="8"/>
      <c r="C430" s="43" t="s">
        <v>197</v>
      </c>
      <c r="D430" s="43"/>
      <c r="E430" s="43"/>
      <c r="F430" s="43"/>
      <c r="G430" s="43"/>
      <c r="H430" s="43"/>
      <c r="I430" s="43"/>
      <c r="J430" s="43"/>
      <c r="K430" s="45"/>
      <c r="L430" s="43"/>
      <c r="M430" s="43"/>
      <c r="N430" s="43"/>
      <c r="O430" s="43"/>
      <c r="P430" s="43"/>
      <c r="Q430" s="43"/>
      <c r="R430" s="43"/>
    </row>
    <row r="431" spans="1:18" hidden="1" x14ac:dyDescent="0.35">
      <c r="A431" s="8"/>
      <c r="B431" s="8"/>
      <c r="C431" s="44" t="s">
        <v>198</v>
      </c>
      <c r="D431" s="44"/>
      <c r="E431" s="44"/>
      <c r="F431" s="44"/>
      <c r="G431" s="44"/>
      <c r="H431" s="44"/>
      <c r="I431" s="44"/>
      <c r="J431" s="44"/>
      <c r="K431" s="46"/>
      <c r="L431" s="44"/>
      <c r="M431" s="44"/>
      <c r="N431" s="44"/>
      <c r="O431" s="44"/>
      <c r="P431" s="44"/>
      <c r="Q431" s="44"/>
      <c r="R431" s="44"/>
    </row>
    <row r="432" spans="1:18" hidden="1" x14ac:dyDescent="0.35">
      <c r="A432" s="59" t="s">
        <v>107</v>
      </c>
      <c r="B432" s="8" t="s">
        <v>51</v>
      </c>
      <c r="C432" s="30" t="s">
        <v>201</v>
      </c>
      <c r="D432" s="30"/>
      <c r="E432" s="30"/>
      <c r="F432" s="39">
        <v>0.75</v>
      </c>
      <c r="G432" s="30" t="str">
        <f>CONCATENATE("USD,FLAT ",TEXT(F432,"0.00"))</f>
        <v>USD,FLAT 0.75</v>
      </c>
      <c r="H432" s="36">
        <f>K432/J432</f>
        <v>0.75</v>
      </c>
      <c r="I432" s="30" t="s">
        <v>22</v>
      </c>
      <c r="J432" s="32">
        <v>1</v>
      </c>
      <c r="K432" s="39">
        <f>J432*F432</f>
        <v>0.75</v>
      </c>
      <c r="L432" s="30" t="str">
        <f>TEXT(IFERROR(((K432-K433)/K433*100),"0.00"),"0.00")</f>
        <v>0.00</v>
      </c>
      <c r="M432" s="36">
        <f>(10+J432*3)</f>
        <v>13</v>
      </c>
      <c r="N432" s="35" t="s">
        <v>54</v>
      </c>
      <c r="O432" s="30" t="s">
        <v>213</v>
      </c>
      <c r="P432" s="30" t="s">
        <v>549</v>
      </c>
      <c r="Q432" s="30"/>
      <c r="R432" s="30"/>
    </row>
    <row r="433" spans="1:18" hidden="1" x14ac:dyDescent="0.35">
      <c r="A433" s="8"/>
      <c r="B433" s="8"/>
      <c r="C433" s="33" t="s">
        <v>196</v>
      </c>
      <c r="D433" s="33"/>
      <c r="E433" s="33"/>
      <c r="F433" s="33"/>
      <c r="G433" s="33"/>
      <c r="H433" s="38" t="str">
        <f>IFERROR(K433/J433,"0")</f>
        <v>0</v>
      </c>
      <c r="I433" s="33"/>
      <c r="J433" s="34"/>
      <c r="K433" s="40"/>
      <c r="L433" s="33"/>
      <c r="M433" s="33"/>
      <c r="N433" s="33"/>
      <c r="O433" s="33"/>
      <c r="P433" s="33"/>
      <c r="Q433" s="33"/>
      <c r="R433" s="33"/>
    </row>
    <row r="434" spans="1:18" hidden="1" x14ac:dyDescent="0.35">
      <c r="A434" s="8"/>
      <c r="B434" s="8"/>
      <c r="C434" s="43" t="s">
        <v>197</v>
      </c>
      <c r="D434" s="43"/>
      <c r="E434" s="43"/>
      <c r="F434" s="43"/>
      <c r="G434" s="43"/>
      <c r="H434" s="43"/>
      <c r="I434" s="43"/>
      <c r="J434" s="43"/>
      <c r="K434" s="45"/>
      <c r="L434" s="43"/>
      <c r="M434" s="43"/>
      <c r="N434" s="43"/>
      <c r="O434" s="43"/>
      <c r="P434" s="43"/>
      <c r="Q434" s="43"/>
      <c r="R434" s="43"/>
    </row>
    <row r="435" spans="1:18" hidden="1" x14ac:dyDescent="0.35">
      <c r="A435" s="8"/>
      <c r="B435" s="8"/>
      <c r="C435" s="44" t="s">
        <v>198</v>
      </c>
      <c r="D435" s="44"/>
      <c r="E435" s="44"/>
      <c r="F435" s="44"/>
      <c r="G435" s="44"/>
      <c r="H435" s="44"/>
      <c r="I435" s="44"/>
      <c r="J435" s="44"/>
      <c r="K435" s="46"/>
      <c r="L435" s="44"/>
      <c r="M435" s="44"/>
      <c r="N435" s="44"/>
      <c r="O435" s="44"/>
      <c r="P435" s="44"/>
      <c r="Q435" s="44"/>
      <c r="R435" s="44"/>
    </row>
    <row r="436" spans="1:18" hidden="1" x14ac:dyDescent="0.35">
      <c r="A436" s="59" t="s">
        <v>107</v>
      </c>
      <c r="B436" s="8" t="s">
        <v>202</v>
      </c>
      <c r="C436" s="30" t="s">
        <v>201</v>
      </c>
      <c r="D436" s="30"/>
      <c r="E436" s="30"/>
      <c r="F436" s="39">
        <v>0.3</v>
      </c>
      <c r="G436" s="30" t="str">
        <f>CONCATENATE("USD,FLAT ",TEXT(F436,"0.00"))</f>
        <v>USD,FLAT 0.30</v>
      </c>
      <c r="H436" s="36">
        <f>K436/J436</f>
        <v>0.3</v>
      </c>
      <c r="I436" s="30" t="s">
        <v>22</v>
      </c>
      <c r="J436" s="32">
        <v>1</v>
      </c>
      <c r="K436" s="39">
        <f>J436*F436</f>
        <v>0.3</v>
      </c>
      <c r="L436" s="30" t="str">
        <f>TEXT(IFERROR(((K436-K437)/K437*100),"0.00"),"0.00")</f>
        <v>0.00</v>
      </c>
      <c r="M436" s="36">
        <f>(10+J436*3)</f>
        <v>13</v>
      </c>
      <c r="N436" s="35" t="s">
        <v>54</v>
      </c>
      <c r="O436" s="30" t="s">
        <v>213</v>
      </c>
      <c r="P436" s="30" t="s">
        <v>549</v>
      </c>
      <c r="Q436" s="30"/>
      <c r="R436" s="30"/>
    </row>
    <row r="437" spans="1:18" hidden="1" x14ac:dyDescent="0.35">
      <c r="A437" s="8"/>
      <c r="B437" s="8"/>
      <c r="C437" s="33" t="s">
        <v>196</v>
      </c>
      <c r="D437" s="33"/>
      <c r="E437" s="33"/>
      <c r="F437" s="33"/>
      <c r="G437" s="33"/>
      <c r="H437" s="38" t="str">
        <f>IFERROR(K437/J437,"0")</f>
        <v>0</v>
      </c>
      <c r="I437" s="33"/>
      <c r="J437" s="34"/>
      <c r="K437" s="40"/>
      <c r="L437" s="33"/>
      <c r="M437" s="33"/>
      <c r="N437" s="33"/>
      <c r="O437" s="33"/>
      <c r="P437" s="33"/>
      <c r="Q437" s="33"/>
      <c r="R437" s="33"/>
    </row>
    <row r="438" spans="1:18" hidden="1" x14ac:dyDescent="0.35">
      <c r="A438" s="8"/>
      <c r="B438" s="8"/>
      <c r="C438" s="43" t="s">
        <v>197</v>
      </c>
      <c r="D438" s="43"/>
      <c r="E438" s="43"/>
      <c r="F438" s="43"/>
      <c r="G438" s="43"/>
      <c r="H438" s="43"/>
      <c r="I438" s="43"/>
      <c r="J438" s="43"/>
      <c r="K438" s="45"/>
      <c r="L438" s="43"/>
      <c r="M438" s="43"/>
      <c r="N438" s="43"/>
      <c r="O438" s="43"/>
      <c r="P438" s="43"/>
      <c r="Q438" s="43"/>
      <c r="R438" s="43"/>
    </row>
    <row r="439" spans="1:18" hidden="1" x14ac:dyDescent="0.35">
      <c r="A439" s="8"/>
      <c r="B439" s="8"/>
      <c r="C439" s="44" t="s">
        <v>198</v>
      </c>
      <c r="D439" s="44"/>
      <c r="E439" s="44"/>
      <c r="F439" s="44"/>
      <c r="G439" s="44"/>
      <c r="H439" s="44"/>
      <c r="I439" s="44"/>
      <c r="J439" s="44"/>
      <c r="K439" s="46"/>
      <c r="L439" s="44"/>
      <c r="M439" s="44"/>
      <c r="N439" s="44"/>
      <c r="O439" s="44"/>
      <c r="P439" s="44"/>
      <c r="Q439" s="44"/>
      <c r="R439" s="44"/>
    </row>
    <row r="440" spans="1:18" hidden="1" x14ac:dyDescent="0.35">
      <c r="A440" s="59" t="s">
        <v>107</v>
      </c>
      <c r="B440" s="8" t="s">
        <v>4</v>
      </c>
      <c r="C440" s="30" t="s">
        <v>201</v>
      </c>
      <c r="D440" s="30"/>
      <c r="E440" s="30"/>
      <c r="F440" s="39">
        <v>6.67</v>
      </c>
      <c r="G440" s="30" t="str">
        <f>CONCATENATE("USD,FLAT ",TEXT(F440,"0.00"))</f>
        <v>USD,FLAT 6.67</v>
      </c>
      <c r="H440" s="36">
        <f>K440/J440</f>
        <v>6.67</v>
      </c>
      <c r="I440" s="30" t="s">
        <v>22</v>
      </c>
      <c r="J440" s="32">
        <v>1</v>
      </c>
      <c r="K440" s="39">
        <f>J440*F440</f>
        <v>6.67</v>
      </c>
      <c r="L440" s="39" t="str">
        <f>IFERROR(((K440-K441)/K441*100),"0.00")</f>
        <v>0.00</v>
      </c>
      <c r="M440" s="36">
        <f>(10+J440*3)</f>
        <v>13</v>
      </c>
      <c r="N440" s="35" t="s">
        <v>54</v>
      </c>
      <c r="O440" s="30" t="s">
        <v>213</v>
      </c>
      <c r="P440" s="30" t="s">
        <v>549</v>
      </c>
      <c r="Q440" s="30"/>
      <c r="R440" s="30"/>
    </row>
    <row r="441" spans="1:18" hidden="1" x14ac:dyDescent="0.35">
      <c r="A441" s="8"/>
      <c r="B441" s="8"/>
      <c r="C441" s="33" t="s">
        <v>196</v>
      </c>
      <c r="D441" s="33"/>
      <c r="E441" s="33"/>
      <c r="F441" s="33"/>
      <c r="G441" s="33"/>
      <c r="H441" s="38" t="str">
        <f>IFERROR(K441/J441,"0")</f>
        <v>0</v>
      </c>
      <c r="I441" s="33"/>
      <c r="J441" s="34"/>
      <c r="K441" s="40"/>
      <c r="L441" s="33"/>
      <c r="M441" s="33"/>
      <c r="N441" s="33"/>
      <c r="O441" s="33"/>
      <c r="P441" s="33"/>
      <c r="Q441" s="33"/>
      <c r="R441" s="33"/>
    </row>
    <row r="442" spans="1:18" hidden="1" x14ac:dyDescent="0.35">
      <c r="A442" s="8"/>
      <c r="B442" s="8"/>
      <c r="C442" s="43" t="s">
        <v>197</v>
      </c>
      <c r="D442" s="43"/>
      <c r="E442" s="43"/>
      <c r="F442" s="43"/>
      <c r="G442" s="43"/>
      <c r="H442" s="43"/>
      <c r="I442" s="43"/>
      <c r="J442" s="43"/>
      <c r="K442" s="45"/>
      <c r="L442" s="43"/>
      <c r="M442" s="43"/>
      <c r="N442" s="43"/>
      <c r="O442" s="43"/>
      <c r="P442" s="43"/>
      <c r="Q442" s="43"/>
      <c r="R442" s="43"/>
    </row>
    <row r="443" spans="1:18" hidden="1" x14ac:dyDescent="0.35">
      <c r="A443" s="8"/>
      <c r="B443" s="8"/>
      <c r="C443" s="44" t="s">
        <v>198</v>
      </c>
      <c r="D443" s="44"/>
      <c r="E443" s="44"/>
      <c r="F443" s="44"/>
      <c r="G443" s="44"/>
      <c r="H443" s="44"/>
      <c r="I443" s="44"/>
      <c r="J443" s="44"/>
      <c r="K443" s="46"/>
      <c r="L443" s="44"/>
      <c r="M443" s="44"/>
      <c r="N443" s="44"/>
      <c r="O443" s="44"/>
      <c r="P443" s="44"/>
      <c r="Q443" s="44"/>
      <c r="R443" s="44"/>
    </row>
    <row r="444" spans="1:18" x14ac:dyDescent="0.35">
      <c r="A444" s="59" t="s">
        <v>108</v>
      </c>
      <c r="B444" s="8"/>
      <c r="C444" s="30" t="s">
        <v>201</v>
      </c>
      <c r="D444" s="30"/>
      <c r="E444" s="30"/>
      <c r="F444" s="39">
        <v>0.32</v>
      </c>
      <c r="G444" s="30" t="str">
        <f>CONCATENATE("USD,FLAT ",TEXT(F444,"0.00"))</f>
        <v>USD,FLAT 0.32</v>
      </c>
      <c r="H444" s="36">
        <f>K444/J444</f>
        <v>0.32</v>
      </c>
      <c r="I444" s="30" t="s">
        <v>22</v>
      </c>
      <c r="J444" s="32">
        <v>1</v>
      </c>
      <c r="K444" s="39">
        <f>J444*F444</f>
        <v>0.32</v>
      </c>
      <c r="L444" s="30" t="str">
        <f>TEXT(IFERROR(((K444-K445)/K445*100),"0.00"),"0.00")</f>
        <v>0.00</v>
      </c>
      <c r="M444" s="36">
        <f>(10+J444*3)</f>
        <v>13</v>
      </c>
      <c r="N444" s="35" t="s">
        <v>54</v>
      </c>
      <c r="O444" s="30" t="s">
        <v>213</v>
      </c>
      <c r="P444" s="30" t="s">
        <v>549</v>
      </c>
      <c r="Q444" s="30"/>
      <c r="R444" s="30"/>
    </row>
    <row r="445" spans="1:18" x14ac:dyDescent="0.35">
      <c r="A445" s="8"/>
      <c r="B445" s="8"/>
      <c r="C445" s="33" t="s">
        <v>196</v>
      </c>
      <c r="D445" s="33"/>
      <c r="E445" s="33"/>
      <c r="F445" s="33"/>
      <c r="G445" s="33"/>
      <c r="H445" s="38" t="str">
        <f>IFERROR(K445/J445,"0")</f>
        <v>0</v>
      </c>
      <c r="I445" s="33"/>
      <c r="J445" s="34"/>
      <c r="K445" s="40"/>
      <c r="L445" s="33"/>
      <c r="M445" s="33"/>
      <c r="N445" s="33"/>
      <c r="O445" s="33"/>
      <c r="P445" s="33"/>
      <c r="Q445" s="33"/>
      <c r="R445" s="33"/>
    </row>
    <row r="446" spans="1:18" x14ac:dyDescent="0.35">
      <c r="A446" s="8"/>
      <c r="B446" s="8"/>
      <c r="C446" s="43" t="s">
        <v>197</v>
      </c>
      <c r="D446" s="43"/>
      <c r="E446" s="43"/>
      <c r="F446" s="43"/>
      <c r="G446" s="43"/>
      <c r="H446" s="43"/>
      <c r="I446" s="43"/>
      <c r="J446" s="43"/>
      <c r="K446" s="45"/>
      <c r="L446" s="43"/>
      <c r="M446" s="43"/>
      <c r="N446" s="43"/>
      <c r="O446" s="43"/>
      <c r="P446" s="43"/>
      <c r="Q446" s="43"/>
      <c r="R446" s="43"/>
    </row>
    <row r="447" spans="1:18" x14ac:dyDescent="0.35">
      <c r="A447" s="8"/>
      <c r="B447" s="8"/>
      <c r="C447" s="44" t="s">
        <v>198</v>
      </c>
      <c r="D447" s="44"/>
      <c r="E447" s="44"/>
      <c r="F447" s="44"/>
      <c r="G447" s="44"/>
      <c r="H447" s="44"/>
      <c r="I447" s="44"/>
      <c r="J447" s="44"/>
      <c r="K447" s="46"/>
      <c r="L447" s="44"/>
      <c r="M447" s="44"/>
      <c r="N447" s="44"/>
      <c r="O447" s="44"/>
      <c r="P447" s="44"/>
      <c r="Q447" s="44"/>
      <c r="R447" s="44"/>
    </row>
    <row r="448" spans="1:18" hidden="1" x14ac:dyDescent="0.35">
      <c r="A448" s="59" t="s">
        <v>109</v>
      </c>
      <c r="B448" s="8"/>
      <c r="C448" s="30" t="s">
        <v>201</v>
      </c>
      <c r="D448" s="30"/>
      <c r="E448" s="30"/>
      <c r="F448" s="39">
        <v>0.6</v>
      </c>
      <c r="G448" s="30" t="str">
        <f>CONCATENATE("USD,FLAT ",TEXT(F448,"0.00"))</f>
        <v>USD,FLAT 0.60</v>
      </c>
      <c r="H448" s="36">
        <f>K448/J448</f>
        <v>0.6</v>
      </c>
      <c r="I448" s="30" t="s">
        <v>22</v>
      </c>
      <c r="J448" s="32">
        <v>1</v>
      </c>
      <c r="K448" s="39">
        <f>J448*F448</f>
        <v>0.6</v>
      </c>
      <c r="L448" s="30" t="str">
        <f>TEXT(IFERROR(((K448-K449)/K449*100),"0.00"),"0.00")</f>
        <v>0.00</v>
      </c>
      <c r="M448" s="36">
        <f>(10+J448*3)</f>
        <v>13</v>
      </c>
      <c r="N448" s="35" t="s">
        <v>54</v>
      </c>
      <c r="O448" s="30" t="s">
        <v>213</v>
      </c>
      <c r="P448" s="30" t="s">
        <v>549</v>
      </c>
      <c r="Q448" s="30"/>
      <c r="R448" s="30"/>
    </row>
    <row r="449" spans="1:18" hidden="1" x14ac:dyDescent="0.35">
      <c r="A449" s="8"/>
      <c r="B449" s="8"/>
      <c r="C449" s="33" t="s">
        <v>196</v>
      </c>
      <c r="D449" s="33"/>
      <c r="E449" s="33"/>
      <c r="F449" s="33"/>
      <c r="G449" s="33"/>
      <c r="H449" s="38" t="str">
        <f>IFERROR(K449/J449,"0")</f>
        <v>0</v>
      </c>
      <c r="I449" s="33"/>
      <c r="J449" s="34"/>
      <c r="K449" s="40"/>
      <c r="L449" s="33"/>
      <c r="M449" s="33"/>
      <c r="N449" s="33"/>
      <c r="O449" s="33"/>
      <c r="P449" s="33"/>
      <c r="Q449" s="33"/>
      <c r="R449" s="33"/>
    </row>
    <row r="450" spans="1:18" hidden="1" x14ac:dyDescent="0.35">
      <c r="A450" s="8"/>
      <c r="B450" s="8"/>
      <c r="C450" s="43" t="s">
        <v>197</v>
      </c>
      <c r="D450" s="43"/>
      <c r="E450" s="43"/>
      <c r="F450" s="43"/>
      <c r="G450" s="43"/>
      <c r="H450" s="43"/>
      <c r="I450" s="43"/>
      <c r="J450" s="43"/>
      <c r="K450" s="45"/>
      <c r="L450" s="43"/>
      <c r="M450" s="43"/>
      <c r="N450" s="43"/>
      <c r="O450" s="43"/>
      <c r="P450" s="43"/>
      <c r="Q450" s="43"/>
      <c r="R450" s="43"/>
    </row>
    <row r="451" spans="1:18" hidden="1" x14ac:dyDescent="0.35">
      <c r="A451" s="8"/>
      <c r="B451" s="8"/>
      <c r="C451" s="44" t="s">
        <v>198</v>
      </c>
      <c r="D451" s="44"/>
      <c r="E451" s="44"/>
      <c r="F451" s="44"/>
      <c r="G451" s="44"/>
      <c r="H451" s="44"/>
      <c r="I451" s="44"/>
      <c r="J451" s="44"/>
      <c r="K451" s="46"/>
      <c r="L451" s="44"/>
      <c r="M451" s="44"/>
      <c r="N451" s="44"/>
      <c r="O451" s="44"/>
      <c r="P451" s="44"/>
      <c r="Q451" s="44"/>
      <c r="R451" s="44"/>
    </row>
    <row r="452" spans="1:18" hidden="1" x14ac:dyDescent="0.35">
      <c r="A452" s="59" t="s">
        <v>110</v>
      </c>
      <c r="B452" s="47"/>
      <c r="C452" s="30" t="s">
        <v>201</v>
      </c>
      <c r="D452" s="30"/>
      <c r="E452" s="30"/>
      <c r="F452" s="30">
        <v>16.670000000000002</v>
      </c>
      <c r="G452" s="30" t="str">
        <f>CONCATENATE("USD,FLAT ",TEXT(F452,"0.00"))</f>
        <v>USD,FLAT 16.67</v>
      </c>
      <c r="H452" s="36">
        <f>K452/J452</f>
        <v>16.670000000000002</v>
      </c>
      <c r="I452" s="30" t="s">
        <v>22</v>
      </c>
      <c r="J452" s="32">
        <v>1</v>
      </c>
      <c r="K452" s="39">
        <f>J452*F452</f>
        <v>16.670000000000002</v>
      </c>
      <c r="L452" s="30" t="str">
        <f>TEXT(IFERROR(((K452-K453)/K453*100),"0.00"),"0.00")</f>
        <v>0.00</v>
      </c>
      <c r="M452" s="36">
        <f>(10+J452*3)</f>
        <v>13</v>
      </c>
      <c r="N452" s="35" t="s">
        <v>54</v>
      </c>
      <c r="O452" s="30" t="s">
        <v>213</v>
      </c>
      <c r="P452" s="30" t="s">
        <v>549</v>
      </c>
      <c r="Q452" s="30"/>
      <c r="R452" s="30"/>
    </row>
    <row r="453" spans="1:18" hidden="1" x14ac:dyDescent="0.35">
      <c r="A453" s="8"/>
      <c r="B453" s="47"/>
      <c r="C453" s="33" t="s">
        <v>196</v>
      </c>
      <c r="D453" s="33"/>
      <c r="E453" s="33"/>
      <c r="F453" s="33"/>
      <c r="G453" s="33"/>
      <c r="H453" s="38" t="str">
        <f>IFERROR(K453/J453,"0")</f>
        <v>0</v>
      </c>
      <c r="I453" s="33"/>
      <c r="J453" s="34"/>
      <c r="K453" s="40"/>
      <c r="L453" s="33"/>
      <c r="M453" s="33"/>
      <c r="N453" s="33"/>
      <c r="O453" s="33"/>
      <c r="P453" s="33"/>
      <c r="Q453" s="33"/>
      <c r="R453" s="33"/>
    </row>
    <row r="454" spans="1:18" hidden="1" x14ac:dyDescent="0.35">
      <c r="A454" s="8"/>
      <c r="B454" s="47"/>
      <c r="C454" s="43" t="s">
        <v>197</v>
      </c>
      <c r="D454" s="43"/>
      <c r="E454" s="43"/>
      <c r="F454" s="43"/>
      <c r="G454" s="43"/>
      <c r="H454" s="43"/>
      <c r="I454" s="43"/>
      <c r="J454" s="43"/>
      <c r="K454" s="45"/>
      <c r="L454" s="43"/>
      <c r="M454" s="43"/>
      <c r="N454" s="43"/>
      <c r="O454" s="43"/>
      <c r="P454" s="43"/>
      <c r="Q454" s="43"/>
      <c r="R454" s="43"/>
    </row>
    <row r="455" spans="1:18" hidden="1" x14ac:dyDescent="0.35">
      <c r="A455" s="8"/>
      <c r="B455" s="47"/>
      <c r="C455" s="44" t="s">
        <v>198</v>
      </c>
      <c r="D455" s="44"/>
      <c r="E455" s="44"/>
      <c r="F455" s="44"/>
      <c r="G455" s="44"/>
      <c r="H455" s="44"/>
      <c r="I455" s="44"/>
      <c r="J455" s="44"/>
      <c r="K455" s="46"/>
      <c r="L455" s="44"/>
      <c r="M455" s="44"/>
      <c r="N455" s="44"/>
      <c r="O455" s="44"/>
      <c r="P455" s="44"/>
      <c r="Q455" s="44"/>
      <c r="R455" s="44"/>
    </row>
    <row r="457" spans="1:18" x14ac:dyDescent="0.35">
      <c r="A457" s="251" t="s">
        <v>221</v>
      </c>
      <c r="B457" s="252"/>
      <c r="C457" s="252"/>
      <c r="D457" s="252"/>
      <c r="E457" s="252"/>
      <c r="F457" s="252"/>
      <c r="G457" s="252"/>
      <c r="H457" s="252"/>
    </row>
    <row r="458" spans="1:18" x14ac:dyDescent="0.35">
      <c r="A458" s="24" t="s">
        <v>1</v>
      </c>
      <c r="B458" s="24" t="s">
        <v>0</v>
      </c>
      <c r="C458" s="24" t="s">
        <v>204</v>
      </c>
      <c r="D458" s="24" t="s">
        <v>216</v>
      </c>
      <c r="E458" s="24" t="s">
        <v>227</v>
      </c>
      <c r="F458" s="24" t="s">
        <v>228</v>
      </c>
      <c r="G458" s="24" t="s">
        <v>217</v>
      </c>
      <c r="H458" s="24" t="s">
        <v>218</v>
      </c>
    </row>
    <row r="459" spans="1:18" x14ac:dyDescent="0.35">
      <c r="A459" s="21">
        <f>C271</f>
        <v>0</v>
      </c>
      <c r="B459" s="23">
        <f>B271</f>
        <v>0</v>
      </c>
      <c r="C459" s="21" t="s">
        <v>219</v>
      </c>
      <c r="D459" s="55">
        <f>((E459-G459)/G459*100)</f>
        <v>942.53432561728391</v>
      </c>
      <c r="E459" s="56">
        <f>K388+(C168+C169)</f>
        <v>6755622.4299999997</v>
      </c>
      <c r="F459" s="56">
        <f>M388+(C170+C171)</f>
        <v>1010169</v>
      </c>
      <c r="G459" s="56">
        <f>K389</f>
        <v>648000</v>
      </c>
      <c r="H459" s="56">
        <f>M389</f>
        <v>144010</v>
      </c>
    </row>
    <row r="461" spans="1:18" x14ac:dyDescent="0.35">
      <c r="A461" s="251" t="s">
        <v>220</v>
      </c>
      <c r="B461" s="252"/>
      <c r="C461" s="252"/>
      <c r="D461" s="252"/>
      <c r="E461" s="252"/>
      <c r="F461" s="252"/>
      <c r="G461" s="252"/>
      <c r="H461" s="252"/>
      <c r="I461" s="252"/>
      <c r="J461" s="252"/>
    </row>
    <row r="462" spans="1:18" x14ac:dyDescent="0.35">
      <c r="A462" s="253" t="s">
        <v>222</v>
      </c>
      <c r="B462" s="262" t="s">
        <v>225</v>
      </c>
      <c r="C462" s="263"/>
      <c r="D462" s="263"/>
      <c r="E462" s="264"/>
      <c r="F462" s="262" t="s">
        <v>226</v>
      </c>
      <c r="G462" s="263"/>
      <c r="H462" s="263"/>
      <c r="I462" s="264"/>
      <c r="J462" s="265" t="s">
        <v>224</v>
      </c>
    </row>
    <row r="463" spans="1:18" x14ac:dyDescent="0.35">
      <c r="A463" s="254"/>
      <c r="B463" s="24" t="s">
        <v>187</v>
      </c>
      <c r="C463" s="24" t="s">
        <v>189</v>
      </c>
      <c r="D463" s="24" t="s">
        <v>223</v>
      </c>
      <c r="E463" s="24" t="s">
        <v>229</v>
      </c>
      <c r="F463" s="24" t="s">
        <v>187</v>
      </c>
      <c r="G463" s="24" t="s">
        <v>189</v>
      </c>
      <c r="H463" s="24" t="s">
        <v>223</v>
      </c>
      <c r="I463" s="24" t="s">
        <v>229</v>
      </c>
      <c r="J463" s="266"/>
    </row>
    <row r="464" spans="1:18" x14ac:dyDescent="0.35">
      <c r="A464" s="21"/>
      <c r="B464" s="56">
        <f>E459</f>
        <v>6755622.4299999997</v>
      </c>
      <c r="C464" s="56">
        <f>F459</f>
        <v>1010169</v>
      </c>
      <c r="D464" s="56">
        <f>B464-C464</f>
        <v>5745453.4299999997</v>
      </c>
      <c r="E464" s="55">
        <f>((B464-C464)/B464*100)</f>
        <v>85.046988483043449</v>
      </c>
      <c r="F464" s="56">
        <f>G459</f>
        <v>648000</v>
      </c>
      <c r="G464" s="56">
        <f>H459</f>
        <v>144010</v>
      </c>
      <c r="H464" s="56">
        <f>F464-G464</f>
        <v>503990</v>
      </c>
      <c r="I464" s="55">
        <f>((F464-G464)/F464*100)</f>
        <v>77.776234567901241</v>
      </c>
      <c r="J464" s="55">
        <f>((B464-F464)/F464*100)</f>
        <v>942.53432561728391</v>
      </c>
    </row>
    <row r="466" spans="1:12" x14ac:dyDescent="0.35">
      <c r="A466" s="57" t="s">
        <v>153</v>
      </c>
      <c r="B466" s="58"/>
      <c r="C466" s="58"/>
    </row>
    <row r="467" spans="1:12" x14ac:dyDescent="0.35">
      <c r="A467" s="24" t="s">
        <v>153</v>
      </c>
      <c r="B467" s="24" t="s">
        <v>162</v>
      </c>
      <c r="C467" s="24" t="s">
        <v>163</v>
      </c>
      <c r="D467" s="24" t="s">
        <v>542</v>
      </c>
      <c r="E467" s="24" t="s">
        <v>137</v>
      </c>
      <c r="F467" s="24" t="s">
        <v>55</v>
      </c>
      <c r="G467" s="24" t="s">
        <v>56</v>
      </c>
      <c r="H467" s="24" t="s">
        <v>543</v>
      </c>
      <c r="I467" s="24" t="s">
        <v>544</v>
      </c>
      <c r="J467" s="24" t="s">
        <v>158</v>
      </c>
      <c r="K467" s="24" t="s">
        <v>134</v>
      </c>
      <c r="L467" s="24" t="s">
        <v>132</v>
      </c>
    </row>
    <row r="468" spans="1:12" ht="72.5" x14ac:dyDescent="0.35">
      <c r="A468" s="26" t="s">
        <v>154</v>
      </c>
      <c r="B468" s="27" t="s">
        <v>240</v>
      </c>
      <c r="C468" s="27" t="s">
        <v>240</v>
      </c>
      <c r="D468" s="27" t="s">
        <v>148</v>
      </c>
      <c r="E468" s="27" t="s">
        <v>148</v>
      </c>
      <c r="F468" s="27"/>
      <c r="G468" s="27"/>
      <c r="H468" s="27"/>
      <c r="I468" s="27"/>
      <c r="J468" s="165">
        <v>44380</v>
      </c>
      <c r="K468" s="165">
        <v>44380</v>
      </c>
      <c r="L468" s="27" t="s">
        <v>4</v>
      </c>
    </row>
  </sheetData>
  <mergeCells count="59">
    <mergeCell ref="A279:C279"/>
    <mergeCell ref="A281:L281"/>
    <mergeCell ref="A283:E283"/>
    <mergeCell ref="A297:L297"/>
    <mergeCell ref="A299:E299"/>
    <mergeCell ref="A462:A463"/>
    <mergeCell ref="B462:E462"/>
    <mergeCell ref="F462:I462"/>
    <mergeCell ref="J462:J463"/>
    <mergeCell ref="A301:E301"/>
    <mergeCell ref="A372:J372"/>
    <mergeCell ref="A386:E386"/>
    <mergeCell ref="A457:H457"/>
    <mergeCell ref="A461:J461"/>
    <mergeCell ref="A373:A374"/>
    <mergeCell ref="B373:E373"/>
    <mergeCell ref="F373:H373"/>
    <mergeCell ref="I373:L373"/>
    <mergeCell ref="A376:H376"/>
    <mergeCell ref="A385:E385"/>
    <mergeCell ref="A264:H264"/>
    <mergeCell ref="A166:H166"/>
    <mergeCell ref="A175:E175"/>
    <mergeCell ref="A176:J176"/>
    <mergeCell ref="A177:A178"/>
    <mergeCell ref="B177:E177"/>
    <mergeCell ref="F177:I177"/>
    <mergeCell ref="J177:J178"/>
    <mergeCell ref="A180:H180"/>
    <mergeCell ref="A188:L188"/>
    <mergeCell ref="A190:E190"/>
    <mergeCell ref="A260:J260"/>
    <mergeCell ref="A261:A262"/>
    <mergeCell ref="B261:E261"/>
    <mergeCell ref="F261:I261"/>
    <mergeCell ref="J261:J262"/>
    <mergeCell ref="A83:E83"/>
    <mergeCell ref="A154:H154"/>
    <mergeCell ref="A158:J158"/>
    <mergeCell ref="A159:A160"/>
    <mergeCell ref="B159:E159"/>
    <mergeCell ref="F159:I159"/>
    <mergeCell ref="J159:J160"/>
    <mergeCell ref="A82:E82"/>
    <mergeCell ref="A32:J32"/>
    <mergeCell ref="A42:D42"/>
    <mergeCell ref="A48:D48"/>
    <mergeCell ref="A57:K57"/>
    <mergeCell ref="A59:D59"/>
    <mergeCell ref="A63:R63"/>
    <mergeCell ref="A67:R67"/>
    <mergeCell ref="A71:E71"/>
    <mergeCell ref="A77:E77"/>
    <mergeCell ref="A28:C28"/>
    <mergeCell ref="A1:J1"/>
    <mergeCell ref="B2:E2"/>
    <mergeCell ref="A6:J6"/>
    <mergeCell ref="A10:H10"/>
    <mergeCell ref="A14:G14"/>
  </mergeCells>
  <dataValidations count="4">
    <dataValidation type="list" allowBlank="1" showInputMessage="1" showErrorMessage="1" sqref="C156 C182 C266 C378 C459">
      <formula1>"APPROVED, PENDING FOR APPROVAL, ERROR, ,"</formula1>
    </dataValidation>
    <dataValidation type="list" allowBlank="1" showInputMessage="1" showErrorMessage="1" sqref="C89 C93 C97 C107 C111 C115 C121 C125 C141 C145 C149 C129 C133 C137 C119 C105 C87 C85 C101 C192 C194 C14 C244 C28 C240 C218 C222 C228 C232 C214 C248 C252 C256 C236 C226 C6 C212 C208 C196 C200 C204 C303 C305 C355 C351 C329 C333 C339 C343 C325 C359 C363 C367 C347 C337 C323 C319 C307 C311 C315 C277 C287 C291 C295 C285 C392 C396 C400 C410 C414 C418 C424 C428 C444 C448 C452 C432 C436 C440 C422 C408 C390 C388 C404">
      <formula1>"Projected,Original,Seasonal,Recommended"</formula1>
    </dataValidation>
    <dataValidation type="list" allowBlank="1" showInputMessage="1" showErrorMessage="1" sqref="C90:C92 C94:C96 C86 C108:C110 C112:C114 C116:C118 C122:C124 C142:C144 C146:C148 C150:C152 C126:C128 C130:C132 C134:C136 C138:C140 C120 C106 C88 C98:C100 C102:C104 C195 C10 C201:C203 C241:C243 C215:C217 C237:C239 C219:C221 C193 C223:C225 C32 C229:C231 C249:C251 C253:C255 C257:C259 C233:C235 C245:C247 C205:C207 C227 C213 C197:C199 C209:C211 C42 C306 C320:C322 C352:C354 C326:C328 C348:C350 C330:C332 C304 C334:C336 C340:C342 C360:C362 C364:C366 C368:C370 C344:C346 C356:C358 C312:C314 C338 C324 C308:C310 C316:C318 C278 C280 C296 C288:C290 C292:C294 C286 C393:C395 C397:C399 C389 C411:C413 C415:C417 C419:C421 C425:C427 C445:C447 C449:C451 C453:C455 C429:C431 C433:C435 C437:C439 C441:C443 C423 C409 C391 C401:C403 C405:C407">
      <formula1>"Proposed,Original,Seasonal,Recommended"</formula1>
    </dataValidation>
    <dataValidation type="list" allowBlank="1" showInputMessage="1" showErrorMessage="1" sqref="L65:N65 N69 N165 N468">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4.5" x14ac:dyDescent="0.35"/>
  <cols>
    <col min="1" max="1" width="67.81640625" customWidth="1"/>
  </cols>
  <sheetData>
    <row r="1" spans="1:1" x14ac:dyDescent="0.35">
      <c r="A1"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Pre-requisites</vt:lpstr>
      <vt:lpstr>TC-Existing customer</vt:lpstr>
      <vt:lpstr>TC_Existing Account</vt:lpstr>
      <vt:lpstr>Currency Conversion - Deal </vt:lpstr>
      <vt:lpstr>UC01 - CALCULATOIN</vt:lpstr>
      <vt:lpstr>Deal- Contracted data</vt:lpstr>
      <vt:lpstr>Bug_ID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2022-04-25T11:53:57Z</dcterms:modified>
</cp:coreProperties>
</file>