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J244" i="2" l="1"/>
  <c r="K244" i="2" l="1"/>
  <c r="D238" i="2"/>
  <c r="K238" i="2"/>
  <c r="J238" i="2"/>
  <c r="I238" i="2"/>
  <c r="G238" i="2"/>
  <c r="I244" i="2"/>
  <c r="G244" i="2"/>
  <c r="F244" i="2"/>
  <c r="E244" i="2"/>
  <c r="F238" i="2"/>
  <c r="D244" i="2"/>
  <c r="C244" i="2"/>
  <c r="E238" i="2"/>
  <c r="A263" i="2" l="1"/>
  <c r="A262" i="2"/>
  <c r="A261" i="2"/>
  <c r="A260" i="2"/>
  <c r="A259" i="2"/>
  <c r="A258" i="2"/>
  <c r="A257" i="2"/>
  <c r="A256" i="2"/>
  <c r="A255" i="2"/>
  <c r="A254" i="2"/>
  <c r="A253" i="2"/>
  <c r="A252" i="2"/>
  <c r="A251" i="2"/>
  <c r="A250" i="2"/>
  <c r="A249" i="2"/>
  <c r="A248" i="2"/>
  <c r="H244" i="2" l="1"/>
  <c r="J232" i="2"/>
  <c r="I218" i="2" l="1"/>
  <c r="F224" i="2"/>
  <c r="E224" i="2"/>
  <c r="C224" i="2"/>
  <c r="E218" i="2"/>
  <c r="K224" i="2"/>
  <c r="D218" i="2"/>
  <c r="H184" i="2" l="1"/>
  <c r="K184" i="2"/>
  <c r="K177" i="2"/>
  <c r="H177" i="2"/>
  <c r="K170" i="2" l="1"/>
  <c r="H170" i="2"/>
  <c r="H163" i="2"/>
  <c r="K163" i="2"/>
  <c r="K156" i="2"/>
  <c r="H156" i="2"/>
  <c r="E124" i="2" l="1"/>
  <c r="C124" i="2"/>
  <c r="I130" i="2" l="1"/>
  <c r="K124" i="2"/>
  <c r="K136" i="2"/>
  <c r="D130" i="2"/>
  <c r="F136" i="2"/>
  <c r="F124" i="2"/>
  <c r="E136" i="2"/>
  <c r="D124" i="2"/>
  <c r="C136" i="2"/>
  <c r="E130" i="2"/>
  <c r="J124" i="2"/>
  <c r="I124" i="2"/>
  <c r="H124" i="2"/>
  <c r="G124" i="2"/>
  <c r="I103" i="2" l="1"/>
  <c r="E103" i="2"/>
  <c r="C97" i="2"/>
  <c r="E109" i="2" l="1"/>
  <c r="D103" i="2"/>
  <c r="K109" i="2"/>
  <c r="K97" i="2"/>
  <c r="E97" i="2"/>
  <c r="C109" i="2"/>
  <c r="M118" i="2" l="1"/>
  <c r="L118" i="2"/>
  <c r="H118" i="2"/>
  <c r="G118" i="2"/>
  <c r="H86" i="2" l="1"/>
  <c r="A238" i="2" l="1"/>
  <c r="L238" i="2"/>
  <c r="H238" i="2"/>
  <c r="G86" i="2" l="1"/>
  <c r="D193" i="2" l="1"/>
  <c r="D192" i="2"/>
  <c r="D186" i="2"/>
  <c r="D185" i="2"/>
  <c r="D179" i="2"/>
  <c r="D178" i="2"/>
  <c r="D172" i="2"/>
  <c r="D171" i="2"/>
  <c r="D164" i="2" l="1"/>
  <c r="D157" i="2"/>
  <c r="D165" i="2" l="1"/>
  <c r="D158" i="2"/>
  <c r="J228" i="2" l="1"/>
  <c r="A218" i="2" l="1"/>
  <c r="J224" i="2" l="1"/>
  <c r="I224" i="2"/>
  <c r="H224" i="2"/>
  <c r="G224" i="2"/>
  <c r="D224" i="2"/>
  <c r="L218" i="2"/>
  <c r="K218" i="2"/>
  <c r="J218" i="2"/>
  <c r="H218" i="2"/>
  <c r="G218" i="2"/>
  <c r="F218" i="2"/>
  <c r="D151" i="2" l="1"/>
  <c r="D152" i="2"/>
  <c r="D204" i="2"/>
  <c r="D203" i="2"/>
  <c r="B118" i="2" l="1"/>
  <c r="C91" i="2" l="1"/>
  <c r="C90" i="2"/>
  <c r="M86" i="2" l="1"/>
  <c r="L86" i="2"/>
  <c r="J71" i="2"/>
  <c r="J212" i="2" l="1"/>
  <c r="U159" i="2" l="1"/>
  <c r="U158" i="2"/>
  <c r="U157" i="2"/>
  <c r="U166" i="2"/>
  <c r="U165" i="2"/>
  <c r="U164" i="2"/>
  <c r="U173" i="2"/>
  <c r="U172" i="2"/>
  <c r="U171" i="2"/>
  <c r="U180" i="2"/>
  <c r="U179" i="2"/>
  <c r="U178" i="2"/>
  <c r="U187" i="2"/>
  <c r="U186" i="2"/>
  <c r="U185" i="2"/>
  <c r="U194" i="2"/>
  <c r="U193" i="2"/>
  <c r="U192" i="2"/>
  <c r="U204" i="2"/>
  <c r="U203" i="2"/>
  <c r="U152" i="2"/>
  <c r="U151" i="2"/>
  <c r="J208" i="2" l="1"/>
  <c r="H192" i="2" l="1"/>
  <c r="M171" i="2"/>
  <c r="G171" i="2"/>
  <c r="M191" i="2" l="1"/>
  <c r="M198" i="2" l="1"/>
  <c r="K198" i="2"/>
  <c r="F198" i="2"/>
  <c r="K191" i="2"/>
  <c r="J191" i="2"/>
  <c r="F191" i="2"/>
  <c r="M202" i="2"/>
  <c r="J202" i="2"/>
  <c r="K202" i="2"/>
  <c r="F202" i="2"/>
  <c r="M156" i="2"/>
  <c r="J156" i="2"/>
  <c r="M163" i="2"/>
  <c r="J163" i="2"/>
  <c r="J170" i="2"/>
  <c r="F170" i="2"/>
  <c r="M177" i="2"/>
  <c r="J177" i="2"/>
  <c r="M184" i="2" l="1"/>
  <c r="J184" i="2"/>
  <c r="M150" i="2" l="1"/>
  <c r="J150" i="2" l="1"/>
  <c r="F150" i="2" l="1"/>
  <c r="B86" i="2" l="1"/>
  <c r="K150" i="2"/>
  <c r="D177" i="2"/>
  <c r="D184" i="2"/>
  <c r="H191" i="2"/>
  <c r="D191" i="2"/>
  <c r="H198" i="2"/>
  <c r="D198" i="2"/>
  <c r="H202" i="2"/>
  <c r="D202" i="2"/>
  <c r="J130" i="2" l="1"/>
  <c r="F130" i="2" l="1"/>
  <c r="D136" i="2"/>
  <c r="J103" i="2" l="1"/>
  <c r="F103" i="2"/>
  <c r="F97" i="2"/>
  <c r="F109" i="2"/>
  <c r="D109" i="2"/>
  <c r="D97" i="2"/>
  <c r="A130" i="2" l="1"/>
  <c r="J140" i="2" l="1"/>
  <c r="J136" i="2"/>
  <c r="I136" i="2"/>
  <c r="H136" i="2"/>
  <c r="G136" i="2"/>
  <c r="L130" i="2"/>
  <c r="K130" i="2"/>
  <c r="H130" i="2"/>
  <c r="G130" i="2"/>
  <c r="A103" i="2" l="1"/>
  <c r="G97" i="2" l="1"/>
  <c r="J109" i="2"/>
  <c r="I109" i="2"/>
  <c r="I97" i="2"/>
  <c r="H109" i="2"/>
  <c r="G109" i="2"/>
  <c r="L103" i="2"/>
  <c r="K103" i="2"/>
  <c r="H103" i="2"/>
  <c r="G103" i="2"/>
  <c r="J97" i="2"/>
  <c r="H97" i="2"/>
  <c r="H91" i="2" l="1"/>
  <c r="H90" i="2"/>
  <c r="B81" i="2"/>
  <c r="D81" i="2"/>
  <c r="H204" i="2" l="1"/>
  <c r="H203" i="2"/>
  <c r="H194" i="2" l="1"/>
  <c r="H193" i="2"/>
  <c r="D187" i="2"/>
  <c r="D180" i="2"/>
  <c r="D194" i="2"/>
  <c r="D170" i="2" l="1"/>
  <c r="M170" i="2"/>
  <c r="G170" i="2"/>
  <c r="D173" i="2"/>
  <c r="M173" i="2"/>
  <c r="G173" i="2"/>
  <c r="G172" i="2"/>
  <c r="D156" i="2"/>
  <c r="D163" i="2"/>
  <c r="M172" i="2"/>
  <c r="D166" i="2"/>
  <c r="D159" i="2" l="1"/>
  <c r="H150" i="2" l="1"/>
  <c r="D150" i="2"/>
  <c r="M152" i="2" l="1"/>
  <c r="J152" i="2"/>
  <c r="H152" i="2"/>
  <c r="M151" i="2"/>
  <c r="J151" i="2"/>
  <c r="K152" i="2" l="1"/>
  <c r="H151" i="2"/>
  <c r="K151" i="2" s="1"/>
  <c r="A145" i="2" l="1"/>
  <c r="A146" i="2"/>
  <c r="A144" i="2"/>
  <c r="J113" i="2" l="1"/>
  <c r="B75" i="2" l="1"/>
  <c r="D75" i="2"/>
  <c r="K75" i="2"/>
  <c r="J75" i="2"/>
  <c r="K74" i="2"/>
  <c r="J74" i="2"/>
  <c r="K73" i="2"/>
  <c r="J73" i="2"/>
  <c r="K72" i="2"/>
  <c r="J72" i="2"/>
  <c r="K71" i="2"/>
  <c r="D73" i="2"/>
  <c r="D74" i="2"/>
  <c r="B74" i="2"/>
  <c r="B73" i="2"/>
  <c r="D72" i="2" l="1"/>
  <c r="D71" i="2"/>
  <c r="B72" i="2"/>
  <c r="B71" i="2"/>
  <c r="B12" i="2" l="1"/>
  <c r="B11" i="2"/>
  <c r="B10" i="2"/>
  <c r="A16" i="2"/>
  <c r="C60" i="2"/>
  <c r="B64" i="2" l="1"/>
  <c r="B66" i="2"/>
  <c r="B65" i="2"/>
  <c r="B67"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4" authorId="0" shapeId="0">
      <text>
        <r>
          <rPr>
            <b/>
            <sz val="9"/>
            <color indexed="81"/>
            <rFont val="Tahoma"/>
            <family val="2"/>
          </rPr>
          <t>Author:</t>
        </r>
        <r>
          <rPr>
            <sz val="9"/>
            <color indexed="81"/>
            <rFont val="Tahoma"/>
            <family val="2"/>
          </rPr>
          <t xml:space="preserve">
SKIP Deal ID in Validation Checkpoint
</t>
        </r>
      </text>
    </comment>
    <comment ref="AM116"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<sst xmlns="http://schemas.openxmlformats.org/spreadsheetml/2006/main" count="1757" uniqueCount="532">
  <si>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</si>
  <si>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</si>
  <si>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</si>
  <si>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</si>
  <si>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</si>
  <si>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</si>
  <si>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</si>
  <si>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</si>
  <si>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</si>
  <si>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</si>
  <si>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</si>
  <si>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</si>
  <si>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</si>
  <si>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</si>
  <si>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</si>
  <si>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</si>
  <si>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</si>
  <si>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</si>
  <si>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</si>
  <si>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</si>
  <si>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</si>
  <si>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</si>
  <si>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</si>
  <si>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</si>
  <si>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</si>
  <si>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</si>
  <si>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</si>
  <si>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</si>
  <si>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</si>
  <si>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</si>
  <si>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</si>
  <si>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</si>
  <si>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</si>
  <si>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</si>
  <si>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</si>
  <si>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</si>
  <si>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</si>
  <si>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</si>
  <si>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</si>
  <si>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</si>
  <si>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</si>
  <si>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</si>
  <si>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</si>
  <si>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</si>
  <si>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</si>
  <si>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</si>
  <si>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</si>
  <si>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</si>
  <si>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</si>
  <si>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</si>
  <si>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</si>
  <si>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</si>
  <si>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</si>
  <si>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</si>
  <si>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</si>
  <si>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</si>
  <si>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</si>
  <si>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</si>
  <si>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</si>
  <si>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</si>
  <si>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</si>
  <si>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</si>
  <si>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</si>
  <si>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</si>
  <si>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</si>
  <si>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</si>
  <si>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</si>
  <si>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</si>
  <si>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</si>
  <si>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</si>
  <si>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</si>
  <si>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</si>
  <si>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</si>
  <si>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</si>
  <si>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</si>
  <si>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</si>
  <si>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</si>
  <si>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</si>
  <si>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</si>
  <si>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</si>
  <si>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</si>
  <si>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</si>
  <si>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</si>
  <si>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</si>
  <si>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</si>
  <si>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</si>
  <si>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</si>
  <si>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</si>
  <si>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</si>
  <si>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</si>
  <si>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</si>
  <si>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</si>
  <si>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</si>
  <si>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</si>
  <si>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</si>
  <si>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</si>
  <si>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</si>
  <si>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</si>
  <si>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</si>
  <si>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</si>
  <si>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</si>
  <si>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</si>
  <si>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</si>
  <si>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</si>
  <si>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</si>
  <si>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</si>
  <si>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</si>
  <si>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</si>
  <si>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</si>
  <si>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</si>
  <si>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</si>
  <si>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</si>
  <si>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</si>
  <si>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</si>
  <si>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</si>
  <si>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</si>
  <si>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</si>
  <si>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</si>
  <si>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</si>
  <si>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</si>
  <si>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</si>
  <si>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</si>
  <si>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</si>
  <si>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</si>
  <si>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</si>
  <si>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</si>
  <si>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</si>
  <si>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</si>
  <si>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</si>
  <si>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</si>
  <si>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</si>
  <si>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</si>
  <si>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</si>
  <si>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</si>
  <si>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</si>
  <si>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</si>
  <si>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</si>
  <si>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</si>
  <si>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</si>
  <si>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</si>
  <si>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</si>
  <si>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</si>
  <si>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</si>
  <si>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</si>
  <si>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</si>
  <si>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</si>
  <si>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</si>
  <si>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</si>
  <si>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</si>
  <si>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</si>
  <si>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</si>
  <si>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</si>
  <si>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</si>
  <si>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</si>
  <si>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</si>
  <si>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</si>
  <si>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</si>
  <si>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</si>
  <si>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</si>
  <si>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</si>
  <si>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</si>
  <si>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</si>
  <si>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</si>
  <si>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</si>
  <si>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</si>
  <si>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</si>
  <si>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</si>
  <si>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</si>
  <si>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</si>
  <si>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</si>
  <si>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</si>
  <si>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</si>
  <si>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</si>
  <si>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</si>
  <si>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</si>
  <si>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</si>
  <si>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</si>
  <si>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</si>
  <si>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</si>
  <si>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</si>
  <si>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</si>
  <si>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</si>
  <si>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</si>
  <si>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</si>
  <si>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</si>
  <si>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</si>
  <si>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</si>
  <si>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</si>
  <si>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</si>
  <si>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</si>
  <si>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</si>
  <si>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</si>
  <si>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</si>
  <si>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</si>
  <si>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</si>
  <si>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</si>
  <si>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</si>
  <si>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</si>
  <si>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</si>
  <si>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</si>
  <si>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</si>
  <si>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</si>
  <si>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</si>
  <si>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</si>
  <si>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</si>
  <si>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</si>
  <si>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</si>
  <si>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</si>
  <si>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</si>
  <si>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</si>
  <si>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</si>
  <si>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</si>
  <si>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</si>
  <si>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</si>
  <si>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</si>
  <si>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</si>
  <si>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</si>
  <si>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</si>
  <si>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</si>
  <si>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</si>
  <si>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</si>
  <si>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</si>
  <si>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</si>
  <si>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</si>
  <si>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</si>
  <si>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</si>
  <si>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</si>
  <si>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</si>
  <si>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</si>
  <si>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</si>
  <si>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</si>
  <si>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</si>
  <si>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</si>
  <si>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</si>
  <si>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</si>
  <si>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</si>
  <si>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</si>
  <si>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</si>
  <si>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</si>
  <si>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</si>
  <si>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</si>
  <si>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</si>
  <si>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</si>
  <si>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</si>
  <si>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</si>
  <si>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</si>
  <si>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</si>
  <si>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</si>
  <si>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</si>
  <si>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</si>
  <si>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</si>
  <si>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</si>
  <si>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</si>
  <si>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</si>
  <si>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</si>
  <si>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</si>
  <si>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</si>
  <si>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</si>
  <si>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</si>
  <si>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</si>
  <si>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</si>
  <si>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</si>
  <si>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</si>
  <si>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</si>
  <si>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</si>
  <si>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</si>
  <si>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</si>
  <si>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</si>
  <si>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</si>
  <si>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</si>
  <si>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</si>
  <si>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</si>
  <si>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</si>
  <si>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</si>
  <si>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</si>
  <si>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</si>
  <si>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</si>
  <si>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</si>
  <si>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</si>
  <si>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</si>
  <si>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</si>
  <si>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</si>
  <si>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</si>
  <si>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</si>
  <si>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</si>
  <si>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</si>
  <si>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</si>
  <si>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</si>
  <si>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</si>
  <si>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</si>
  <si>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</si>
  <si>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</si>
  <si>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</si>
  <si>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</si>
  <si>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</si>
  <si>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</si>
  <si>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</si>
  <si>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</si>
  <si>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</si>
  <si>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</si>
  <si>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</si>
  <si>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</si>
  <si>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</si>
  <si>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</si>
  <si>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</si>
  <si>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</si>
  <si>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</si>
  <si>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</si>
  <si>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</si>
  <si>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</si>
  <si>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</si>
  <si>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</si>
  <si>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</si>
  <si>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</si>
  <si>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</si>
  <si>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</si>
  <si>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</si>
  <si>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</si>
  <si>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</si>
  <si>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</si>
  <si>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</si>
  <si>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</si>
  <si>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</si>
  <si>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</si>
  <si>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</si>
  <si>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</si>
  <si>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</si>
  <si>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</si>
  <si>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</si>
  <si>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</si>
  <si>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</si>
  <si>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</si>
  <si>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</si>
  <si>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</si>
  <si>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</si>
  <si>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</si>
  <si>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</si>
  <si>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</si>
  <si>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</si>
  <si>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</si>
  <si>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</si>
  <si>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</si>
  <si>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</si>
  <si>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</si>
  <si>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</si>
  <si>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</si>
  <si>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</si>
  <si>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</si>
  <si>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</si>
  <si>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</si>
  <si>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</si>
  <si>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</si>
  <si>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</si>
  <si>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</si>
  <si>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</si>
  <si>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</si>
  <si>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</si>
  <si>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</si>
  <si>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</si>
  <si>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</si>
  <si>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</si>
  <si>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</si>
  <si>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</si>
  <si>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</si>
  <si>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</si>
  <si>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</si>
  <si>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</si>
  <si>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</si>
  <si>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</si>
  <si>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</si>
  <si>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</si>
  <si>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</si>
  <si>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</si>
  <si>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</si>
  <si>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</si>
  <si>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</si>
  <si>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</si>
  <si>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</si>
  <si>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</si>
  <si>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</si>
  <si>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</si>
  <si>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</si>
  <si>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</si>
  <si>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</si>
  <si>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</si>
  <si>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</si>
  <si>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</si>
  <si>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</si>
  <si>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</si>
  <si>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</si>
  <si>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</si>
  <si>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</si>
  <si>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</si>
  <si>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</si>
  <si>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</si>
  <si>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</si>
  <si>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</si>
  <si>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</si>
  <si>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</si>
  <si>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</si>
  <si>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</si>
  <si>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</si>
  <si>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</si>
  <si>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</si>
  <si>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</si>
  <si>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</si>
  <si>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</si>
  <si>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</si>
  <si>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</si>
  <si>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</si>
  <si>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Relationship Manager1</t>
  </si>
  <si>
    <t>Customer Agreed</t>
  </si>
  <si>
    <t>Seasonal</t>
  </si>
  <si>
    <t>Projected</t>
  </si>
  <si>
    <t>[{"upperLimit":"1000.00","lowerLimit":"0.00","valueAmt":"11"},{"upperLimit":"5000.00","lowerLimit":"1000.00","valueAmt":"12"},{"upperLimit":"999999999999.99","lowerLimit":"5000.00","valueAmt":"13"}]</t>
  </si>
  <si>
    <t>Error</t>
  </si>
  <si>
    <t xml:space="preserve">Regular
</t>
  </si>
  <si>
    <t>Customer Price List</t>
  </si>
  <si>
    <t>52</t>
  </si>
  <si>
    <t>51.80</t>
  </si>
  <si>
    <t>4</t>
  </si>
  <si>
    <t>[{"upperLimit":"1000.00","lowerLimit":"0.00","valueAmt":"12"},{"upperLimit":"5000.00","lowerLimit":"1000.00","valueAmt":"13"},{"upperLimit":"999999999999.99","lowerLimit":"5000.00","valueAmt":"14"}]</t>
  </si>
  <si>
    <t>11</t>
  </si>
  <si>
    <t>Tier,USD,THRS</t>
  </si>
  <si>
    <t>DM_CURRENCY=INR~DM_TYPE=BT</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</si>
  <si>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</si>
  <si>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3</t>
  </si>
  <si>
    <t xml:space="preserve"> </t>
  </si>
  <si>
    <t>DM_COUNTRY=IND~DM_STATE=AP</t>
  </si>
  <si>
    <t>DM_COUNTRY=IND~DM_STATE=KA</t>
  </si>
  <si>
    <t>PI_031</t>
  </si>
  <si>
    <t>[{"upperLimit":"1000.00","lowerLimit":"0.00","valueAmt":"12"},{"upperLimit":"5000.00","lowerLimit":"1000.00","valueAmt":"13"},{"upperLimit":"99999999.99","lowerLimit":"5000.00","valueAmt":"14"}]</t>
  </si>
  <si>
    <t>[{"upperLimit":"1000.00","lowerLimit":"0.00","valueAmt":"11"},{"upperLimit":"5000.00","lowerLimit":"1000.00","valueAmt":"12"},{"upperLimit":"99999999.99","lowerLimit":"5000.00","valueAmt":"13"}]</t>
  </si>
  <si>
    <t>[{"upperLimit":"1000.00","lowerLimit":"0.00","valueAmt":"32"},{"upperLimit":"5000.00","lowerLimit":"1000.00","valueAmt":"33"},{"upperLimit":"99999999.99","lowerLimit":"5000.00","valueAmt":"34"}]</t>
  </si>
  <si>
    <t>[{"upperLimit":"1000.00","lowerLimit":"0.00","valueAmt":"31"},{"upperLimit":"5000.00","lowerLimit":"1000.00","valueAmt":"32"},{"upperLimit":"99999999.99","lowerLimit":"5000.00","valueAmt":"33"}]</t>
  </si>
  <si>
    <t>Finalized</t>
  </si>
  <si>
    <t>RECM</t>
  </si>
  <si>
    <t>Deal is assigned to zero level</t>
  </si>
  <si>
    <t>Updated</t>
  </si>
  <si>
    <t>Deal Status Changed to Approved</t>
  </si>
  <si>
    <t>Transitioned to Approved.</t>
  </si>
  <si>
    <t>Deal Version is finalized for approval and rest of the Deal Versions of the deal are discarded</t>
  </si>
  <si>
    <t>Transitioned to Simulated.</t>
  </si>
  <si>
    <t>Transitioned to Pending Simulation.</t>
  </si>
  <si>
    <t>DEAL_PERSON_001,IND</t>
  </si>
  <si>
    <t>Reg_DEAL_PERSON_001</t>
  </si>
  <si>
    <t>EAI_DEAL_PERSON_001</t>
  </si>
  <si>
    <t>{"C1-DealPriceAsgnCommitmentsREST":{"modelId":"1135615344","dealId":"7406392342","entityType":"PERS","entityId":"8797366188","pricingAndCommitmentsDetails":{"entityDivision":"IND","entityIdentifierType":"COREG","entityType":"PERS","entityId":"8797366188","entityIdentifierValue":"Reg_DEAL_PERSON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</si>
  <si>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1218375304","valueAmt":"12","priceCompDesc":"Price per transaction - Step Tier 1","rcMapId":"2567418376","displaySw":"true","tieredFlag":"STEP","priceCompTier":{"tierSeqNum":"10","upperLimit":"1000.00","lowerLimit":"0.00","priceCriteria":"NBRTRAN"},"priceCompSequenceNo":"100"},{"priceCompId":"1218375305","valueAmt":"13","priceCompDesc":"Price per transaction - Step Tier 2","rcMapId":"7769990702","displaySw":"true","tieredFlag":"STEP","priceCompTier":{"tierSeqNum":"10","upperLimit":"5000.00","lowerLimit":"1000.00","priceCriteria":"NBRTRAN"},"priceCompSequenceNo":"110"},{"priceCompId":"1218375306","valueAmt":"14","priceCompDesc":"Price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1210010804","pricingStatus":"PRPD","printIfZero":"Y","ignoreSw":"N","actionFlag":"OVRD","isEligible":"false","scheduleCode":"MONTHLY","rateSchedule":"DM-NBRST","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</si>
  <si>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</si>
  <si>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1218375310","valueAmt":"12","priceCompDesc":"Threshold price per transaction","rcMapId":"1109655113","displaySw":"true","tieredFlag":"THRS","priceCompTier":{"tierSeqNum":"10","upperLimit":"1000.00","lowerLimit":"0.00","priceCriteria":"NBRTRAN"},"priceCompSequenceNo":"100"},{"priceCompId":"1218375311","valueAmt":"13","priceCompDesc":"Threshold price per transaction","rcMapId":"1109655113","displaySw":"true","tieredFlag":"THRS","priceCompTier":{"tierSeqNum":"10","upperLimit":"5000.00","lowerLimit":"1000.00","priceCriteria":"NBRTRAN"},"priceCompSequenceNo":"110"},{"priceCompId":"1218375312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1210010806","pricingStatus":"PRPD","printIfZero":"Y","ignoreSw":"N","actionFlag":"OVRD","isEligible":"false","scheduleCode":"MONTHLY","rateSchedule":"DM-NBRTH","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</si>
  <si>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</si>
  <si>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1218375316","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1210010808","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</si>
  <si>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12","priceCompDesc":"Price Per Transaction Step Tier 1","rcMapId":"2567418376","displaySw":"true","tieredFlag":"STEP","priceCompTier":{"tierSeqNum":"10","upperLimit":"1000.00","lowerLimit":"0.00","priceCriteria":"NBRTRAN"},"priceCompSequenceNo":"100"},{"priceCompId":"1218375300","valueAmt":"13","priceCompDesc":"Price Per Transaction Step Tier 2","rcMapId":"7769990702","displaySw":"true","tieredFlag":"STEP","priceCompTier":{"tierSeqNum":"10","upperLimit":"5000.00","lowerLimit":"1000.00","priceCriteria":"NBRTRAN"},"priceCompSequenceNo":"110"},{"priceCompId":"1218375301","valueAmt":"14","priceCompDesc":"Price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1210010801","pricingStatus":"PRPD","printIfZero":"Y","ignoreSw":"N","actionFlag":"UPD","isEligible":"false","scheduleCode":"MONTHLY","rateSchedule":"DM-NBRST","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</si>
  <si>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11","priceCompDesc":"Price Per Transaction Step Tier 1","rcMapId":"2567418376","displaySw":"true","tieredFlag":"STEP","priceCompTier":{"tierSeqNum":"10","upperLimit":"1000.00","lowerLimit":"0.00","priceCriteria":"NBRTRAN"},"priceCompSequenceNo":"100"},{"priceCompId":"1218375300","valueAmt":"12","priceCompDesc":"Price Per Transaction Step Tier 2","rcMapId":"7769990702","displaySw":"true","tieredFlag":"STEP","priceCompTier":{"tierSeqNum":"10","upperLimit":"5000.00","lowerLimit":"1000.00","priceCriteria":"NBRTRAN"},"priceCompSequenceNo":"110"},{"priceCompId":"1218375301","valueAmt":"13","priceCompDesc":"Price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1210010801","pricingStatus":"PRPD","printIfZero":"Y","ignoreSw":"N","actionFlag":"OVRD","isEligible":"false","scheduleCode":"MONTHLY","rateSchedule":"DM-NBRST","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</si>
  <si>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32","priceCompDesc":"Threshold price per transaction1","rcMapId":"1109655113","displaySw":"true","tieredFlag":"THRS","priceCompTier":{"tierSeqNum":"10","upperLimit":"1000.00","lowerLimit":"0.00","priceCriteria":"NBRTRAN"},"priceCompSequenceNo":"100"},{"priceCompId":"1218375297","valueAmt":"33","priceCompDesc":"Threshold price per transaction 2","rcMapId":"1109655113","displaySw":"true","tieredFlag":"THRS","priceCompTier":{"tierSeqNum":"10","upperLimit":"5000.00","lowerLimit":"1000.00","priceCriteria":"NBRTRAN"},"priceCompSequenceNo":"110"},{"priceCompId":"1218375298","valueAmt":"34","priceCompDesc":"Threshold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1210010800","pricingStatus":"PRPD","printIfZero":"Y","ignoreSw":"N","actionFlag":"UPD","isEligible":"false","scheduleCode":"MONTHLY","rateSchedule":"DM-NBRTH","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</si>
  <si>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31","priceCompDesc":"Threshold price per transaction1","rcMapId":"1109655113","displaySw":"true","tieredFlag":"THRS","priceCompTier":{"tierSeqNum":"10","upperLimit":"1000.00","lowerLimit":"0.00","priceCriteria":"NBRTRAN"},"priceCompSequenceNo":"100"},{"priceCompId":"1218375297","valueAmt":"32","priceCompDesc":"Threshold price per transaction 2","rcMapId":"1109655113","displaySw":"true","tieredFlag":"THRS","priceCompTier":{"tierSeqNum":"10","upperLimit":"5000.00","lowerLimit":"1000.00","priceCriteria":"NBRTRAN"},"priceCompSequenceNo":"110"},{"priceCompId":"1218375298","valueAmt":"33","priceCompDesc":"Threshold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1210010800","pricingStatus":"PRPD","printIfZero":"Y","ignoreSw":"N","actionFlag":"OVRD","isEligible":"false","scheduleCode":"MONTHLY","rateSchedule":"DM-NBRTH","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</si>
  <si>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</si>
  <si>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1218375324","valueAmt":"12","priceCompDesc":"FLAT","rcMapId":"1705351562","displaySw":"true","tieredFlag":"FLAT","priceCompSequenceNo":"10"},"paTypeFlag":"RGLR","priceItemDescription":"MT943_SWIFT_01","aggregateSw":"N","priceItemCode":"PI_031","priceCurrencyCode":"USD","priceAsgnId":"1210010812","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</si>
  <si>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</si>
  <si>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-01-02","assignmentLevel":"Customer Price List"}]}}}</t>
  </si>
  <si>
    <t>9805419578,DEAL_PERSON_001,IND,12-20-2022,United States Dollars,Contracted Deal-No</t>
  </si>
  <si>
    <t>DEAL_PERSON_CH1_001</t>
  </si>
  <si>
    <t>Reg_DEAL_PERSON_CH1_001</t>
  </si>
  <si>
    <t>EAI_DEAL_PERSON_CH1_001</t>
  </si>
  <si>
    <t>DEAL_PERSON_CH1CH1_001</t>
  </si>
  <si>
    <t>Reg_DEAL_PERSON_CH1CH1_001</t>
  </si>
  <si>
    <t>EAI_DEAL_PERSON_CH1CH1_001</t>
  </si>
  <si>
    <t>6586149577</t>
  </si>
  <si>
    <t>2380202516</t>
  </si>
  <si>
    <t>9346655393</t>
  </si>
  <si>
    <t>6319627953</t>
  </si>
  <si>
    <t>3727799935</t>
  </si>
  <si>
    <t>6633871512</t>
  </si>
  <si>
    <t xml:space="preserve">2413873180
</t>
  </si>
  <si>
    <t>NPI_031</t>
  </si>
  <si>
    <t>NPI_037</t>
  </si>
  <si>
    <t>31.5</t>
  </si>
  <si>
    <t xml:space="preserve">Assigned Pricelist </t>
  </si>
  <si>
    <t xml:space="preserve">Deal Creation Information </t>
  </si>
  <si>
    <t>DEAL</t>
  </si>
  <si>
    <t>631804316191</t>
  </si>
  <si>
    <t>631101487387</t>
  </si>
  <si>
    <t>631496021314</t>
  </si>
  <si>
    <t>631292450603</t>
  </si>
  <si>
    <t>631105099444</t>
  </si>
  <si>
    <t>Tier,USD,FLAT</t>
  </si>
  <si>
    <t>Pricing &amp; Commitment - [SPM]</t>
  </si>
  <si>
    <t>Pricing &amp; Commitment - [PM]</t>
  </si>
  <si>
    <t>Pricing &amp; Commitment - Override STEP Pricing [PM]</t>
  </si>
  <si>
    <t>Pricing &amp; Commitment - [TC_PRICING_OVRD] [RM]</t>
  </si>
  <si>
    <t>Pricing &amp; Commitment - [RM]</t>
  </si>
  <si>
    <t>Pending Simulation</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</si>
  <si>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RECM","printIfZero":"Y","ignoreSw":"N","actionFlag":"RECM","isEligible":"false","scheduleCode":"MONTHLY","rateSchedule":"DM-NBRST","startDate":"2020-01-01","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</si>
  <si>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RECM","printIfZero":"Y","ignoreSw":"N","actionFlag":"RECM","isEligible":"false","scheduleCode":"MONTHLY","rateSchedule":"DM-NBRTH","startDate":"2020-01-01","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</si>
  <si>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-20","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</si>
  <si>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-20","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</si>
  <si>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RECM","printIfZero":"Y","ignoreSw":"N","actionFlag":"RECM","isEligible":"false","scheduleCode":"MONTHLY","rateSchedule":"DM-RT01","startDate":"2020-01-01","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</si>
  <si>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8418400311","valueAmt":"12","priceCompDesc":"Price Per Transaction Step Tier 1","rcMapId":"2567418376","displaySw":"true","tieredFlag":"STEP","priceCompTier":{"tierSeqNum":"10","upperLimit":"1000.00","lowerLimit":"0.00","priceCriteria":"NBRTRAN"},"priceCompSequenceNo":"100"},{"priceCompId":"8418400312","valueAmt":"13","priceCompDesc":"Price Per Transaction Step Tier 2","rcMapId":"7769990702","displaySw":"true","tieredFlag":"STEP","priceCompTier":{"tierSeqNum":"10","upperLimit":"5000.00","lowerLimit":"1000.00","priceCriteria":"NBRTRAN"},"priceCompSequenceNo":"110"},{"priceCompId":"8418400313","valueAmt":"14","priceCompDesc":"Price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8410010781","pricingStatus":"RECM","printIfZero":"Y","ignoreSw":"N","actionFlag":"RECM","isEligible":"false","scheduleCode":"MONTHLY","rateSchedule":"DM-NBRST","startDate":"2020-01-01","assignmentLevel":"Parent Customer Agreed"}]}}}</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</si>
  <si>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8418400308","valueAmt":"32","priceCompDesc":"Threshold price per transaction1","rcMapId":"1109655113","displaySw":"true","tieredFlag":"THRS","priceCompTier":{"tierSeqNum":"10","upperLimit":"1000.00","lowerLimit":"0.00","priceCriteria":"NBRTRAN"},"priceCompSequenceNo":"100"},{"priceCompId":"8418400309","valueAmt":"33","priceCompDesc":"Threshold price per transaction 2","rcMapId":"1109655113","displaySw":"true","tieredFlag":"THRS","priceCompTier":{"tierSeqNum":"10","upperLimit":"5000.00","lowerLimit":"1000.00","priceCriteria":"NBRTRAN"},"priceCompSequenceNo":"110"},{"priceCompId":"8418400310","valueAmt":"34","priceCompDesc":"Threshold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8410010780","pricingStatus":"RECM","printIfZero":"Y","ignoreSw":"N","actionFlag":"RECM","isEligible":"false","scheduleCode":"MONTHLY","rateSchedule":"DM-NBRTH","startDate":"2020-01-01","assignmentLevel":"Parent Customer Agreed"}]}}}</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</si>
  <si>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RECM","printIfZero":"Y","ignoreSw":"N","actionFlag":"RECM","isEligible":"false","scheduleCode":"MONTHLY","rateSchedule":"DM-RT01","startDate":"2020-01-01","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</si>
  <si>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PRPD","printIfZero":"Y","ignoreSw":"N","actionFlag":"OVRD","isEligible":"false","scheduleCode":"MONTHLY","rateSchedule":"DM-RT01","startDate":"2023-02-20","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</si>
  <si>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8418400311","valueAmt":"12","priceCompDesc":"Price Per Transaction Step Tier 1","rcMapId":"2567418376","displaySw":"true","tieredFlag":"STEP","priceCompTier":{"tierSeqNum":"10","upperLimit":"1000.00","lowerLimit":"0.00","priceCriteria":"NBRTRAN"},"priceCompSequenceNo":"100"},{"priceCompId":"8418400312","valueAmt":"13","priceCompDesc":"Price Per Transaction Step Tier 2","rcMapId":"7769990702","displaySw":"true","tieredFlag":"STEP","priceCompTier":{"tierSeqNum":"10","upperLimit":"5000.00","lowerLimit":"1000.00","priceCriteria":"NBRTRAN"},"priceCompSequenceNo":"110"},{"priceCompId":"8418400313","valueAmt":"14","priceCompDesc":"Price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8410010781","pricingStatus":"PRPD","printIfZero":"Y","ignoreSw":"N","actionFlag":"OVRD","isEligible":"false","scheduleCode":"MONTHLY","rateSchedule":"DM-NBRST","startDate":"2023-02-20","assignmentLevel":"Parent Customer Agreed"}]}}}</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</si>
  <si>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8418400308","valueAmt":"32","priceCompDesc":"Threshold price per transaction1","rcMapId":"1109655113","displaySw":"true","tieredFlag":"THRS","priceCompTier":{"tierSeqNum":"10","upperLimit":"1000.00","lowerLimit":"0.00","priceCriteria":"NBRTRAN"},"priceCompSequenceNo":"100"},{"priceCompId":"8418400309","valueAmt":"33","priceCompDesc":"Threshold price per transaction 2","rcMapId":"1109655113","displaySw":"true","tieredFlag":"THRS","priceCompTier":{"tierSeqNum":"10","upperLimit":"5000.00","lowerLimit":"1000.00","priceCriteria":"NBRTRAN"},"priceCompSequenceNo":"110"},{"priceCompId":"8418400310","valueAmt":"34","priceCompDesc":"Threshold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8410010780","pricingStatus":"PRPD","printIfZero":"Y","ignoreSw":"N","actionFlag":"OVRD","isEligible":"false","scheduleCode":"MONTHLY","rateSchedule":"DM-NBRTH","startDate":"2023-02-20","assignmentLevel":"Parent Customer Agreed"}]}}}</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</si>
  <si>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-02-20","assignmentLevel":"Customer Price List"}]}}}</t>
  </si>
  <si>
    <t>DealManagement_Test_39945</t>
  </si>
  <si>
    <t>Quarterly</t>
  </si>
  <si>
    <t>DLAUTOAP</t>
  </si>
  <si>
    <t>RPER</t>
  </si>
  <si>
    <t>3091575921</t>
  </si>
  <si>
    <t>Discarded</t>
  </si>
  <si>
    <t>Deal is discarded</t>
  </si>
  <si>
    <t>Transitioned to Discard.</t>
  </si>
  <si>
    <t xml:space="preserve"> Transitioned to Pending Simulation.</t>
  </si>
  <si>
    <t xml:space="preserve"> Transitioned to Simulated.</t>
  </si>
  <si>
    <t>Reference added successfully</t>
  </si>
  <si>
    <t>{"C1-DealPriceAsgnCommitmentsREST":{"modelId":"3585031983","dealId":"9058858960","entityType":"PERS","entityId":"2380202516","pricingAndCommitmentsDetails":{"entityDivision":"IND","entityIdentifierType":"COREG","entityType":"PERS","entityId":"2380202516","entityIdentifierValue":"Reg_DEAL_PERSON_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-27","assignmentLevel":"Customer Price List"}]}}}</t>
  </si>
  <si>
    <t>{"C1-DealPriceAsgnCommitmentsREST":{"modelId":"3585031983","dealId":"9058858960","entityType":"PERS","entityId":"2380202516","pricingAndCommitmentsDetails":{"entityDivision":"IND","entityIdentifierType":"COREG","entityType":"PERS","entityId":"2380202516","entityIdentifierValue":"Reg_DEAL_PERSON_CH1_001","pricingDetails":[{"txnDailyRatingCrt":"DNRT","priceCompDetails":{"priceCompId":"4538401331","valueAmt":"12","priceCompDesc":"FLAT","rcMapId":"1705351562","displaySw":"true","tieredFlag":"FLAT","priceCompSequenceNo":"10"},"paTypeFlag":"RGLR","priceItemDescription":"V1-Account Opening Fee","aggregateSw":"N","priceItemCode":"PI_021","priceCurrencyCode":"USD","priceAsgnId":"4530011503","pricingStatus":"PRPD","printIfZero":"Y","ignoreSw":"N","actionFlag":"OVRD","isEligible":"false","scheduleCode":"MONTHLY","rateSchedule":"DM-RT01","startDate":"2023-03-24","assignmentLevel":"Customer Agreed"}]}}}</t>
  </si>
  <si>
    <t>{"C1-DealPriceAsgnCommitmentsREST":{"modelId":"3585031983","dealId":"9058858960","entityType":"PERS","entityId":"2380202516","pricingAndCommitmentsDetails":{"entityDivision":"IND","entityIdentifierType":"COREG","entityType":"PERS","entityId":"2380202516","entityIdentifierValue":"Reg_DEAL_PERSON_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-27","assignmentLevel":"Customer Price List"}]}}}</t>
  </si>
  <si>
    <t>{"C1-DealPriceAsgnCommitmentsREST":{"modelId":"3585031983","dealId":"9058858960","entityType":"PERS","entityId":"2380202516","pricingAndCommitmentsDetails":{"entityDivision":"IND","entityIdentifierType":"COREG","entityType":"PERS","entityId":"2380202516","entityIdentifierValue":"Reg_DEAL_PERSON_CH1_001","pricingDetails":[{"txnDailyRatingCrt":"DNRT","priceCompDetails":{"priceCompId":"4538401333","valueAmt":"10","priceCompDesc":"FLAT","rcMapId":"1705351562","displaySw":"true","tieredFlag":"FLAT","priceCompSequenceNo":"10"},"paTypeFlag":"RGLR","priceItemDescription":"V2-Monthly Acct Serv Fee","aggregateSw":"N","priceItemCode":"PI_022","priceCurrencyCode":"USD","priceAsgnId":"4530011505","pricingStatus":"PRPD","printIfZero":"Y","ignoreSw":"N","actionFlag":"OVRD","isEligible":"false","scheduleCode":"MONTHLY","rateSchedule":"DM-RT01","startDate":"2023-03-24","assignmentLevel":"Customer Agreed"}]}}}</t>
  </si>
  <si>
    <t>{"C1-DealPriceAsgnCommitmentsREST":{"modelId":"2854116873","dealId":"0250393349","entityType":"PERS","entityId":"2380202516","pricingAndCommitmentsDetails":{"entityDivision":"IND","entityIdentifierType":"COREG","entityType":"PERS","entityId":"2380202516","entityIdentifierValue":"Reg_DEAL_PERSON_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-03-18","assignmentLevel":"Customer Price List"}]}}}</t>
  </si>
  <si>
    <t>{"C1-DealPriceAsgnCommitmentsREST":{"modelId":"2854116873","dealId":"0250393349","entityType":"PERS","entityId":"2380202516","pricingAndCommitmentsDetails":{"entityDivision":"IND","entityIdentifierType":"COREG","entityType":"PERS","entityId":"2380202516","entityIdentifierValue":"Reg_DEAL_PERSON_CH1_001","pricingDetails":[{"txnDailyRatingCrt":"DNRT","priceCompDetails":{"priceCompId":"6498402308","valueAmt":"12","priceCompDesc":"FLAT","rcMapId":"1705351562","displaySw":"true","tieredFlag":"FLAT","priceCompSequenceNo":"10"},"paTypeFlag":"RGLR","priceItemDescription":"V1-Account Opening Fee","aggregateSw":"N","priceItemCode":"PI_021","priceCurrencyCode":"USD","priceAsgnId":"6490012010","pricingStatus":"PRPD","printIfZero":"Y","ignoreSw":"N","actionFlag":"OVRD","isEligible":"false","scheduleCode":"MONTHLY","rateSchedule":"DM-RT01","startDate":"2023-04-12","assignmentLevel":"Customer Agreed"}]}}}</t>
  </si>
  <si>
    <t>{"C1-DealPriceAsgnCommitmentsREST":{"modelId":"2854116873","dealId":"0250393349","entityType":"PERS","entityId":"2380202516","pricingAndCommitmentsDetails":{"entityDivision":"IND","entityIdentifierType":"COREG","entityType":"PERS","entityId":"2380202516","entityIdentifierValue":"Reg_DEAL_PERSON_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-03-18","assignmentLevel":"Customer Price List"}]}}}</t>
  </si>
  <si>
    <t>{"C1-DealPriceAsgnCommitmentsREST":{"modelId":"2854116873","dealId":"0250393349","entityType":"PERS","entityId":"2380202516","pricingAndCommitmentsDetails":{"entityDivision":"IND","entityIdentifierType":"COREG","entityType":"PERS","entityId":"2380202516","entityIdentifierValue":"Reg_DEAL_PERSON_CH1_001","pricingDetails":[{"txnDailyRatingCrt":"DNRT","priceCompDetails":{"priceCompId":"6498402310","valueAmt":"10","priceCompDesc":"FLAT","rcMapId":"1705351562","displaySw":"true","tieredFlag":"FLAT","priceCompSequenceNo":"10"},"paTypeFlag":"RGLR","priceItemDescription":"V2-Monthly Acct Serv Fee","aggregateSw":"N","priceItemCode":"PI_022","priceCurrencyCode":"USD","priceAsgnId":"6490012012","pricingStatus":"PRPD","printIfZero":"Y","ignoreSw":"N","actionFlag":"OVRD","isEligible":"false","scheduleCode":"MONTHLY","rateSchedule":"DM-RT01","startDate":"2023-04-12","assignmentLevel":"Customer Agreed"}]}}}</t>
  </si>
  <si>
    <t>{"C1-DealPriceAsgnCommitmentsREST":{"modelId":"9241782468","dealId":"7214774196","entityType":"PERS","entityId":"2380202516","pricingAndCommitmentsDetails":{"entityDivision":"IND","entityIdentifierType":"COREG","entityType":"PERS","entityId":"2380202516","entityIdentifierValue":"Reg_DEAL_PERSON_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-03-18","assignmentLevel":"Customer Price List"}]}}}</t>
  </si>
  <si>
    <t>{"C1-DealPriceAsgnCommitmentsREST":{"modelId":"9241782468","dealId":"7214774196","entityType":"PERS","entityId":"2380202516","pricingAndCommitmentsDetails":{"entityDivision":"IND","entityIdentifierType":"COREG","entityType":"PERS","entityId":"2380202516","entityIdentifierValue":"Reg_DEAL_PERSON_CH1_001","pricingDetails":[{"txnDailyRatingCrt":"DNRT","priceCompDetails":{"priceCompId":"3308403184","valueAmt":"12","priceCompDesc":"FLAT","rcMapId":"1705351562","displaySw":"true","tieredFlag":"FLAT","priceCompSequenceNo":"10"},"paTypeFlag":"RGLR","priceItemDescription":"V1-Account Opening Fee","aggregateSw":"N","priceItemCode":"PI_021","priceCurrencyCode":"USD","priceAsgnId":"3300012526","pricingStatus":"PRPD","printIfZero":"Y","ignoreSw":"N","actionFlag":"OVRD","isEligible":"false","scheduleCode":"MONTHLY","rateSchedule":"DM-RT01","startDate":"2023-04-12","assignmentLevel":"Customer Agreed"}]}}}</t>
  </si>
  <si>
    <t>{"C1-DealPriceAsgnCommitmentsREST":{"modelId":"9241782468","dealId":"7214774196","entityType":"PERS","entityId":"2380202516","pricingAndCommitmentsDetails":{"entityDivision":"IND","entityIdentifierType":"COREG","entityType":"PERS","entityId":"2380202516","entityIdentifierValue":"Reg_DEAL_PERSON_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-03-18","assignmentLevel":"Customer Price List"}]}}}</t>
  </si>
  <si>
    <t>{"C1-DealPriceAsgnCommitmentsREST":{"modelId":"9241782468","dealId":"7214774196","entityType":"PERS","entityId":"2380202516","pricingAndCommitmentsDetails":{"entityDivision":"IND","entityIdentifierType":"COREG","entityType":"PERS","entityId":"2380202516","entityIdentifierValue":"Reg_DEAL_PERSON_CH1_001","pricingDetails":[{"txnDailyRatingCrt":"DNRT","priceCompDetails":{"priceCompId":"3308403186","valueAmt":"10","priceCompDesc":"FLAT","rcMapId":"1705351562","displaySw":"true","tieredFlag":"FLAT","priceCompSequenceNo":"10"},"paTypeFlag":"RGLR","priceItemDescription":"V2-Monthly Acct Serv Fee","aggregateSw":"N","priceItemCode":"PI_022","priceCurrencyCode":"USD","priceAsgnId":"3300012528","pricingStatus":"PRPD","printIfZero":"Y","ignoreSw":"N","actionFlag":"OVRD","isEligible":"false","scheduleCode":"MONTHLY","rateSchedule":"DM-RT01","startDate":"2023-04-12","assignmentLevel":"Customer Agreed"}]}}}</t>
  </si>
  <si>
    <t>{"C1-DealPriceAsgnCommitmentsREST":{"modelId":"3278805668","dealId":"2177876686","entityType":"PERS","entityId":"2380202516","pricingAndCommitmentsDetails":{"entityDivision":"IND","entityIdentifierType":"COREG","entityType":"PERS","entityId":"2380202516","entityIdentifierValue":"Reg_DEAL_PERSON_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-03-21","assignmentLevel":"Customer Price List"}]}}}</t>
  </si>
  <si>
    <t>{"C1-DealPriceAsgnCommitmentsREST":{"modelId":"3278805668","dealId":"2177876686","entityType":"PERS","entityId":"2380202516","pricingAndCommitmentsDetails":{"entityDivision":"IND","entityIdentifierType":"COREG","entityType":"PERS","entityId":"2380202516","entityIdentifierValue":"Reg_DEAL_PERSON_CH1_001","pricingDetails":[{"txnDailyRatingCrt":"DNRT","priceCompDetails":{"priceCompId":"4688475687","valueAmt":"12","priceCompDesc":"FLAT","rcMapId":"1705351562","displaySw":"true","tieredFlag":"FLAT","priceCompSequenceNo":"10"},"paTypeFlag":"RGLR","priceItemDescription":"V1-Account Opening Fee","aggregateSw":"N","priceItemCode":"PI_021","priceCurrencyCode":"USD","priceAsgnId":"4680017733","pricingStatus":"PRPD","printIfZero":"Y","ignoreSw":"N","actionFlag":"OVRD","isEligible":"false","scheduleCode":"MONTHLY","rateSchedule":"DM-RT01","startDate":"2023-04-15","assignmentLevel":"Customer Agreed"}]}}}</t>
  </si>
  <si>
    <t>{"C1-DealPriceAsgnCommitmentsREST":{"modelId":"3278805668","dealId":"2177876686","entityType":"PERS","entityId":"2380202516","pricingAndCommitmentsDetails":{"entityDivision":"IND","entityIdentifierType":"COREG","entityType":"PERS","entityId":"2380202516","entityIdentifierValue":"Reg_DEAL_PERSON_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-03-21","assignmentLevel":"Customer Price List"}]}}}</t>
  </si>
  <si>
    <t>{"C1-DealPriceAsgnCommitmentsREST":{"modelId":"3278805668","dealId":"2177876686","entityType":"PERS","entityId":"2380202516","pricingAndCommitmentsDetails":{"entityDivision":"IND","entityIdentifierType":"COREG","entityType":"PERS","entityId":"2380202516","entityIdentifierValue":"Reg_DEAL_PERSON_CH1_001","pricingDetails":[{"txnDailyRatingCrt":"DNRT","priceCompDetails":{"priceCompId":"4688475689","valueAmt":"10","priceCompDesc":"FLAT","rcMapId":"1705351562","displaySw":"true","tieredFlag":"FLAT","priceCompSequenceNo":"10"},"paTypeFlag":"RGLR","priceItemDescription":"V2-Monthly Acct Serv Fee","aggregateSw":"N","priceItemCode":"PI_022","priceCurrencyCode":"USD","priceAsgnId":"4680017735","pricingStatus":"PRPD","printIfZero":"Y","ignoreSw":"N","actionFlag":"OVRD","isEligible":"false","scheduleCode":"MONTHLY","rateSchedule":"DM-RT01","startDate":"2023-04-15","assignmentLevel":"Customer Agreed"}]}}}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</si>
</sst>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m\-dd\-yyyy\ h:mm"/>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19">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9"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46">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49" fontId="0" fillId="18" borderId="1" xfId="0" applyNumberFormat="1" applyFill="1" applyBorder="1" applyAlignment="1">
      <alignment horizontal="left" vertical="top"/>
    </xf>
    <xf numFmtId="0" fontId="0" fillId="18"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0" borderId="1" xfId="0" applyBorder="1"/>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4" borderId="6" xfId="0" applyFont="1" applyFill="1" applyBorder="1" applyAlignment="1">
      <alignment horizontal="center"/>
    </xf>
    <xf numFmtId="0" fontId="11" fillId="13" borderId="0" xfId="0" applyFont="1" applyFill="1" applyBorder="1" applyAlignment="1">
      <alignment horizontal="left" vertical="top"/>
    </xf>
    <xf numFmtId="49" fontId="0" fillId="17" borderId="1" xfId="0" applyNumberForma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63"/>
  <sheetViews>
    <sheetView tabSelected="1" topLeftCell="A69" zoomScale="66" zoomScaleNormal="66" workbookViewId="0">
      <selection activeCell="AF89" sqref="AF89"/>
    </sheetView>
  </sheetViews>
  <sheetFormatPr defaultRowHeight="14.5" x14ac:dyDescent="0.35"/>
  <cols>
    <col min="1" max="1" customWidth="true" width="24.6328125" collapsed="true"/>
    <col min="2" max="2" customWidth="true" width="94.54296875" collapsed="true"/>
    <col min="3" max="11" customWidth="true" width="24.6328125" collapsed="true"/>
    <col min="12" max="12" customWidth="true" width="53.0" collapsed="true"/>
    <col min="13" max="13" customWidth="true" width="39.26953125" collapsed="true"/>
    <col min="14" max="16" customWidth="true" width="24.6328125" collapsed="true"/>
    <col min="21" max="21" bestFit="true" customWidth="true" width="10.81640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t="s">
        <v>468</v>
      </c>
      <c r="B4" s="28" t="s">
        <v>153</v>
      </c>
      <c r="C4" s="28" t="s">
        <v>444</v>
      </c>
      <c r="D4" s="28" t="s">
        <v>139</v>
      </c>
      <c r="E4" s="28" t="s">
        <v>140</v>
      </c>
      <c r="F4" s="28"/>
      <c r="G4" s="28"/>
      <c r="H4" s="28"/>
      <c r="I4" s="28" t="s">
        <v>141</v>
      </c>
      <c r="J4" s="28" t="s">
        <v>445</v>
      </c>
    </row>
    <row r="5" spans="1:118" x14ac:dyDescent="0.35">
      <c r="A5" s="28" t="s">
        <v>469</v>
      </c>
      <c r="B5" s="28" t="s">
        <v>153</v>
      </c>
      <c r="C5" s="28" t="s">
        <v>462</v>
      </c>
      <c r="D5" s="28" t="s">
        <v>139</v>
      </c>
      <c r="E5" s="28" t="s">
        <v>140</v>
      </c>
      <c r="F5" s="28"/>
      <c r="G5" s="28"/>
      <c r="H5" s="28"/>
      <c r="I5" s="28" t="s">
        <v>141</v>
      </c>
      <c r="J5" s="28" t="s">
        <v>463</v>
      </c>
    </row>
    <row r="6" spans="1:118" x14ac:dyDescent="0.35">
      <c r="A6" s="28" t="s">
        <v>470</v>
      </c>
      <c r="B6" s="28" t="s">
        <v>153</v>
      </c>
      <c r="C6" s="28" t="s">
        <v>465</v>
      </c>
      <c r="D6" s="28" t="s">
        <v>139</v>
      </c>
      <c r="E6" s="28" t="s">
        <v>140</v>
      </c>
      <c r="F6" s="28"/>
      <c r="G6" s="28"/>
      <c r="H6" s="28"/>
      <c r="I6" s="28" t="s">
        <v>141</v>
      </c>
      <c r="J6" s="28" t="s">
        <v>466</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t="s">
        <v>468</v>
      </c>
      <c r="B10" s="28" t="str">
        <f>C4</f>
        <v>DEAL_PERSON_001,IND</v>
      </c>
      <c r="C10" s="28" t="s">
        <v>471</v>
      </c>
      <c r="D10" s="28" t="s">
        <v>152</v>
      </c>
      <c r="E10" s="28" t="s">
        <v>153</v>
      </c>
      <c r="F10" s="28" t="s">
        <v>154</v>
      </c>
      <c r="G10" s="28" t="s">
        <v>155</v>
      </c>
      <c r="H10" s="28" t="s">
        <v>156</v>
      </c>
      <c r="I10" s="28" t="s">
        <v>157</v>
      </c>
      <c r="J10" s="28" t="s">
        <v>446</v>
      </c>
      <c r="K10" s="28"/>
    </row>
    <row r="11" spans="1:118" x14ac:dyDescent="0.35">
      <c r="A11" s="28" t="s">
        <v>469</v>
      </c>
      <c r="B11" s="28" t="str">
        <f>C5</f>
        <v>DEAL_PERSON_CH1_001</v>
      </c>
      <c r="C11" s="28" t="s">
        <v>472</v>
      </c>
      <c r="D11" s="28" t="s">
        <v>152</v>
      </c>
      <c r="E11" s="28" t="s">
        <v>153</v>
      </c>
      <c r="F11" s="28" t="s">
        <v>154</v>
      </c>
      <c r="G11" s="28" t="s">
        <v>155</v>
      </c>
      <c r="H11" s="28" t="s">
        <v>156</v>
      </c>
      <c r="I11" s="28" t="s">
        <v>157</v>
      </c>
      <c r="J11" s="28" t="s">
        <v>464</v>
      </c>
      <c r="K11" s="28"/>
    </row>
    <row r="12" spans="1:118" x14ac:dyDescent="0.35">
      <c r="A12" s="28" t="s">
        <v>470</v>
      </c>
      <c r="B12" s="28" t="str">
        <f>C6</f>
        <v>DEAL_PERSON_CH1CH1_001</v>
      </c>
      <c r="C12" s="28" t="s">
        <v>473</v>
      </c>
      <c r="D12" s="28" t="s">
        <v>152</v>
      </c>
      <c r="E12" s="28" t="s">
        <v>153</v>
      </c>
      <c r="F12" s="28" t="s">
        <v>154</v>
      </c>
      <c r="G12" s="28" t="s">
        <v>155</v>
      </c>
      <c r="H12" s="28" t="s">
        <v>156</v>
      </c>
      <c r="I12" s="28" t="s">
        <v>157</v>
      </c>
      <c r="J12" s="28" t="s">
        <v>467</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DEAL_PERSON_001,IND</v>
      </c>
      <c r="B16" s="28" t="s">
        <v>471</v>
      </c>
      <c r="C16" s="30">
        <v>6319627593</v>
      </c>
      <c r="D16" s="31" t="s">
        <v>153</v>
      </c>
      <c r="E16" s="32" t="s">
        <v>164</v>
      </c>
      <c r="F16" s="31" t="s">
        <v>154</v>
      </c>
      <c r="G16" s="32"/>
      <c r="H16" s="31" t="s">
        <v>165</v>
      </c>
      <c r="I16" s="14"/>
    </row>
    <row r="18" spans="1:117" ht="18.5" x14ac:dyDescent="0.35">
      <c r="A18" s="137" t="s">
        <v>172</v>
      </c>
      <c r="B18" s="137"/>
      <c r="C18" s="137"/>
    </row>
    <row r="19" spans="1:117" ht="15.5" x14ac:dyDescent="0.35">
      <c r="A19" s="26" t="s">
        <v>173</v>
      </c>
      <c r="B19" s="26" t="s">
        <v>174</v>
      </c>
      <c r="C19" s="27" t="s">
        <v>175</v>
      </c>
      <c r="D19" s="24" t="s">
        <v>130</v>
      </c>
      <c r="E19" s="24" t="s">
        <v>4</v>
      </c>
    </row>
    <row r="20" spans="1:117" x14ac:dyDescent="0.35">
      <c r="A20" s="33" t="s">
        <v>474</v>
      </c>
      <c r="B20" s="33" t="s">
        <v>176</v>
      </c>
      <c r="C20" s="33" t="s">
        <v>154</v>
      </c>
      <c r="D20" s="33" t="s">
        <v>153</v>
      </c>
      <c r="E20" s="33" t="s">
        <v>177</v>
      </c>
    </row>
    <row r="21" spans="1:117" x14ac:dyDescent="0.35">
      <c r="A21" s="33" t="s">
        <v>178</v>
      </c>
      <c r="B21" s="33" t="s">
        <v>179</v>
      </c>
      <c r="C21" s="33" t="s">
        <v>154</v>
      </c>
      <c r="D21" s="33" t="s">
        <v>153</v>
      </c>
      <c r="E21" s="33" t="s">
        <v>337</v>
      </c>
    </row>
    <row r="23" spans="1:117" s="14" customFormat="1" ht="18" customHeight="1" x14ac:dyDescent="0.35">
      <c r="A23" s="138" t="s">
        <v>180</v>
      </c>
      <c r="B23" s="139"/>
      <c r="C23" s="139"/>
      <c r="D23" s="139"/>
      <c r="E23" s="139"/>
      <c r="F23" s="139"/>
      <c r="G23" s="139"/>
      <c r="H23" s="139"/>
      <c r="I23" s="139"/>
      <c r="J23" s="139"/>
      <c r="K23" s="139"/>
      <c r="L23" s="139"/>
      <c r="M23" s="139"/>
      <c r="N23" s="139"/>
      <c r="O23" s="139"/>
      <c r="P23" s="139"/>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4" t="s">
        <v>182</v>
      </c>
      <c r="E24" s="34" t="s">
        <v>183</v>
      </c>
      <c r="F24" s="34" t="s">
        <v>184</v>
      </c>
      <c r="G24" s="34" t="s">
        <v>185</v>
      </c>
      <c r="H24" s="34" t="s">
        <v>186</v>
      </c>
      <c r="I24" s="35" t="s">
        <v>187</v>
      </c>
      <c r="J24" s="36" t="s">
        <v>188</v>
      </c>
      <c r="K24" s="36" t="s">
        <v>189</v>
      </c>
      <c r="L24" s="36" t="s">
        <v>190</v>
      </c>
      <c r="M24" s="36" t="s">
        <v>166</v>
      </c>
      <c r="N24" s="36" t="s">
        <v>191</v>
      </c>
      <c r="O24" s="36" t="s">
        <v>192</v>
      </c>
      <c r="P24" s="36"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3" t="s">
        <v>178</v>
      </c>
      <c r="B25" s="31" t="s">
        <v>179</v>
      </c>
      <c r="C25" s="31" t="s">
        <v>194</v>
      </c>
      <c r="D25" s="31" t="s">
        <v>195</v>
      </c>
      <c r="E25" s="31" t="s">
        <v>196</v>
      </c>
      <c r="F25" s="31"/>
      <c r="G25" s="31" t="s">
        <v>155</v>
      </c>
      <c r="H25" s="31" t="s">
        <v>197</v>
      </c>
      <c r="I25" s="33" t="s">
        <v>198</v>
      </c>
      <c r="J25" s="31"/>
      <c r="K25" s="31"/>
      <c r="L25" s="37"/>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3" t="s">
        <v>201</v>
      </c>
      <c r="J26" s="31"/>
      <c r="K26" s="31"/>
      <c r="L26" s="37"/>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7"/>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3" t="s">
        <v>201</v>
      </c>
      <c r="J28" s="31"/>
      <c r="K28" s="31"/>
      <c r="L28" s="37"/>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7">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7">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7"/>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7">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7">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7"/>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7">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7">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3" t="s">
        <v>221</v>
      </c>
      <c r="J41" s="31"/>
      <c r="K41" s="31"/>
      <c r="L41" s="37"/>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3" t="s">
        <v>223</v>
      </c>
      <c r="J42" s="31"/>
      <c r="K42" s="31"/>
      <c r="L42" s="37"/>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7"/>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3" t="s">
        <v>226</v>
      </c>
      <c r="J44" s="31"/>
      <c r="K44" s="31"/>
      <c r="L44" s="37"/>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3" t="s">
        <v>228</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3" t="s">
        <v>230</v>
      </c>
      <c r="J46" s="31"/>
      <c r="K46" s="31"/>
      <c r="L46" s="37"/>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7"/>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7"/>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8" t="s">
        <v>234</v>
      </c>
      <c r="B49" s="38" t="s">
        <v>176</v>
      </c>
      <c r="C49" s="31" t="s">
        <v>167</v>
      </c>
      <c r="D49" s="31" t="s">
        <v>195</v>
      </c>
      <c r="E49" s="31" t="s">
        <v>235</v>
      </c>
      <c r="F49" s="31"/>
      <c r="G49" s="31" t="s">
        <v>155</v>
      </c>
      <c r="H49" s="31" t="s">
        <v>197</v>
      </c>
      <c r="I49" s="31" t="s">
        <v>236</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3" t="s">
        <v>246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7">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7">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40" t="s">
        <v>258</v>
      </c>
      <c r="B58" s="141"/>
      <c r="C58" s="141"/>
      <c r="D58" s="142"/>
    </row>
    <row r="59" spans="1:117" ht="15.5" x14ac:dyDescent="0.35">
      <c r="A59" s="26" t="s">
        <v>173</v>
      </c>
      <c r="B59" s="26" t="s">
        <v>174</v>
      </c>
      <c r="C59" s="27" t="s">
        <v>254</v>
      </c>
      <c r="D59" s="26" t="s">
        <v>253</v>
      </c>
      <c r="E59" s="24" t="s">
        <v>183</v>
      </c>
    </row>
    <row r="60" spans="1:117" x14ac:dyDescent="0.35">
      <c r="A60" s="33" t="s">
        <v>474</v>
      </c>
      <c r="B60" s="33" t="s">
        <v>176</v>
      </c>
      <c r="C60" s="28" t="str">
        <f>C4</f>
        <v>DEAL_PERSON_001,IND</v>
      </c>
      <c r="D60" s="31" t="s">
        <v>256</v>
      </c>
      <c r="E60" s="31" t="s">
        <v>235</v>
      </c>
    </row>
    <row r="62" spans="1:117" ht="18.5" x14ac:dyDescent="0.35">
      <c r="A62" s="140" t="s">
        <v>252</v>
      </c>
      <c r="B62" s="141"/>
      <c r="C62" s="141"/>
      <c r="D62" s="142"/>
    </row>
    <row r="63" spans="1:117" ht="15.5" x14ac:dyDescent="0.35">
      <c r="A63" s="26" t="s">
        <v>253</v>
      </c>
      <c r="B63" s="27" t="s">
        <v>254</v>
      </c>
      <c r="C63" s="27" t="s">
        <v>240</v>
      </c>
      <c r="D63" s="26" t="s">
        <v>255</v>
      </c>
      <c r="E63" s="26" t="s">
        <v>187</v>
      </c>
      <c r="F63" s="25" t="s">
        <v>166</v>
      </c>
      <c r="G63" s="25"/>
    </row>
    <row r="64" spans="1:117" x14ac:dyDescent="0.35">
      <c r="A64" s="31" t="s">
        <v>256</v>
      </c>
      <c r="B64" s="28" t="str">
        <f>B10</f>
        <v>DEAL_PERSON_001,IND</v>
      </c>
      <c r="C64" s="31" t="s">
        <v>475</v>
      </c>
      <c r="D64" s="31" t="s">
        <v>195</v>
      </c>
      <c r="E64" s="31" t="s">
        <v>477</v>
      </c>
      <c r="F64" s="31" t="s">
        <v>168</v>
      </c>
      <c r="G64" s="31"/>
    </row>
    <row r="65" spans="1:14" x14ac:dyDescent="0.35">
      <c r="A65" s="31" t="s">
        <v>256</v>
      </c>
      <c r="B65" s="28" t="str">
        <f>B10</f>
        <v>DEAL_PERSON_001,IND</v>
      </c>
      <c r="C65" s="31" t="s">
        <v>476</v>
      </c>
      <c r="D65" s="31" t="s">
        <v>195</v>
      </c>
      <c r="E65" s="31" t="s">
        <v>257</v>
      </c>
      <c r="F65" s="31" t="s">
        <v>168</v>
      </c>
      <c r="G65" s="31"/>
    </row>
    <row r="66" spans="1:14" x14ac:dyDescent="0.35">
      <c r="A66" s="31" t="s">
        <v>256</v>
      </c>
      <c r="B66" s="28" t="str">
        <f>B10</f>
        <v>DEAL_PERSON_001,IND</v>
      </c>
      <c r="C66" s="31" t="s">
        <v>247</v>
      </c>
      <c r="D66" s="31" t="s">
        <v>195</v>
      </c>
      <c r="E66" s="31" t="s">
        <v>257</v>
      </c>
      <c r="F66" s="31" t="s">
        <v>168</v>
      </c>
      <c r="G66" s="31"/>
    </row>
    <row r="67" spans="1:14" x14ac:dyDescent="0.35">
      <c r="A67" s="31" t="s">
        <v>256</v>
      </c>
      <c r="B67" s="28" t="str">
        <f>B10</f>
        <v>DEAL_PERSON_001,IND</v>
      </c>
      <c r="C67" s="31" t="s">
        <v>247</v>
      </c>
      <c r="D67" s="31" t="s">
        <v>195</v>
      </c>
      <c r="E67" s="31" t="s">
        <v>257</v>
      </c>
      <c r="F67" s="31" t="s">
        <v>168</v>
      </c>
      <c r="G67" s="31"/>
    </row>
    <row r="69" spans="1:14" ht="18.5" x14ac:dyDescent="0.35">
      <c r="A69" s="140" t="s">
        <v>237</v>
      </c>
      <c r="B69" s="141"/>
      <c r="C69" s="141"/>
      <c r="D69" s="141"/>
      <c r="E69" s="141"/>
      <c r="F69" s="141"/>
      <c r="G69" s="141"/>
      <c r="H69" s="141"/>
      <c r="I69" s="142"/>
    </row>
    <row r="70" spans="1:14" ht="15.5" x14ac:dyDescent="0.35">
      <c r="A70" s="25" t="s">
        <v>131</v>
      </c>
      <c r="B70" s="25" t="s">
        <v>143</v>
      </c>
      <c r="C70" s="25" t="s">
        <v>238</v>
      </c>
      <c r="D70" s="25" t="s">
        <v>239</v>
      </c>
      <c r="E70" s="25" t="s">
        <v>240</v>
      </c>
      <c r="F70" s="25" t="s">
        <v>262</v>
      </c>
      <c r="G70" s="25" t="s">
        <v>264</v>
      </c>
      <c r="H70" s="25" t="s">
        <v>263</v>
      </c>
      <c r="I70" s="25" t="s">
        <v>265</v>
      </c>
      <c r="J70" s="25" t="s">
        <v>241</v>
      </c>
      <c r="K70" s="25" t="s">
        <v>242</v>
      </c>
      <c r="L70" s="25" t="s">
        <v>243</v>
      </c>
      <c r="M70" s="25" t="s">
        <v>244</v>
      </c>
      <c r="N70" s="25" t="s">
        <v>245</v>
      </c>
    </row>
    <row r="71" spans="1:14" x14ac:dyDescent="0.35">
      <c r="A71" s="28" t="s">
        <v>444</v>
      </c>
      <c r="B71" s="28" t="str">
        <f>C10</f>
        <v>6319627953</v>
      </c>
      <c r="C71" s="28" t="s">
        <v>446</v>
      </c>
      <c r="D71" s="30">
        <f>C16</f>
        <v>6319627593</v>
      </c>
      <c r="E71" s="31" t="s">
        <v>171</v>
      </c>
      <c r="F71" s="31"/>
      <c r="G71" s="31"/>
      <c r="H71" s="31"/>
      <c r="I71" s="31"/>
      <c r="J71" s="41" t="str">
        <f ca="1">TEXT(TODAY()-60,"MM-DD-YYYY")</f>
        <v>11-26-2022</v>
      </c>
      <c r="K71" s="41" t="str">
        <f ca="1">TEXT(TODAY()-30,"MM-DD-YYYY")</f>
        <v>12-26-2022</v>
      </c>
      <c r="L71" s="32" t="s">
        <v>168</v>
      </c>
      <c r="M71" s="32">
        <v>12</v>
      </c>
      <c r="N71" s="39" t="s">
        <v>481</v>
      </c>
    </row>
    <row r="72" spans="1:14" x14ac:dyDescent="0.35">
      <c r="A72" s="28" t="s">
        <v>444</v>
      </c>
      <c r="B72" s="28" t="str">
        <f>C10</f>
        <v>6319627953</v>
      </c>
      <c r="C72" s="28" t="s">
        <v>446</v>
      </c>
      <c r="D72" s="30">
        <f>C16</f>
        <v>6319627593</v>
      </c>
      <c r="E72" s="31" t="s">
        <v>171</v>
      </c>
      <c r="F72" s="31"/>
      <c r="G72" s="31"/>
      <c r="H72" s="31"/>
      <c r="I72" s="31"/>
      <c r="J72" s="41" t="str">
        <f ca="1">TEXT(TODAY()-90,"MM-DD-YYYY")</f>
        <v>10-27-2022</v>
      </c>
      <c r="K72" s="41" t="str">
        <f ca="1">TEXT(TODAY()-61,"MM-DD-YYYY")</f>
        <v>11-25-2022</v>
      </c>
      <c r="L72" s="32" t="s">
        <v>168</v>
      </c>
      <c r="M72" s="32">
        <v>13</v>
      </c>
      <c r="N72" s="39" t="s">
        <v>482</v>
      </c>
    </row>
    <row r="73" spans="1:14" x14ac:dyDescent="0.35">
      <c r="A73" s="28" t="s">
        <v>444</v>
      </c>
      <c r="B73" s="28" t="str">
        <f>C10</f>
        <v>6319627953</v>
      </c>
      <c r="C73" s="28" t="s">
        <v>446</v>
      </c>
      <c r="D73" s="30">
        <f>C16</f>
        <v>6319627593</v>
      </c>
      <c r="E73" s="31" t="s">
        <v>248</v>
      </c>
      <c r="F73" s="31"/>
      <c r="G73" s="31"/>
      <c r="H73" s="31"/>
      <c r="I73" s="31"/>
      <c r="J73" s="41" t="str">
        <f ca="1">TEXT(TODAY()-120,"MM-DD-YYYY")</f>
        <v>09-27-2022</v>
      </c>
      <c r="K73" s="41" t="str">
        <f ca="1">TEXT(TODAY()-91,"MM-DD-YYYY")</f>
        <v>10-26-2022</v>
      </c>
      <c r="L73" s="32" t="s">
        <v>168</v>
      </c>
      <c r="M73" s="32">
        <v>6</v>
      </c>
      <c r="N73" s="39" t="s">
        <v>483</v>
      </c>
    </row>
    <row r="74" spans="1:14" x14ac:dyDescent="0.35">
      <c r="A74" s="28" t="s">
        <v>444</v>
      </c>
      <c r="B74" s="28" t="str">
        <f>C10</f>
        <v>6319627953</v>
      </c>
      <c r="C74" s="28" t="s">
        <v>446</v>
      </c>
      <c r="D74" s="30">
        <f>C16</f>
        <v>6319627593</v>
      </c>
      <c r="E74" s="31" t="s">
        <v>247</v>
      </c>
      <c r="F74" s="31" t="s">
        <v>259</v>
      </c>
      <c r="G74" s="31" t="s">
        <v>153</v>
      </c>
      <c r="H74" s="31" t="s">
        <v>260</v>
      </c>
      <c r="I74" s="31" t="s">
        <v>261</v>
      </c>
      <c r="J74" s="41" t="str">
        <f ca="1">TEXT(TODAY()-150,"MM-DD-YYYY")</f>
        <v>08-28-2022</v>
      </c>
      <c r="K74" s="41" t="str">
        <f ca="1">TEXT(TODAY()-121,"MM-DD-YYYY")</f>
        <v>09-26-2022</v>
      </c>
      <c r="L74" s="32" t="s">
        <v>168</v>
      </c>
      <c r="M74" s="32">
        <v>7</v>
      </c>
      <c r="N74" s="39" t="s">
        <v>484</v>
      </c>
    </row>
    <row r="75" spans="1:14" x14ac:dyDescent="0.35">
      <c r="A75" s="28" t="s">
        <v>444</v>
      </c>
      <c r="B75" s="40" t="str">
        <f>C10</f>
        <v>6319627953</v>
      </c>
      <c r="C75" s="28" t="s">
        <v>446</v>
      </c>
      <c r="D75" s="30">
        <f>C16</f>
        <v>6319627593</v>
      </c>
      <c r="E75" s="31" t="s">
        <v>247</v>
      </c>
      <c r="F75" s="31" t="s">
        <v>259</v>
      </c>
      <c r="G75" s="31" t="s">
        <v>153</v>
      </c>
      <c r="H75" s="31" t="s">
        <v>260</v>
      </c>
      <c r="I75" s="31" t="s">
        <v>266</v>
      </c>
      <c r="J75" s="41" t="str">
        <f ca="1">TEXT(TODAY()-180,"MM-DD-YYYY")</f>
        <v>07-29-2022</v>
      </c>
      <c r="K75" s="41" t="str">
        <f ca="1">TEXT(TODAY()-151,"MM-DD-YYYY")</f>
        <v>08-27-2022</v>
      </c>
      <c r="L75" s="32" t="s">
        <v>168</v>
      </c>
      <c r="M75" s="32">
        <v>10</v>
      </c>
      <c r="N75" s="39" t="s">
        <v>485</v>
      </c>
    </row>
    <row r="77" spans="1:14" ht="50.4" customHeight="1" x14ac:dyDescent="0.35">
      <c r="A77" s="132" t="s">
        <v>267</v>
      </c>
      <c r="B77" s="132"/>
      <c r="C77" s="132"/>
      <c r="D77" s="132"/>
      <c r="E77" s="132"/>
      <c r="F77" s="132"/>
      <c r="G77" s="132"/>
      <c r="H77" s="132"/>
      <c r="I77" s="132"/>
      <c r="J77" s="132"/>
      <c r="K77" s="132"/>
    </row>
    <row r="79" spans="1:14" ht="16.75" customHeight="1" x14ac:dyDescent="0.35">
      <c r="A79" s="133" t="s">
        <v>268</v>
      </c>
      <c r="B79" s="133"/>
      <c r="C79" s="133"/>
      <c r="D79" s="133"/>
    </row>
    <row r="80" spans="1:14" x14ac:dyDescent="0.35">
      <c r="A80" s="42" t="s">
        <v>269</v>
      </c>
      <c r="B80" s="42" t="s">
        <v>270</v>
      </c>
      <c r="C80" s="42" t="s">
        <v>130</v>
      </c>
      <c r="D80" s="42" t="s">
        <v>271</v>
      </c>
    </row>
    <row r="81" spans="1:78" x14ac:dyDescent="0.35">
      <c r="A81" s="32" t="s">
        <v>272</v>
      </c>
      <c r="B81" s="28" t="str">
        <f>A5</f>
        <v>2380202516</v>
      </c>
      <c r="C81" s="43" t="s">
        <v>273</v>
      </c>
      <c r="D81" s="28" t="str">
        <f>C5</f>
        <v>DEAL_PERSON_CH1_001</v>
      </c>
    </row>
    <row r="83" spans="1:78" x14ac:dyDescent="0.35">
      <c r="A83" s="44" t="s">
        <v>479</v>
      </c>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row>
    <row r="84" spans="1:78" x14ac:dyDescent="0.35">
      <c r="A84" s="46" t="s">
        <v>274</v>
      </c>
      <c r="B84" s="46" t="s">
        <v>275</v>
      </c>
      <c r="C84" s="46" t="s">
        <v>276</v>
      </c>
      <c r="D84" s="46" t="s">
        <v>277</v>
      </c>
      <c r="E84" s="46" t="s">
        <v>278</v>
      </c>
      <c r="F84" s="46" t="s">
        <v>279</v>
      </c>
      <c r="G84" s="46" t="s">
        <v>280</v>
      </c>
      <c r="H84" s="46" t="s">
        <v>281</v>
      </c>
      <c r="I84" s="46" t="s">
        <v>282</v>
      </c>
      <c r="J84" s="46" t="s">
        <v>283</v>
      </c>
      <c r="K84" s="46" t="s">
        <v>284</v>
      </c>
      <c r="L84" s="46" t="s">
        <v>285</v>
      </c>
      <c r="M84" s="46" t="s">
        <v>286</v>
      </c>
      <c r="N84" s="46" t="s">
        <v>287</v>
      </c>
      <c r="O84" s="46" t="s">
        <v>288</v>
      </c>
      <c r="P84" s="46" t="s">
        <v>289</v>
      </c>
      <c r="Q84" s="46" t="s">
        <v>290</v>
      </c>
      <c r="R84" s="46" t="s">
        <v>291</v>
      </c>
      <c r="S84" s="47" t="s">
        <v>292</v>
      </c>
      <c r="T84" s="127" t="s">
        <v>293</v>
      </c>
      <c r="U84" s="128"/>
      <c r="V84" s="129"/>
      <c r="W84" s="127" t="s">
        <v>294</v>
      </c>
      <c r="X84" s="129"/>
      <c r="Y84" s="48"/>
      <c r="Z84" s="124" t="s">
        <v>295</v>
      </c>
      <c r="AA84" s="125"/>
      <c r="AB84" s="125"/>
      <c r="AC84" s="125"/>
      <c r="AD84" s="125"/>
      <c r="AE84" s="125"/>
      <c r="AF84" s="126"/>
      <c r="AG84" s="124" t="s">
        <v>296</v>
      </c>
      <c r="AH84" s="125"/>
      <c r="AI84" s="125"/>
      <c r="AJ84" s="125"/>
      <c r="AK84" s="125"/>
      <c r="AL84" s="126"/>
      <c r="AM84" s="49"/>
      <c r="AN84" s="50"/>
      <c r="AO84" s="50"/>
      <c r="AP84" s="50"/>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row>
    <row r="85" spans="1:78" x14ac:dyDescent="0.35">
      <c r="A85" s="52"/>
      <c r="B85" s="52"/>
      <c r="C85" s="52"/>
      <c r="D85" s="52"/>
      <c r="E85" s="52"/>
      <c r="F85" s="52"/>
      <c r="G85" s="52"/>
      <c r="H85" s="52"/>
      <c r="I85" s="52"/>
      <c r="J85" s="52"/>
      <c r="K85" s="52"/>
      <c r="L85" s="52"/>
      <c r="M85" s="52"/>
      <c r="N85" s="52"/>
      <c r="O85" s="52"/>
      <c r="P85" s="52"/>
      <c r="Q85" s="52"/>
      <c r="R85" s="52"/>
      <c r="S85" s="52"/>
      <c r="T85" s="53" t="s">
        <v>297</v>
      </c>
      <c r="U85" s="53" t="s">
        <v>298</v>
      </c>
      <c r="V85" s="53" t="s">
        <v>299</v>
      </c>
      <c r="W85" s="53" t="s">
        <v>300</v>
      </c>
      <c r="X85" s="53" t="s">
        <v>301</v>
      </c>
      <c r="Y85" s="53" t="s">
        <v>302</v>
      </c>
      <c r="Z85" s="53" t="s">
        <v>303</v>
      </c>
      <c r="AA85" s="53" t="s">
        <v>304</v>
      </c>
      <c r="AB85" s="53" t="s">
        <v>305</v>
      </c>
      <c r="AC85" s="53" t="s">
        <v>306</v>
      </c>
      <c r="AD85" s="53" t="s">
        <v>307</v>
      </c>
      <c r="AE85" s="53" t="s">
        <v>308</v>
      </c>
      <c r="AF85" s="53" t="s">
        <v>309</v>
      </c>
      <c r="AG85" s="53" t="s">
        <v>310</v>
      </c>
      <c r="AH85" s="53" t="s">
        <v>311</v>
      </c>
      <c r="AI85" s="53" t="s">
        <v>312</v>
      </c>
      <c r="AJ85" s="53" t="s">
        <v>313</v>
      </c>
      <c r="AK85" s="53" t="s">
        <v>314</v>
      </c>
      <c r="AL85" s="53" t="s">
        <v>315</v>
      </c>
      <c r="AM85" s="52" t="s">
        <v>316</v>
      </c>
      <c r="AN85" s="53" t="s">
        <v>317</v>
      </c>
      <c r="AO85" s="53" t="s">
        <v>318</v>
      </c>
      <c r="AP85" s="54" t="s">
        <v>319</v>
      </c>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row>
    <row r="86" spans="1:78" x14ac:dyDescent="0.35">
      <c r="A86" s="55" t="s">
        <v>320</v>
      </c>
      <c r="B86" s="28" t="str">
        <f>A5</f>
        <v>2380202516</v>
      </c>
      <c r="C86" s="55" t="s">
        <v>505</v>
      </c>
      <c r="D86" s="56" t="s">
        <v>507</v>
      </c>
      <c r="E86" s="40" t="s">
        <v>155</v>
      </c>
      <c r="F86" s="55" t="s">
        <v>480</v>
      </c>
      <c r="G86" s="57" t="str">
        <f ca="1">TEXT(TODAY()+45,"YYYY-MM-DD")</f>
        <v>2023-03-11</v>
      </c>
      <c r="H86" s="41" t="str">
        <f ca="1">TEXT(TODAY()-210,"YYYY-MM-DD")</f>
        <v>2022-06-29</v>
      </c>
      <c r="I86" s="55"/>
      <c r="J86" s="55">
        <v>12</v>
      </c>
      <c r="K86" s="55">
        <v>1</v>
      </c>
      <c r="L86" s="55" t="str">
        <f>C86&amp;TEXT(" Desc","0")</f>
        <v>DealManagement_Test_39945 Desc</v>
      </c>
      <c r="M86" s="55" t="str">
        <f>C86&amp;TEXT(" Ver Desc","0")</f>
        <v>DealManagement_Test_39945 Ver Desc</v>
      </c>
      <c r="N86" s="30" t="s">
        <v>322</v>
      </c>
      <c r="O86" s="30" t="s">
        <v>321</v>
      </c>
      <c r="P86" s="30" t="s">
        <v>322</v>
      </c>
      <c r="Q86" s="30" t="s">
        <v>321</v>
      </c>
      <c r="R86" s="30" t="s">
        <v>322</v>
      </c>
      <c r="S86" s="40"/>
      <c r="T86" s="40" t="s">
        <v>323</v>
      </c>
      <c r="U86" s="40" t="s">
        <v>324</v>
      </c>
      <c r="V86" s="40"/>
      <c r="W86" s="40" t="s">
        <v>325</v>
      </c>
      <c r="X86" s="40" t="s">
        <v>326</v>
      </c>
      <c r="Y86" s="40"/>
      <c r="Z86" s="40" t="s">
        <v>508</v>
      </c>
      <c r="AA86" s="40"/>
      <c r="AB86" s="40"/>
      <c r="AC86" s="40" t="s">
        <v>509</v>
      </c>
      <c r="AD86" s="40" t="s">
        <v>321</v>
      </c>
      <c r="AE86" s="40" t="s">
        <v>321</v>
      </c>
      <c r="AF86" s="40" t="s">
        <v>322</v>
      </c>
      <c r="AG86" s="40"/>
      <c r="AH86" s="40"/>
      <c r="AI86" s="40"/>
      <c r="AJ86" s="40" t="s">
        <v>322</v>
      </c>
      <c r="AK86" s="40" t="s">
        <v>322</v>
      </c>
      <c r="AL86" s="40" t="s">
        <v>322</v>
      </c>
      <c r="AM86" s="55"/>
      <c r="AN86" s="55">
        <v>9</v>
      </c>
      <c r="AO86" s="55">
        <v>11</v>
      </c>
      <c r="AP86" s="55">
        <v>5</v>
      </c>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row>
    <row r="87" spans="1:78" ht="19" customHeight="1" x14ac:dyDescent="0.35">
      <c r="A87" s="51"/>
      <c r="B87" s="51"/>
      <c r="C87" s="51"/>
      <c r="D87" s="51"/>
      <c r="E87" s="51"/>
      <c r="F87" s="51"/>
      <c r="G87" s="51"/>
      <c r="H87" s="51"/>
      <c r="I87" s="51"/>
      <c r="J87" s="51"/>
      <c r="K87" s="51"/>
      <c r="L87" s="58"/>
      <c r="M87" s="58"/>
    </row>
    <row r="88" spans="1:78" ht="18.5" x14ac:dyDescent="0.35">
      <c r="A88" s="59" t="s">
        <v>478</v>
      </c>
      <c r="B88" s="60"/>
      <c r="C88" s="60"/>
      <c r="D88" s="60"/>
      <c r="E88" s="60"/>
      <c r="F88" s="60"/>
      <c r="G88" s="60"/>
      <c r="H88" s="60"/>
      <c r="I88" s="60"/>
      <c r="J88" s="60"/>
      <c r="K88" s="60"/>
      <c r="L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ht="15.5" x14ac:dyDescent="0.35">
      <c r="A89" s="24" t="s">
        <v>173</v>
      </c>
      <c r="B89" s="24" t="s">
        <v>174</v>
      </c>
      <c r="C89" s="24" t="s">
        <v>175</v>
      </c>
      <c r="D89" s="24" t="s">
        <v>130</v>
      </c>
      <c r="E89" s="24" t="s">
        <v>4</v>
      </c>
      <c r="F89" s="24" t="s">
        <v>327</v>
      </c>
      <c r="G89" s="24" t="s">
        <v>328</v>
      </c>
      <c r="H89" s="24" t="s">
        <v>329</v>
      </c>
      <c r="I89" s="24" t="s">
        <v>330</v>
      </c>
      <c r="J89" s="24" t="s">
        <v>331</v>
      </c>
      <c r="K89" s="24" t="s">
        <v>332</v>
      </c>
      <c r="L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33" t="s">
        <v>178</v>
      </c>
      <c r="B90" s="33" t="s">
        <v>179</v>
      </c>
      <c r="C90" s="57" t="str">
        <f ca="1">TEXT(TODAY()+45,"YYYY-MM-DD")</f>
        <v>2023-03-11</v>
      </c>
      <c r="D90" s="33" t="s">
        <v>153</v>
      </c>
      <c r="E90" s="33" t="s">
        <v>337</v>
      </c>
      <c r="F90" s="61"/>
      <c r="G90" s="57" t="s">
        <v>322</v>
      </c>
      <c r="H90" s="28" t="str">
        <f>A5</f>
        <v>2380202516</v>
      </c>
      <c r="I90" s="33" t="s">
        <v>333</v>
      </c>
      <c r="J90" s="33" t="s">
        <v>338</v>
      </c>
      <c r="K90" s="33"/>
      <c r="L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x14ac:dyDescent="0.35">
      <c r="A91" s="33" t="s">
        <v>335</v>
      </c>
      <c r="B91" s="33" t="s">
        <v>336</v>
      </c>
      <c r="C91" s="57" t="str">
        <f ca="1">TEXT(TODAY()+45,"YYYY-MM-DD")</f>
        <v>2023-03-11</v>
      </c>
      <c r="D91" s="33" t="s">
        <v>153</v>
      </c>
      <c r="E91" s="33" t="s">
        <v>177</v>
      </c>
      <c r="F91" s="61"/>
      <c r="G91" s="57" t="s">
        <v>322</v>
      </c>
      <c r="H91" s="28" t="str">
        <f>A5</f>
        <v>2380202516</v>
      </c>
      <c r="I91" s="33" t="s">
        <v>333</v>
      </c>
      <c r="J91" s="33" t="s">
        <v>334</v>
      </c>
      <c r="K91" s="33"/>
      <c r="L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row>
    <row r="93" spans="1:78" x14ac:dyDescent="0.35">
      <c r="A93" s="107" t="s">
        <v>363</v>
      </c>
      <c r="B93" s="108"/>
      <c r="C93" s="108"/>
      <c r="D93" s="108"/>
      <c r="E93" s="108"/>
      <c r="F93" s="108"/>
      <c r="G93" s="108"/>
      <c r="H93" s="108"/>
      <c r="I93" s="108"/>
      <c r="J93" s="108"/>
    </row>
    <row r="94" spans="1:78" x14ac:dyDescent="0.35">
      <c r="A94" s="62"/>
      <c r="B94" s="63"/>
      <c r="C94" s="109" t="s">
        <v>339</v>
      </c>
      <c r="D94" s="109"/>
      <c r="E94" s="109"/>
      <c r="F94" s="109"/>
      <c r="G94" s="109"/>
      <c r="H94" s="109"/>
      <c r="I94" s="109"/>
      <c r="J94" s="109"/>
      <c r="K94" s="109"/>
    </row>
    <row r="95" spans="1:78" x14ac:dyDescent="0.35">
      <c r="A95" s="110" t="s">
        <v>340</v>
      </c>
      <c r="B95" s="110" t="s">
        <v>341</v>
      </c>
      <c r="C95" s="105" t="s">
        <v>342</v>
      </c>
      <c r="D95" s="112"/>
      <c r="E95" s="112"/>
      <c r="F95" s="106"/>
      <c r="G95" s="103" t="s">
        <v>343</v>
      </c>
      <c r="H95" s="113"/>
      <c r="I95" s="113"/>
      <c r="J95" s="104"/>
      <c r="K95" s="110" t="s">
        <v>344</v>
      </c>
      <c r="L95" s="110" t="s">
        <v>345</v>
      </c>
    </row>
    <row r="96" spans="1:78" x14ac:dyDescent="0.35">
      <c r="A96" s="111"/>
      <c r="B96" s="111"/>
      <c r="C96" s="64" t="s">
        <v>346</v>
      </c>
      <c r="D96" s="64" t="s">
        <v>347</v>
      </c>
      <c r="E96" s="64" t="s">
        <v>348</v>
      </c>
      <c r="F96" s="64" t="s">
        <v>349</v>
      </c>
      <c r="G96" s="65" t="s">
        <v>346</v>
      </c>
      <c r="H96" s="65" t="s">
        <v>347</v>
      </c>
      <c r="I96" s="65" t="s">
        <v>348</v>
      </c>
      <c r="J96" s="65" t="s">
        <v>349</v>
      </c>
      <c r="K96" s="111"/>
      <c r="L96" s="111"/>
    </row>
    <row r="97" spans="1:26" x14ac:dyDescent="0.35">
      <c r="A97" s="40" t="s">
        <v>350</v>
      </c>
      <c r="B97" s="40" t="s">
        <v>351</v>
      </c>
      <c r="C97" s="30" t="str">
        <f>TEXT(916966.33,"0.00")</f>
        <v>916966.33</v>
      </c>
      <c r="D97" s="30" t="str">
        <f>TEXT(91,"0")</f>
        <v>91</v>
      </c>
      <c r="E97" s="30" t="str">
        <f>TEXT(916875.33,"0.00")</f>
        <v>916875.33</v>
      </c>
      <c r="F97" s="30" t="str">
        <f>TEXT(99.99,"0.00")</f>
        <v>99.99</v>
      </c>
      <c r="G97" s="30" t="str">
        <f>TEXT(1412.5,"0.0")</f>
        <v>1412.5</v>
      </c>
      <c r="H97" s="30" t="str">
        <f>TEXT(0,"0")</f>
        <v>0</v>
      </c>
      <c r="I97" s="30" t="str">
        <f>TEXT(1412.5,"0.0")</f>
        <v>1412.5</v>
      </c>
      <c r="J97" s="30" t="str">
        <f>TEXT(100,"0")</f>
        <v>100</v>
      </c>
      <c r="K97" s="30" t="str">
        <f>TEXT(64817.97,"0.00")</f>
        <v>64817.97</v>
      </c>
      <c r="L97" s="40" t="s">
        <v>155</v>
      </c>
    </row>
    <row r="99" spans="1:26" ht="13.25" customHeight="1" x14ac:dyDescent="0.35">
      <c r="A99" s="107" t="s">
        <v>352</v>
      </c>
      <c r="B99" s="108"/>
      <c r="C99" s="108"/>
      <c r="D99" s="108"/>
      <c r="E99" s="108"/>
      <c r="F99" s="108"/>
      <c r="G99" s="108"/>
      <c r="H99" s="108"/>
      <c r="I99" s="108"/>
      <c r="J99" s="108"/>
      <c r="K99" s="108"/>
      <c r="L99" s="108"/>
    </row>
    <row r="100" spans="1:26" x14ac:dyDescent="0.35">
      <c r="A100" s="134" t="s">
        <v>131</v>
      </c>
      <c r="B100" s="134" t="s">
        <v>353</v>
      </c>
      <c r="C100" s="116" t="s">
        <v>354</v>
      </c>
      <c r="D100" s="119" t="s">
        <v>355</v>
      </c>
      <c r="E100" s="122" t="s">
        <v>339</v>
      </c>
      <c r="F100" s="122"/>
      <c r="G100" s="122"/>
      <c r="H100" s="122"/>
      <c r="I100" s="123" t="s">
        <v>356</v>
      </c>
      <c r="J100" s="123"/>
      <c r="K100" s="123"/>
      <c r="L100" s="123"/>
    </row>
    <row r="101" spans="1:26" x14ac:dyDescent="0.35">
      <c r="A101" s="135"/>
      <c r="B101" s="135"/>
      <c r="C101" s="117"/>
      <c r="D101" s="120"/>
      <c r="E101" s="105" t="s">
        <v>357</v>
      </c>
      <c r="F101" s="106"/>
      <c r="G101" s="103" t="s">
        <v>343</v>
      </c>
      <c r="H101" s="104"/>
      <c r="I101" s="105" t="s">
        <v>357</v>
      </c>
      <c r="J101" s="106"/>
      <c r="K101" s="103" t="s">
        <v>343</v>
      </c>
      <c r="L101" s="104"/>
    </row>
    <row r="102" spans="1:26" x14ac:dyDescent="0.35">
      <c r="A102" s="136"/>
      <c r="B102" s="136" t="s">
        <v>130</v>
      </c>
      <c r="C102" s="118"/>
      <c r="D102" s="121"/>
      <c r="E102" s="64" t="s">
        <v>358</v>
      </c>
      <c r="F102" s="64" t="s">
        <v>359</v>
      </c>
      <c r="G102" s="65" t="s">
        <v>360</v>
      </c>
      <c r="H102" s="65" t="s">
        <v>361</v>
      </c>
      <c r="I102" s="64" t="s">
        <v>358</v>
      </c>
      <c r="J102" s="64" t="s">
        <v>359</v>
      </c>
      <c r="K102" s="65" t="s">
        <v>360</v>
      </c>
      <c r="L102" s="65" t="s">
        <v>361</v>
      </c>
    </row>
    <row r="103" spans="1:26" x14ac:dyDescent="0.35">
      <c r="A103" s="30" t="str">
        <f>C5&amp;",IND"</f>
        <v>DEAL_PERSON_CH1_001,IND</v>
      </c>
      <c r="B103" s="40" t="s">
        <v>350</v>
      </c>
      <c r="C103" s="55" t="s">
        <v>362</v>
      </c>
      <c r="D103" s="66" t="str">
        <f>TEXT(64817.97,"0.00")</f>
        <v>64817.97</v>
      </c>
      <c r="E103" s="67" t="str">
        <f>"$"&amp;TEXT(916966.33,"0.00")</f>
        <v>$916966.33</v>
      </c>
      <c r="F103" s="67" t="str">
        <f>"$"&amp;TEXT(91,"0.00")</f>
        <v>$91.00</v>
      </c>
      <c r="G103" s="67" t="str">
        <f>"$"&amp;TEXT(1412.5,"0.00")</f>
        <v>$1412.50</v>
      </c>
      <c r="H103" s="67" t="str">
        <f>"$"&amp;TEXT(0,"0.00")</f>
        <v>$0.00</v>
      </c>
      <c r="I103" s="68" t="str">
        <f>"$"&amp;TEXT(916966.33,"0.00")</f>
        <v>$916966.33</v>
      </c>
      <c r="J103" s="68" t="str">
        <f>"$"&amp;TEXT(91,"0.00")</f>
        <v>$91.00</v>
      </c>
      <c r="K103" s="68" t="str">
        <f>"$"&amp;TEXT(1412.5,"0.00")</f>
        <v>$1412.50</v>
      </c>
      <c r="L103" s="68" t="str">
        <f>"$"&amp;TEXT(0,"0.00")</f>
        <v>$0.00</v>
      </c>
    </row>
    <row r="105" spans="1:26" x14ac:dyDescent="0.35">
      <c r="A105" s="107" t="s">
        <v>363</v>
      </c>
      <c r="B105" s="108"/>
      <c r="C105" s="108"/>
      <c r="D105" s="108"/>
      <c r="E105" s="108"/>
      <c r="F105" s="108"/>
      <c r="G105" s="108"/>
      <c r="H105" s="108"/>
      <c r="I105" s="108"/>
      <c r="J105" s="108"/>
    </row>
    <row r="106" spans="1:26" x14ac:dyDescent="0.35">
      <c r="A106" s="62"/>
      <c r="B106" s="63"/>
      <c r="C106" s="109" t="s">
        <v>339</v>
      </c>
      <c r="D106" s="109"/>
      <c r="E106" s="109"/>
      <c r="F106" s="109"/>
      <c r="G106" s="109"/>
      <c r="H106" s="109"/>
      <c r="I106" s="109"/>
      <c r="J106" s="109"/>
      <c r="K106" s="109"/>
      <c r="Z106" s="69"/>
    </row>
    <row r="107" spans="1:26" x14ac:dyDescent="0.35">
      <c r="A107" s="110" t="s">
        <v>340</v>
      </c>
      <c r="B107" s="110" t="s">
        <v>341</v>
      </c>
      <c r="C107" s="105" t="s">
        <v>342</v>
      </c>
      <c r="D107" s="112"/>
      <c r="E107" s="112"/>
      <c r="F107" s="106"/>
      <c r="G107" s="103" t="s">
        <v>343</v>
      </c>
      <c r="H107" s="113"/>
      <c r="I107" s="113"/>
      <c r="J107" s="104"/>
      <c r="K107" s="114" t="s">
        <v>364</v>
      </c>
    </row>
    <row r="108" spans="1:26" x14ac:dyDescent="0.35">
      <c r="A108" s="111"/>
      <c r="B108" s="111"/>
      <c r="C108" s="64" t="s">
        <v>346</v>
      </c>
      <c r="D108" s="64" t="s">
        <v>347</v>
      </c>
      <c r="E108" s="64" t="s">
        <v>348</v>
      </c>
      <c r="F108" s="64" t="s">
        <v>349</v>
      </c>
      <c r="G108" s="65" t="s">
        <v>346</v>
      </c>
      <c r="H108" s="65" t="s">
        <v>347</v>
      </c>
      <c r="I108" s="65" t="s">
        <v>348</v>
      </c>
      <c r="J108" s="65" t="s">
        <v>349</v>
      </c>
      <c r="K108" s="115"/>
    </row>
    <row r="109" spans="1:26" x14ac:dyDescent="0.35">
      <c r="A109" s="55" t="s">
        <v>350</v>
      </c>
      <c r="B109" s="70"/>
      <c r="C109" s="30" t="str">
        <f>"$"&amp;TEXT(916966.33,"0.00")</f>
        <v>$916966.33</v>
      </c>
      <c r="D109" s="30" t="str">
        <f>"$"&amp;TEXT(91,"0.00")</f>
        <v>$91.00</v>
      </c>
      <c r="E109" s="30" t="str">
        <f>"$"&amp;TEXT(916875.33,"0.00")</f>
        <v>$916875.33</v>
      </c>
      <c r="F109" s="30" t="str">
        <f>TEXT(99.99,"0.00")</f>
        <v>99.99</v>
      </c>
      <c r="G109" s="30" t="str">
        <f>"$"&amp;TEXT(1412.5,"0.00")</f>
        <v>$1412.50</v>
      </c>
      <c r="H109" s="30" t="str">
        <f>"$"&amp;TEXT(0,"0.00")</f>
        <v>$0.00</v>
      </c>
      <c r="I109" s="30" t="str">
        <f>"$"&amp;TEXT(1412.5,"0.00")</f>
        <v>$1412.50</v>
      </c>
      <c r="J109" s="30" t="str">
        <f>TEXT(100,"0.00")</f>
        <v>100.00</v>
      </c>
      <c r="K109" s="30" t="str">
        <f>TEXT(64817.97,"0.00")</f>
        <v>64817.97</v>
      </c>
    </row>
    <row r="111" spans="1:26" x14ac:dyDescent="0.35">
      <c r="A111" s="44" t="s">
        <v>365</v>
      </c>
      <c r="B111" s="45"/>
      <c r="C111" s="45"/>
    </row>
    <row r="112" spans="1:26" x14ac:dyDescent="0.35">
      <c r="A112" s="42" t="s">
        <v>365</v>
      </c>
      <c r="B112" s="42" t="s">
        <v>366</v>
      </c>
      <c r="C112" s="42" t="s">
        <v>367</v>
      </c>
      <c r="D112" s="42" t="s">
        <v>368</v>
      </c>
      <c r="E112" s="42" t="s">
        <v>283</v>
      </c>
      <c r="F112" s="42" t="s">
        <v>183</v>
      </c>
      <c r="G112" s="42" t="s">
        <v>184</v>
      </c>
      <c r="H112" s="42" t="s">
        <v>369</v>
      </c>
      <c r="I112" s="42" t="s">
        <v>370</v>
      </c>
      <c r="J112" s="42" t="s">
        <v>371</v>
      </c>
      <c r="K112" s="42" t="s">
        <v>280</v>
      </c>
      <c r="L112" s="42" t="s">
        <v>278</v>
      </c>
    </row>
    <row r="113" spans="1:78" ht="72.5" x14ac:dyDescent="0.35">
      <c r="A113" s="71" t="s">
        <v>372</v>
      </c>
      <c r="B113" s="72" t="s">
        <v>373</v>
      </c>
      <c r="C113" s="72" t="s">
        <v>373</v>
      </c>
      <c r="D113" s="72" t="s">
        <v>506</v>
      </c>
      <c r="E113" s="72" t="s">
        <v>374</v>
      </c>
      <c r="F113" s="72"/>
      <c r="G113" s="72"/>
      <c r="H113" s="72"/>
      <c r="I113" s="72"/>
      <c r="J113" s="73">
        <f ca="1">TODAY()</f>
        <v>44951</v>
      </c>
      <c r="K113" s="73">
        <v>234</v>
      </c>
      <c r="L113" s="72" t="s">
        <v>155</v>
      </c>
    </row>
    <row r="115" spans="1:78" x14ac:dyDescent="0.35">
      <c r="A115" s="44" t="s">
        <v>479</v>
      </c>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row>
    <row r="116" spans="1:78" x14ac:dyDescent="0.35">
      <c r="A116" s="46" t="s">
        <v>274</v>
      </c>
      <c r="B116" s="46" t="s">
        <v>275</v>
      </c>
      <c r="C116" s="46" t="s">
        <v>276</v>
      </c>
      <c r="D116" s="46" t="s">
        <v>277</v>
      </c>
      <c r="E116" s="46" t="s">
        <v>278</v>
      </c>
      <c r="F116" s="46" t="s">
        <v>279</v>
      </c>
      <c r="G116" s="46" t="s">
        <v>280</v>
      </c>
      <c r="H116" s="46" t="s">
        <v>281</v>
      </c>
      <c r="I116" s="46" t="s">
        <v>282</v>
      </c>
      <c r="J116" s="46" t="s">
        <v>283</v>
      </c>
      <c r="K116" s="46" t="s">
        <v>284</v>
      </c>
      <c r="L116" s="46" t="s">
        <v>285</v>
      </c>
      <c r="M116" s="46" t="s">
        <v>286</v>
      </c>
      <c r="N116" s="46" t="s">
        <v>287</v>
      </c>
      <c r="O116" s="46" t="s">
        <v>288</v>
      </c>
      <c r="P116" s="46" t="s">
        <v>289</v>
      </c>
      <c r="Q116" s="46" t="s">
        <v>290</v>
      </c>
      <c r="R116" s="46" t="s">
        <v>291</v>
      </c>
      <c r="S116" s="47" t="s">
        <v>292</v>
      </c>
      <c r="T116" s="127" t="s">
        <v>293</v>
      </c>
      <c r="U116" s="128"/>
      <c r="V116" s="129"/>
      <c r="W116" s="127" t="s">
        <v>294</v>
      </c>
      <c r="X116" s="129"/>
      <c r="Y116" s="96"/>
      <c r="Z116" s="124" t="s">
        <v>295</v>
      </c>
      <c r="AA116" s="125"/>
      <c r="AB116" s="125"/>
      <c r="AC116" s="125"/>
      <c r="AD116" s="125"/>
      <c r="AE116" s="125"/>
      <c r="AF116" s="126"/>
      <c r="AG116" s="124" t="s">
        <v>296</v>
      </c>
      <c r="AH116" s="125"/>
      <c r="AI116" s="125"/>
      <c r="AJ116" s="125"/>
      <c r="AK116" s="125"/>
      <c r="AL116" s="126"/>
      <c r="AM116" s="49"/>
      <c r="AN116" s="50"/>
      <c r="AO116" s="50"/>
      <c r="AP116" s="50"/>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row>
    <row r="117" spans="1:78" x14ac:dyDescent="0.35">
      <c r="A117" s="52"/>
      <c r="B117" s="52"/>
      <c r="C117" s="52"/>
      <c r="D117" s="52"/>
      <c r="E117" s="52"/>
      <c r="F117" s="52"/>
      <c r="G117" s="52"/>
      <c r="H117" s="52"/>
      <c r="I117" s="52"/>
      <c r="J117" s="52"/>
      <c r="K117" s="52"/>
      <c r="L117" s="52"/>
      <c r="M117" s="52"/>
      <c r="N117" s="52"/>
      <c r="O117" s="52"/>
      <c r="P117" s="52"/>
      <c r="Q117" s="52"/>
      <c r="R117" s="52"/>
      <c r="S117" s="52"/>
      <c r="T117" s="53" t="s">
        <v>297</v>
      </c>
      <c r="U117" s="53" t="s">
        <v>298</v>
      </c>
      <c r="V117" s="53" t="s">
        <v>299</v>
      </c>
      <c r="W117" s="53" t="s">
        <v>300</v>
      </c>
      <c r="X117" s="53" t="s">
        <v>301</v>
      </c>
      <c r="Y117" s="53" t="s">
        <v>302</v>
      </c>
      <c r="Z117" s="53" t="s">
        <v>303</v>
      </c>
      <c r="AA117" s="53" t="s">
        <v>304</v>
      </c>
      <c r="AB117" s="53" t="s">
        <v>305</v>
      </c>
      <c r="AC117" s="53" t="s">
        <v>306</v>
      </c>
      <c r="AD117" s="53" t="s">
        <v>307</v>
      </c>
      <c r="AE117" s="53" t="s">
        <v>308</v>
      </c>
      <c r="AF117" s="53" t="s">
        <v>309</v>
      </c>
      <c r="AG117" s="53" t="s">
        <v>310</v>
      </c>
      <c r="AH117" s="53" t="s">
        <v>311</v>
      </c>
      <c r="AI117" s="53" t="s">
        <v>312</v>
      </c>
      <c r="AJ117" s="53" t="s">
        <v>313</v>
      </c>
      <c r="AK117" s="53" t="s">
        <v>314</v>
      </c>
      <c r="AL117" s="53" t="s">
        <v>315</v>
      </c>
      <c r="AM117" s="52" t="s">
        <v>316</v>
      </c>
      <c r="AN117" s="53" t="s">
        <v>317</v>
      </c>
      <c r="AO117" s="53" t="s">
        <v>318</v>
      </c>
      <c r="AP117" s="54" t="s">
        <v>319</v>
      </c>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row>
    <row r="118" spans="1:78" x14ac:dyDescent="0.35">
      <c r="A118" s="55" t="s">
        <v>320</v>
      </c>
      <c r="B118" s="28" t="str">
        <f>A5</f>
        <v>2380202516</v>
      </c>
      <c r="C118" s="55" t="s">
        <v>505</v>
      </c>
      <c r="D118" s="56" t="s">
        <v>507</v>
      </c>
      <c r="E118" s="40" t="s">
        <v>155</v>
      </c>
      <c r="F118" s="55" t="s">
        <v>480</v>
      </c>
      <c r="G118" s="57" t="str">
        <f ca="1">TEXT(TODAY()+45,"YYYY-MM-DD")</f>
        <v>2023-03-11</v>
      </c>
      <c r="H118" s="41" t="str">
        <f ca="1">TEXT(TODAY()-210,"YYYY-MM-DD")</f>
        <v>2022-06-29</v>
      </c>
      <c r="I118" s="55"/>
      <c r="J118" s="55">
        <v>12</v>
      </c>
      <c r="K118" s="55">
        <v>1</v>
      </c>
      <c r="L118" s="55" t="str">
        <f>C118&amp;TEXT(" Desc","0")</f>
        <v>DealManagement_Test_39945 Desc</v>
      </c>
      <c r="M118" s="55" t="str">
        <f>C118&amp;TEXT(" Ver Desc","0")</f>
        <v>DealManagement_Test_39945 Ver Desc</v>
      </c>
      <c r="N118" s="30" t="s">
        <v>322</v>
      </c>
      <c r="O118" s="30" t="s">
        <v>321</v>
      </c>
      <c r="P118" s="30" t="s">
        <v>322</v>
      </c>
      <c r="Q118" s="30" t="s">
        <v>321</v>
      </c>
      <c r="R118" s="30" t="s">
        <v>322</v>
      </c>
      <c r="S118" s="40"/>
      <c r="T118" s="40" t="s">
        <v>323</v>
      </c>
      <c r="U118" s="40" t="s">
        <v>324</v>
      </c>
      <c r="V118" s="40"/>
      <c r="W118" s="40" t="s">
        <v>325</v>
      </c>
      <c r="X118" s="40" t="s">
        <v>326</v>
      </c>
      <c r="Y118" s="40"/>
      <c r="Z118" s="40" t="s">
        <v>508</v>
      </c>
      <c r="AA118" s="40"/>
      <c r="AB118" s="40"/>
      <c r="AC118" s="40" t="s">
        <v>509</v>
      </c>
      <c r="AD118" s="40" t="s">
        <v>321</v>
      </c>
      <c r="AE118" s="40" t="s">
        <v>321</v>
      </c>
      <c r="AF118" s="40" t="s">
        <v>322</v>
      </c>
      <c r="AG118" s="40"/>
      <c r="AH118" s="40"/>
      <c r="AI118" s="40"/>
      <c r="AJ118" s="40" t="s">
        <v>322</v>
      </c>
      <c r="AK118" s="40" t="s">
        <v>322</v>
      </c>
      <c r="AL118" s="40" t="s">
        <v>322</v>
      </c>
      <c r="AM118" s="55"/>
      <c r="AN118" s="55">
        <v>23</v>
      </c>
      <c r="AO118" s="55">
        <v>25</v>
      </c>
      <c r="AP118" s="55">
        <v>5</v>
      </c>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row>
    <row r="120" spans="1:78" x14ac:dyDescent="0.35">
      <c r="A120" s="107" t="s">
        <v>363</v>
      </c>
      <c r="B120" s="108"/>
      <c r="C120" s="108"/>
      <c r="D120" s="108"/>
      <c r="E120" s="108"/>
      <c r="F120" s="108"/>
      <c r="G120" s="108"/>
      <c r="H120" s="108"/>
      <c r="I120" s="108"/>
      <c r="J120" s="108"/>
    </row>
    <row r="121" spans="1:78" x14ac:dyDescent="0.35">
      <c r="A121" s="94"/>
      <c r="B121" s="95"/>
      <c r="C121" s="109" t="s">
        <v>339</v>
      </c>
      <c r="D121" s="109"/>
      <c r="E121" s="109"/>
      <c r="F121" s="109"/>
      <c r="G121" s="109"/>
      <c r="H121" s="109"/>
      <c r="I121" s="109"/>
      <c r="J121" s="109"/>
      <c r="K121" s="109"/>
    </row>
    <row r="122" spans="1:78" x14ac:dyDescent="0.35">
      <c r="A122" s="110" t="s">
        <v>340</v>
      </c>
      <c r="B122" s="110" t="s">
        <v>341</v>
      </c>
      <c r="C122" s="105" t="s">
        <v>342</v>
      </c>
      <c r="D122" s="112"/>
      <c r="E122" s="112"/>
      <c r="F122" s="106"/>
      <c r="G122" s="103" t="s">
        <v>343</v>
      </c>
      <c r="H122" s="113"/>
      <c r="I122" s="113"/>
      <c r="J122" s="104"/>
      <c r="K122" s="110" t="s">
        <v>344</v>
      </c>
      <c r="L122" s="110" t="s">
        <v>345</v>
      </c>
    </row>
    <row r="123" spans="1:78" x14ac:dyDescent="0.35">
      <c r="A123" s="111"/>
      <c r="B123" s="111"/>
      <c r="C123" s="64" t="s">
        <v>346</v>
      </c>
      <c r="D123" s="64" t="s">
        <v>347</v>
      </c>
      <c r="E123" s="64" t="s">
        <v>348</v>
      </c>
      <c r="F123" s="64" t="s">
        <v>349</v>
      </c>
      <c r="G123" s="65" t="s">
        <v>346</v>
      </c>
      <c r="H123" s="65" t="s">
        <v>347</v>
      </c>
      <c r="I123" s="65" t="s">
        <v>348</v>
      </c>
      <c r="J123" s="65" t="s">
        <v>349</v>
      </c>
      <c r="K123" s="111"/>
      <c r="L123" s="111"/>
    </row>
    <row r="124" spans="1:78" x14ac:dyDescent="0.35">
      <c r="A124" s="40" t="s">
        <v>350</v>
      </c>
      <c r="B124" s="40" t="s">
        <v>351</v>
      </c>
      <c r="C124" s="30" t="str">
        <f>TEXT(926955.4,"0.0")</f>
        <v>926955.4</v>
      </c>
      <c r="D124" s="30" t="str">
        <f>TEXT(247,"0")</f>
        <v>247</v>
      </c>
      <c r="E124" s="30" t="str">
        <f>TEXT(926708.4,"0.0")</f>
        <v>926708.4</v>
      </c>
      <c r="F124" s="30" t="str">
        <f>TEXT(99.97,"0.00")</f>
        <v>99.97</v>
      </c>
      <c r="G124" s="30" t="str">
        <f>TEXT(1412.5,"0.0")</f>
        <v>1412.5</v>
      </c>
      <c r="H124" s="30" t="str">
        <f>TEXT(0,"0")</f>
        <v>0</v>
      </c>
      <c r="I124" s="30" t="str">
        <f>TEXT(1412.5,"0.0")</f>
        <v>1412.5</v>
      </c>
      <c r="J124" s="30" t="str">
        <f>TEXT(100,"0")</f>
        <v>100</v>
      </c>
      <c r="K124" s="30" t="str">
        <f>TEXT(65525.16,"0.00")</f>
        <v>65525.16</v>
      </c>
      <c r="L124" s="40" t="s">
        <v>155</v>
      </c>
    </row>
    <row r="126" spans="1:78" ht="13.25" customHeight="1" x14ac:dyDescent="0.35">
      <c r="A126" s="107" t="s">
        <v>352</v>
      </c>
      <c r="B126" s="108"/>
      <c r="C126" s="108"/>
      <c r="D126" s="108"/>
      <c r="E126" s="108"/>
      <c r="F126" s="108"/>
      <c r="G126" s="108"/>
      <c r="H126" s="108"/>
      <c r="I126" s="108"/>
      <c r="J126" s="108"/>
      <c r="K126" s="108"/>
      <c r="L126" s="108"/>
    </row>
    <row r="127" spans="1:78" x14ac:dyDescent="0.35">
      <c r="A127" s="134" t="s">
        <v>131</v>
      </c>
      <c r="B127" s="134" t="s">
        <v>353</v>
      </c>
      <c r="C127" s="116" t="s">
        <v>354</v>
      </c>
      <c r="D127" s="119" t="s">
        <v>355</v>
      </c>
      <c r="E127" s="122" t="s">
        <v>339</v>
      </c>
      <c r="F127" s="122"/>
      <c r="G127" s="122"/>
      <c r="H127" s="122"/>
      <c r="I127" s="123" t="s">
        <v>356</v>
      </c>
      <c r="J127" s="123"/>
      <c r="K127" s="123"/>
      <c r="L127" s="123"/>
    </row>
    <row r="128" spans="1:78" x14ac:dyDescent="0.35">
      <c r="A128" s="135"/>
      <c r="B128" s="135"/>
      <c r="C128" s="117"/>
      <c r="D128" s="120"/>
      <c r="E128" s="105" t="s">
        <v>357</v>
      </c>
      <c r="F128" s="106"/>
      <c r="G128" s="103" t="s">
        <v>343</v>
      </c>
      <c r="H128" s="104"/>
      <c r="I128" s="105" t="s">
        <v>357</v>
      </c>
      <c r="J128" s="106"/>
      <c r="K128" s="103" t="s">
        <v>343</v>
      </c>
      <c r="L128" s="104"/>
    </row>
    <row r="129" spans="1:26" x14ac:dyDescent="0.35">
      <c r="A129" s="136"/>
      <c r="B129" s="136" t="s">
        <v>130</v>
      </c>
      <c r="C129" s="118"/>
      <c r="D129" s="121"/>
      <c r="E129" s="64" t="s">
        <v>358</v>
      </c>
      <c r="F129" s="64" t="s">
        <v>359</v>
      </c>
      <c r="G129" s="65" t="s">
        <v>360</v>
      </c>
      <c r="H129" s="65" t="s">
        <v>361</v>
      </c>
      <c r="I129" s="64" t="s">
        <v>358</v>
      </c>
      <c r="J129" s="64" t="s">
        <v>359</v>
      </c>
      <c r="K129" s="65" t="s">
        <v>360</v>
      </c>
      <c r="L129" s="65" t="s">
        <v>361</v>
      </c>
    </row>
    <row r="130" spans="1:26" x14ac:dyDescent="0.35">
      <c r="A130" s="30" t="str">
        <f>C5&amp;",IND"</f>
        <v>DEAL_PERSON_CH1_001,IND</v>
      </c>
      <c r="B130" s="40" t="s">
        <v>350</v>
      </c>
      <c r="C130" s="55" t="s">
        <v>362</v>
      </c>
      <c r="D130" s="66" t="str">
        <f>TEXT(65525.16,"0.00")</f>
        <v>65525.16</v>
      </c>
      <c r="E130" s="67" t="str">
        <f>"$"&amp;TEXT(926955.4,"0.00")</f>
        <v>$926955.40</v>
      </c>
      <c r="F130" s="67" t="str">
        <f>"$"&amp;TEXT(247,"0.00")</f>
        <v>$247.00</v>
      </c>
      <c r="G130" s="67" t="str">
        <f>"$"&amp;TEXT(1412.5,"0.00")</f>
        <v>$1412.50</v>
      </c>
      <c r="H130" s="67" t="str">
        <f>"$"&amp;TEXT(0,"0.00")</f>
        <v>$0.00</v>
      </c>
      <c r="I130" s="68" t="str">
        <f>"$"&amp;TEXT(926955.4,"0.00")</f>
        <v>$926955.40</v>
      </c>
      <c r="J130" s="68" t="str">
        <f>"$"&amp;TEXT(247,"0.00")</f>
        <v>$247.00</v>
      </c>
      <c r="K130" s="68" t="str">
        <f>"$"&amp;TEXT(1412.5,"0.00")</f>
        <v>$1412.50</v>
      </c>
      <c r="L130" s="68" t="str">
        <f>"$"&amp;TEXT(0,"0.00")</f>
        <v>$0.00</v>
      </c>
    </row>
    <row r="132" spans="1:26" x14ac:dyDescent="0.35">
      <c r="A132" s="107" t="s">
        <v>363</v>
      </c>
      <c r="B132" s="108"/>
      <c r="C132" s="108"/>
      <c r="D132" s="108"/>
      <c r="E132" s="108"/>
      <c r="F132" s="108"/>
      <c r="G132" s="108"/>
      <c r="H132" s="108"/>
      <c r="I132" s="108"/>
      <c r="J132" s="108"/>
    </row>
    <row r="133" spans="1:26" x14ac:dyDescent="0.35">
      <c r="A133" s="94"/>
      <c r="B133" s="95"/>
      <c r="C133" s="109" t="s">
        <v>339</v>
      </c>
      <c r="D133" s="109"/>
      <c r="E133" s="109"/>
      <c r="F133" s="109"/>
      <c r="G133" s="109"/>
      <c r="H133" s="109"/>
      <c r="I133" s="109"/>
      <c r="J133" s="109"/>
      <c r="K133" s="109"/>
      <c r="Z133" s="69"/>
    </row>
    <row r="134" spans="1:26" x14ac:dyDescent="0.35">
      <c r="A134" s="110" t="s">
        <v>340</v>
      </c>
      <c r="B134" s="110" t="s">
        <v>341</v>
      </c>
      <c r="C134" s="105" t="s">
        <v>342</v>
      </c>
      <c r="D134" s="112"/>
      <c r="E134" s="112"/>
      <c r="F134" s="106"/>
      <c r="G134" s="103" t="s">
        <v>343</v>
      </c>
      <c r="H134" s="113"/>
      <c r="I134" s="113"/>
      <c r="J134" s="104"/>
      <c r="K134" s="114" t="s">
        <v>364</v>
      </c>
    </row>
    <row r="135" spans="1:26" x14ac:dyDescent="0.35">
      <c r="A135" s="111"/>
      <c r="B135" s="111"/>
      <c r="C135" s="64" t="s">
        <v>346</v>
      </c>
      <c r="D135" s="64" t="s">
        <v>347</v>
      </c>
      <c r="E135" s="64" t="s">
        <v>348</v>
      </c>
      <c r="F135" s="64" t="s">
        <v>349</v>
      </c>
      <c r="G135" s="65" t="s">
        <v>346</v>
      </c>
      <c r="H135" s="65" t="s">
        <v>347</v>
      </c>
      <c r="I135" s="65" t="s">
        <v>348</v>
      </c>
      <c r="J135" s="65" t="s">
        <v>349</v>
      </c>
      <c r="K135" s="115"/>
    </row>
    <row r="136" spans="1:26" x14ac:dyDescent="0.35">
      <c r="A136" s="55" t="s">
        <v>350</v>
      </c>
      <c r="B136" s="70"/>
      <c r="C136" s="30" t="str">
        <f>"$"&amp;TEXT(926955.4,"0.00")</f>
        <v>$926955.40</v>
      </c>
      <c r="D136" s="30" t="str">
        <f>"$"&amp;TEXT(247,"0.00")</f>
        <v>$247.00</v>
      </c>
      <c r="E136" s="30" t="str">
        <f>"$"&amp;TEXT(926708.4,"0.00")</f>
        <v>$926708.40</v>
      </c>
      <c r="F136" s="30" t="str">
        <f>TEXT(99.97,"0.00")</f>
        <v>99.97</v>
      </c>
      <c r="G136" s="30" t="str">
        <f>"$"&amp;TEXT(1412.5,"0.00")</f>
        <v>$1412.50</v>
      </c>
      <c r="H136" s="30" t="str">
        <f>"$"&amp;TEXT(0,"0.00")</f>
        <v>$0.00</v>
      </c>
      <c r="I136" s="30" t="str">
        <f>"$"&amp;TEXT(1412.5,"0.00")</f>
        <v>$1412.50</v>
      </c>
      <c r="J136" s="30" t="str">
        <f>TEXT(100,"0.00")</f>
        <v>100.00</v>
      </c>
      <c r="K136" s="30" t="str">
        <f>TEXT(65525.16,"0.00")</f>
        <v>65525.16</v>
      </c>
    </row>
    <row r="138" spans="1:26" x14ac:dyDescent="0.35">
      <c r="A138" s="44" t="s">
        <v>365</v>
      </c>
      <c r="B138" s="45"/>
      <c r="C138" s="45"/>
    </row>
    <row r="139" spans="1:26" x14ac:dyDescent="0.35">
      <c r="A139" s="42" t="s">
        <v>365</v>
      </c>
      <c r="B139" s="42" t="s">
        <v>366</v>
      </c>
      <c r="C139" s="42" t="s">
        <v>367</v>
      </c>
      <c r="D139" s="42" t="s">
        <v>368</v>
      </c>
      <c r="E139" s="42" t="s">
        <v>283</v>
      </c>
      <c r="F139" s="42" t="s">
        <v>183</v>
      </c>
      <c r="G139" s="42" t="s">
        <v>184</v>
      </c>
      <c r="H139" s="42" t="s">
        <v>369</v>
      </c>
      <c r="I139" s="42" t="s">
        <v>370</v>
      </c>
      <c r="J139" s="42" t="s">
        <v>371</v>
      </c>
      <c r="K139" s="42" t="s">
        <v>280</v>
      </c>
      <c r="L139" s="42" t="s">
        <v>278</v>
      </c>
    </row>
    <row r="140" spans="1:26" ht="72.5" x14ac:dyDescent="0.35">
      <c r="A140" s="71" t="s">
        <v>372</v>
      </c>
      <c r="B140" s="72" t="s">
        <v>373</v>
      </c>
      <c r="C140" s="72" t="s">
        <v>373</v>
      </c>
      <c r="D140" s="72" t="s">
        <v>374</v>
      </c>
      <c r="E140" s="72" t="s">
        <v>375</v>
      </c>
      <c r="F140" s="72"/>
      <c r="G140" s="72"/>
      <c r="H140" s="72"/>
      <c r="I140" s="72"/>
      <c r="J140" s="73">
        <f ca="1">TODAY()</f>
        <v>44951</v>
      </c>
      <c r="K140" s="73">
        <v>234</v>
      </c>
      <c r="L140" s="72" t="s">
        <v>155</v>
      </c>
    </row>
    <row r="142" spans="1:26" x14ac:dyDescent="0.35">
      <c r="A142" s="44" t="s">
        <v>376</v>
      </c>
      <c r="B142" s="45"/>
      <c r="C142" s="45"/>
    </row>
    <row r="143" spans="1:26" x14ac:dyDescent="0.35">
      <c r="A143" s="42" t="s">
        <v>377</v>
      </c>
      <c r="B143" s="42" t="s">
        <v>378</v>
      </c>
      <c r="C143" s="42" t="s">
        <v>379</v>
      </c>
      <c r="D143" s="42" t="s">
        <v>380</v>
      </c>
    </row>
    <row r="144" spans="1:26" x14ac:dyDescent="0.35">
      <c r="A144" s="74" t="str">
        <f ca="1">TEXT(TODAY(),"YYYY-MM-DD")</f>
        <v>2023-01-25</v>
      </c>
      <c r="B144" s="75" t="s">
        <v>383</v>
      </c>
      <c r="C144" s="75" t="s">
        <v>381</v>
      </c>
      <c r="D144" s="75" t="s">
        <v>382</v>
      </c>
    </row>
    <row r="145" spans="1:47" x14ac:dyDescent="0.35">
      <c r="A145" s="74" t="str">
        <f ca="1">TEXT(TODAY(),"YYYY-MM-DD")</f>
        <v>2023-01-25</v>
      </c>
      <c r="B145" s="75" t="s">
        <v>384</v>
      </c>
      <c r="C145" s="75" t="s">
        <v>381</v>
      </c>
      <c r="D145" s="75" t="s">
        <v>382</v>
      </c>
    </row>
    <row r="146" spans="1:47" x14ac:dyDescent="0.35">
      <c r="A146" s="74" t="str">
        <f ca="1">TEXT(TODAY(),"YYYY-MM-DD")</f>
        <v>2023-01-25</v>
      </c>
      <c r="B146" s="75" t="s">
        <v>385</v>
      </c>
      <c r="C146" s="75" t="s">
        <v>381</v>
      </c>
      <c r="D146" s="75" t="s">
        <v>386</v>
      </c>
    </row>
    <row r="148" spans="1:47" x14ac:dyDescent="0.35">
      <c r="A148" s="130" t="s">
        <v>490</v>
      </c>
      <c r="B148" s="131"/>
      <c r="C148" s="131"/>
      <c r="D148" s="131"/>
      <c r="E148" s="131"/>
      <c r="F148" s="131"/>
      <c r="G148" s="131"/>
      <c r="H148" s="131"/>
      <c r="I148" s="131"/>
      <c r="J148" s="131"/>
      <c r="K148" s="131"/>
      <c r="L148" s="131"/>
      <c r="M148" s="131"/>
      <c r="N148" s="131"/>
      <c r="O148" s="131"/>
      <c r="P148" s="131"/>
      <c r="Q148" s="131"/>
      <c r="R148" s="131"/>
      <c r="S148" s="63"/>
      <c r="T148" s="63"/>
      <c r="U148" s="63"/>
      <c r="V148" s="63"/>
      <c r="W148" s="63"/>
      <c r="X148" s="63"/>
      <c r="Y148" s="63"/>
      <c r="Z148" s="63"/>
    </row>
    <row r="149" spans="1:47" x14ac:dyDescent="0.35">
      <c r="A149" s="76" t="s">
        <v>387</v>
      </c>
      <c r="B149" s="76" t="s">
        <v>388</v>
      </c>
      <c r="C149" s="76" t="s">
        <v>389</v>
      </c>
      <c r="D149" s="76" t="s">
        <v>280</v>
      </c>
      <c r="E149" s="76" t="s">
        <v>292</v>
      </c>
      <c r="F149" s="76" t="s">
        <v>187</v>
      </c>
      <c r="G149" s="76" t="s">
        <v>390</v>
      </c>
      <c r="H149" s="76" t="s">
        <v>391</v>
      </c>
      <c r="I149" s="76" t="s">
        <v>166</v>
      </c>
      <c r="J149" s="76" t="s">
        <v>392</v>
      </c>
      <c r="K149" s="76" t="s">
        <v>346</v>
      </c>
      <c r="L149" s="76" t="s">
        <v>393</v>
      </c>
      <c r="M149" s="76" t="s">
        <v>347</v>
      </c>
      <c r="N149" s="76" t="s">
        <v>394</v>
      </c>
      <c r="O149" s="76" t="s">
        <v>395</v>
      </c>
      <c r="P149" s="76" t="s">
        <v>354</v>
      </c>
      <c r="Q149" s="76" t="s">
        <v>396</v>
      </c>
      <c r="R149" s="76" t="s">
        <v>397</v>
      </c>
      <c r="S149" s="76" t="s">
        <v>398</v>
      </c>
      <c r="T149" s="76" t="s">
        <v>330</v>
      </c>
      <c r="U149" s="76" t="s">
        <v>329</v>
      </c>
      <c r="V149" s="76" t="s">
        <v>399</v>
      </c>
      <c r="W149" s="76" t="s">
        <v>400</v>
      </c>
      <c r="X149" s="76" t="s">
        <v>401</v>
      </c>
      <c r="Y149" s="76" t="s">
        <v>402</v>
      </c>
      <c r="Z149" s="76" t="s">
        <v>403</v>
      </c>
    </row>
    <row r="150" spans="1:47" x14ac:dyDescent="0.35">
      <c r="A150" s="77" t="s">
        <v>200</v>
      </c>
      <c r="B150" s="78"/>
      <c r="C150" s="81" t="s">
        <v>413</v>
      </c>
      <c r="D150" s="81" t="str">
        <f ca="1">TEXT(TODAY(),"YYYY-MM-DD")</f>
        <v>2023-01-25</v>
      </c>
      <c r="E150" s="81"/>
      <c r="F150" s="81" t="str">
        <f>TEXT(112.04,"0.00")</f>
        <v>112.04</v>
      </c>
      <c r="G150" s="81" t="s">
        <v>405</v>
      </c>
      <c r="H150" s="81" t="str">
        <f>F150</f>
        <v>112.04</v>
      </c>
      <c r="I150" s="81" t="s">
        <v>168</v>
      </c>
      <c r="J150" s="81" t="str">
        <f>TEXT(1,"0")</f>
        <v>1</v>
      </c>
      <c r="K150" s="81" t="str">
        <f>TEXT(112.04,"0.00")</f>
        <v>112.04</v>
      </c>
      <c r="L150" s="81"/>
      <c r="M150" s="81" t="str">
        <f>TEXT(13,"0")</f>
        <v>13</v>
      </c>
      <c r="N150" s="81" t="s">
        <v>179</v>
      </c>
      <c r="O150" s="81" t="s">
        <v>417</v>
      </c>
      <c r="P150" s="81"/>
      <c r="Q150" s="81" t="s">
        <v>410</v>
      </c>
      <c r="R150" s="81"/>
      <c r="S150" s="81" t="s">
        <v>199</v>
      </c>
      <c r="T150" s="81"/>
      <c r="U150" s="81"/>
      <c r="V150" s="81"/>
      <c r="W150" s="81"/>
      <c r="X150" s="81"/>
      <c r="Y150" s="81"/>
      <c r="Z150" s="81"/>
      <c r="AU150" t="s">
        <v>447</v>
      </c>
    </row>
    <row r="151" spans="1:47" x14ac:dyDescent="0.35">
      <c r="A151" s="77" t="s">
        <v>200</v>
      </c>
      <c r="B151" s="78"/>
      <c r="C151" s="79" t="s">
        <v>404</v>
      </c>
      <c r="D151" s="80" t="str">
        <f ca="1">TEXT(TODAY()+45,"YYYY-MM-DD")</f>
        <v>2023-03-11</v>
      </c>
      <c r="E151" s="80"/>
      <c r="F151" s="80">
        <v>11</v>
      </c>
      <c r="G151" s="80" t="s">
        <v>405</v>
      </c>
      <c r="H151" s="80">
        <f>F151</f>
        <v>11</v>
      </c>
      <c r="I151" s="79" t="s">
        <v>168</v>
      </c>
      <c r="J151" s="80" t="str">
        <f>TEXT(4,"0")</f>
        <v>4</v>
      </c>
      <c r="K151" s="80" t="str">
        <f>TEXT(H151*J151,"0")</f>
        <v>44</v>
      </c>
      <c r="L151" s="80"/>
      <c r="M151" s="80" t="str">
        <f>TEXT(52,"0")</f>
        <v>52</v>
      </c>
      <c r="N151" s="79" t="s">
        <v>179</v>
      </c>
      <c r="O151" s="79" t="s">
        <v>417</v>
      </c>
      <c r="P151" s="79" t="s">
        <v>409</v>
      </c>
      <c r="Q151" s="79" t="s">
        <v>410</v>
      </c>
      <c r="R151" s="79"/>
      <c r="S151" s="79" t="s">
        <v>199</v>
      </c>
      <c r="T151" s="79" t="s">
        <v>333</v>
      </c>
      <c r="U151" s="79" t="str">
        <f>A5</f>
        <v>2380202516</v>
      </c>
      <c r="V151" s="79" t="s">
        <v>406</v>
      </c>
      <c r="W151" s="79" t="s">
        <v>177</v>
      </c>
      <c r="X151" s="79" t="s">
        <v>407</v>
      </c>
      <c r="Y151" s="79" t="s">
        <v>408</v>
      </c>
      <c r="Z151" s="79"/>
      <c r="AU151" t="s">
        <v>530</v>
      </c>
    </row>
    <row r="152" spans="1:47" x14ac:dyDescent="0.35">
      <c r="A152" s="77" t="s">
        <v>200</v>
      </c>
      <c r="B152" s="78"/>
      <c r="C152" s="84" t="s">
        <v>412</v>
      </c>
      <c r="D152" s="84" t="str">
        <f ca="1">TEXT(TODAY()+70,"YYYY-MM-DD")</f>
        <v>2023-04-05</v>
      </c>
      <c r="E152" s="84"/>
      <c r="F152" s="84">
        <v>10</v>
      </c>
      <c r="G152" s="84" t="s">
        <v>405</v>
      </c>
      <c r="H152" s="84">
        <f>F152</f>
        <v>10</v>
      </c>
      <c r="I152" s="84" t="s">
        <v>168</v>
      </c>
      <c r="J152" s="84" t="str">
        <f>TEXT(4,"0")</f>
        <v>4</v>
      </c>
      <c r="K152" s="84" t="str">
        <f>TEXT(H152*J152,"0")</f>
        <v>40</v>
      </c>
      <c r="L152" s="84"/>
      <c r="M152" s="84" t="str">
        <f>TEXT(52,"0")</f>
        <v>52</v>
      </c>
      <c r="N152" s="84"/>
      <c r="O152" s="84" t="s">
        <v>411</v>
      </c>
      <c r="P152" s="84" t="s">
        <v>409</v>
      </c>
      <c r="Q152" s="84" t="s">
        <v>410</v>
      </c>
      <c r="R152" s="84"/>
      <c r="S152" s="84" t="s">
        <v>199</v>
      </c>
      <c r="T152" s="84" t="s">
        <v>333</v>
      </c>
      <c r="U152" s="79" t="str">
        <f>A5</f>
        <v>2380202516</v>
      </c>
      <c r="V152" s="84" t="s">
        <v>406</v>
      </c>
      <c r="W152" s="84" t="s">
        <v>177</v>
      </c>
      <c r="X152" s="84" t="s">
        <v>407</v>
      </c>
      <c r="Y152" s="84" t="s">
        <v>408</v>
      </c>
      <c r="Z152" s="84"/>
      <c r="AU152" t="s">
        <v>531</v>
      </c>
    </row>
    <row r="154" spans="1:47" x14ac:dyDescent="0.35">
      <c r="A154" s="130" t="s">
        <v>489</v>
      </c>
      <c r="B154" s="131"/>
      <c r="C154" s="131"/>
      <c r="D154" s="131"/>
      <c r="E154" s="131"/>
      <c r="F154" s="131"/>
      <c r="G154" s="131"/>
      <c r="H154" s="131"/>
      <c r="I154" s="131"/>
      <c r="J154" s="131"/>
      <c r="K154" s="131"/>
      <c r="L154" s="131"/>
      <c r="M154" s="131"/>
      <c r="N154" s="131"/>
      <c r="O154" s="131"/>
      <c r="P154" s="131"/>
      <c r="Q154" s="131"/>
      <c r="R154" s="131"/>
      <c r="S154" s="82"/>
      <c r="T154" s="82"/>
      <c r="U154" s="82"/>
      <c r="V154" s="82"/>
      <c r="W154" s="82"/>
      <c r="X154" s="82"/>
      <c r="Y154" s="82"/>
      <c r="Z154" s="82"/>
    </row>
    <row r="155" spans="1:47" x14ac:dyDescent="0.35">
      <c r="A155" s="76" t="s">
        <v>387</v>
      </c>
      <c r="B155" s="76" t="s">
        <v>388</v>
      </c>
      <c r="C155" s="76" t="s">
        <v>389</v>
      </c>
      <c r="D155" s="76" t="s">
        <v>280</v>
      </c>
      <c r="E155" s="76" t="s">
        <v>292</v>
      </c>
      <c r="F155" s="76" t="s">
        <v>187</v>
      </c>
      <c r="G155" s="76" t="s">
        <v>390</v>
      </c>
      <c r="H155" s="76" t="s">
        <v>391</v>
      </c>
      <c r="I155" s="76" t="s">
        <v>166</v>
      </c>
      <c r="J155" s="76" t="s">
        <v>392</v>
      </c>
      <c r="K155" s="76" t="s">
        <v>346</v>
      </c>
      <c r="L155" s="76" t="s">
        <v>393</v>
      </c>
      <c r="M155" s="76" t="s">
        <v>347</v>
      </c>
      <c r="N155" s="76" t="s">
        <v>394</v>
      </c>
      <c r="O155" s="76" t="s">
        <v>395</v>
      </c>
      <c r="P155" s="76" t="s">
        <v>354</v>
      </c>
      <c r="Q155" s="76" t="s">
        <v>396</v>
      </c>
      <c r="R155" s="76" t="s">
        <v>397</v>
      </c>
      <c r="S155" s="76" t="s">
        <v>398</v>
      </c>
      <c r="T155" s="76" t="s">
        <v>330</v>
      </c>
      <c r="U155" s="76" t="s">
        <v>329</v>
      </c>
      <c r="V155" s="76" t="s">
        <v>399</v>
      </c>
      <c r="W155" s="76" t="s">
        <v>400</v>
      </c>
      <c r="X155" s="76" t="s">
        <v>401</v>
      </c>
      <c r="Y155" s="76" t="s">
        <v>402</v>
      </c>
      <c r="Z155" s="76" t="s">
        <v>403</v>
      </c>
    </row>
    <row r="156" spans="1:47" ht="19" customHeight="1" x14ac:dyDescent="0.35">
      <c r="A156" s="78" t="s">
        <v>207</v>
      </c>
      <c r="B156" s="78"/>
      <c r="C156" s="81" t="s">
        <v>413</v>
      </c>
      <c r="D156" s="81" t="str">
        <f ca="1">TEXT(TODAY(),"YYYY-MM-DD")</f>
        <v>2023-01-25</v>
      </c>
      <c r="E156" s="81"/>
      <c r="F156" s="81" t="s">
        <v>414</v>
      </c>
      <c r="G156" s="81" t="s">
        <v>405</v>
      </c>
      <c r="H156" s="81" t="str">
        <f>TEXT(24.33,"0.00")</f>
        <v>24.33</v>
      </c>
      <c r="I156" s="81" t="s">
        <v>168</v>
      </c>
      <c r="J156" s="81" t="str">
        <f>TEXT(1,"0")</f>
        <v>1</v>
      </c>
      <c r="K156" s="81" t="str">
        <f>TEXT(24.33,"0.00")</f>
        <v>24.33</v>
      </c>
      <c r="L156" s="81"/>
      <c r="M156" s="81" t="str">
        <f>TEXT(13,"0")</f>
        <v>13</v>
      </c>
      <c r="N156" s="81"/>
      <c r="O156" s="81" t="s">
        <v>411</v>
      </c>
      <c r="P156" s="81"/>
      <c r="Q156" s="81"/>
      <c r="R156" s="81"/>
      <c r="S156" s="81" t="s">
        <v>416</v>
      </c>
      <c r="T156" s="81" t="s">
        <v>333</v>
      </c>
      <c r="U156" s="81"/>
      <c r="V156" s="81"/>
      <c r="W156" s="81"/>
      <c r="X156" s="81"/>
      <c r="Y156" s="81"/>
      <c r="Z156" s="81"/>
      <c r="AA156" s="81"/>
      <c r="AU156" t="s">
        <v>449</v>
      </c>
    </row>
    <row r="157" spans="1:47" ht="19" customHeight="1" x14ac:dyDescent="0.35">
      <c r="A157" s="78" t="s">
        <v>207</v>
      </c>
      <c r="B157" s="78"/>
      <c r="C157" s="79" t="s">
        <v>436</v>
      </c>
      <c r="D157" s="80" t="str">
        <f>TEXT("2020-01-01","YYYY-MM-DD")</f>
        <v>2020-01-01</v>
      </c>
      <c r="E157" s="79"/>
      <c r="F157" s="79" t="s">
        <v>414</v>
      </c>
      <c r="G157" s="79" t="s">
        <v>405</v>
      </c>
      <c r="H157" s="79" t="s">
        <v>210</v>
      </c>
      <c r="I157" s="79" t="s">
        <v>168</v>
      </c>
      <c r="J157" s="79" t="s">
        <v>420</v>
      </c>
      <c r="K157" s="79" t="s">
        <v>419</v>
      </c>
      <c r="L157" s="79"/>
      <c r="M157" s="79" t="s">
        <v>418</v>
      </c>
      <c r="N157" s="79"/>
      <c r="O157" s="79" t="s">
        <v>411</v>
      </c>
      <c r="P157" s="79" t="s">
        <v>415</v>
      </c>
      <c r="Q157" s="79"/>
      <c r="R157" s="79"/>
      <c r="S157" s="85" t="s">
        <v>416</v>
      </c>
      <c r="T157" s="79" t="s">
        <v>333</v>
      </c>
      <c r="U157" s="79" t="str">
        <f>A5</f>
        <v>2380202516</v>
      </c>
      <c r="V157" s="79" t="s">
        <v>406</v>
      </c>
      <c r="W157" s="79">
        <v>1</v>
      </c>
      <c r="X157" s="79">
        <v>0</v>
      </c>
      <c r="Y157" s="79" t="s">
        <v>408</v>
      </c>
      <c r="Z157" s="79"/>
      <c r="AU157" t="s">
        <v>493</v>
      </c>
    </row>
    <row r="158" spans="1:47" ht="19" customHeight="1" x14ac:dyDescent="0.35">
      <c r="A158" s="78" t="s">
        <v>207</v>
      </c>
      <c r="B158" s="78"/>
      <c r="C158" s="79" t="s">
        <v>404</v>
      </c>
      <c r="D158" s="80" t="str">
        <f ca="1">TEXT(TODAY()+45,"YYYY-MM-DD")</f>
        <v>2023-03-11</v>
      </c>
      <c r="E158" s="79"/>
      <c r="F158" s="79" t="s">
        <v>414</v>
      </c>
      <c r="G158" s="79" t="s">
        <v>405</v>
      </c>
      <c r="H158" s="79" t="s">
        <v>210</v>
      </c>
      <c r="I158" s="79" t="s">
        <v>168</v>
      </c>
      <c r="J158" s="79" t="s">
        <v>420</v>
      </c>
      <c r="K158" s="79" t="s">
        <v>419</v>
      </c>
      <c r="L158" s="79"/>
      <c r="M158" s="79" t="s">
        <v>418</v>
      </c>
      <c r="N158" s="79"/>
      <c r="O158" s="79" t="s">
        <v>411</v>
      </c>
      <c r="P158" s="79" t="s">
        <v>415</v>
      </c>
      <c r="Q158" s="79"/>
      <c r="R158" s="79"/>
      <c r="S158" s="85" t="s">
        <v>416</v>
      </c>
      <c r="T158" s="79" t="s">
        <v>333</v>
      </c>
      <c r="U158" s="79" t="str">
        <f>A5</f>
        <v>2380202516</v>
      </c>
      <c r="V158" s="79" t="s">
        <v>406</v>
      </c>
      <c r="W158" s="79">
        <v>1</v>
      </c>
      <c r="X158" s="79">
        <v>0</v>
      </c>
      <c r="Y158" s="79" t="s">
        <v>408</v>
      </c>
      <c r="Z158" s="79"/>
      <c r="AU158" t="s">
        <v>495</v>
      </c>
    </row>
    <row r="159" spans="1:47" ht="19" customHeight="1" x14ac:dyDescent="0.35">
      <c r="A159" s="78" t="s">
        <v>207</v>
      </c>
      <c r="B159" s="78"/>
      <c r="C159" s="84" t="s">
        <v>412</v>
      </c>
      <c r="D159" s="84" t="str">
        <f ca="1">TEXT(TODAY()+30,"YYYY-MM-DD")</f>
        <v>2023-02-24</v>
      </c>
      <c r="E159" s="84"/>
      <c r="F159" s="84" t="s">
        <v>421</v>
      </c>
      <c r="G159" s="84" t="s">
        <v>405</v>
      </c>
      <c r="H159" s="84" t="s">
        <v>210</v>
      </c>
      <c r="I159" s="84" t="s">
        <v>168</v>
      </c>
      <c r="J159" s="84" t="s">
        <v>420</v>
      </c>
      <c r="K159" s="84" t="s">
        <v>419</v>
      </c>
      <c r="L159" s="84"/>
      <c r="M159" s="84" t="s">
        <v>418</v>
      </c>
      <c r="N159" s="84"/>
      <c r="O159" s="84" t="s">
        <v>411</v>
      </c>
      <c r="P159" s="84" t="s">
        <v>415</v>
      </c>
      <c r="Q159" s="84"/>
      <c r="R159" s="84"/>
      <c r="S159" s="84" t="s">
        <v>416</v>
      </c>
      <c r="T159" s="84" t="s">
        <v>333</v>
      </c>
      <c r="U159" s="79" t="str">
        <f>A5</f>
        <v>2380202516</v>
      </c>
      <c r="V159" s="84" t="s">
        <v>406</v>
      </c>
      <c r="W159" s="84">
        <v>1</v>
      </c>
      <c r="X159" s="84">
        <v>0</v>
      </c>
      <c r="Y159" s="84" t="s">
        <v>408</v>
      </c>
      <c r="Z159" s="84"/>
      <c r="AU159" t="s">
        <v>448</v>
      </c>
    </row>
    <row r="161" spans="1:47" x14ac:dyDescent="0.35">
      <c r="A161" s="130" t="s">
        <v>488</v>
      </c>
      <c r="B161" s="131"/>
      <c r="C161" s="131"/>
      <c r="D161" s="131"/>
      <c r="E161" s="131"/>
      <c r="F161" s="131"/>
      <c r="G161" s="131"/>
      <c r="H161" s="131"/>
      <c r="I161" s="131"/>
      <c r="J161" s="131"/>
      <c r="K161" s="131"/>
      <c r="L161" s="131"/>
      <c r="M161" s="131"/>
      <c r="N161" s="131"/>
      <c r="O161" s="131"/>
      <c r="P161" s="131"/>
      <c r="Q161" s="131"/>
      <c r="R161" s="131"/>
      <c r="S161" s="83"/>
      <c r="T161" s="83"/>
      <c r="U161" s="83"/>
      <c r="V161" s="83"/>
      <c r="W161" s="83"/>
      <c r="X161" s="83"/>
      <c r="Y161" s="83"/>
      <c r="Z161" s="83"/>
    </row>
    <row r="162" spans="1:47" x14ac:dyDescent="0.35">
      <c r="A162" s="76" t="s">
        <v>387</v>
      </c>
      <c r="B162" s="76" t="s">
        <v>388</v>
      </c>
      <c r="C162" s="76" t="s">
        <v>389</v>
      </c>
      <c r="D162" s="76" t="s">
        <v>280</v>
      </c>
      <c r="E162" s="76" t="s">
        <v>292</v>
      </c>
      <c r="F162" s="76" t="s">
        <v>187</v>
      </c>
      <c r="G162" s="76" t="s">
        <v>390</v>
      </c>
      <c r="H162" s="76" t="s">
        <v>391</v>
      </c>
      <c r="I162" s="76" t="s">
        <v>166</v>
      </c>
      <c r="J162" s="76" t="s">
        <v>392</v>
      </c>
      <c r="K162" s="76" t="s">
        <v>346</v>
      </c>
      <c r="L162" s="76" t="s">
        <v>393</v>
      </c>
      <c r="M162" s="76" t="s">
        <v>347</v>
      </c>
      <c r="N162" s="76" t="s">
        <v>394</v>
      </c>
      <c r="O162" s="76" t="s">
        <v>395</v>
      </c>
      <c r="P162" s="76" t="s">
        <v>354</v>
      </c>
      <c r="Q162" s="76" t="s">
        <v>396</v>
      </c>
      <c r="R162" s="76" t="s">
        <v>397</v>
      </c>
      <c r="S162" s="76" t="s">
        <v>398</v>
      </c>
      <c r="T162" s="76" t="s">
        <v>330</v>
      </c>
      <c r="U162" s="76" t="s">
        <v>329</v>
      </c>
      <c r="V162" s="76" t="s">
        <v>399</v>
      </c>
      <c r="W162" s="76" t="s">
        <v>400</v>
      </c>
      <c r="X162" s="76" t="s">
        <v>401</v>
      </c>
      <c r="Y162" s="76" t="s">
        <v>402</v>
      </c>
      <c r="Z162" s="76" t="s">
        <v>403</v>
      </c>
    </row>
    <row r="163" spans="1:47" ht="19" customHeight="1" x14ac:dyDescent="0.35">
      <c r="A163" s="78" t="s">
        <v>214</v>
      </c>
      <c r="B163" s="78"/>
      <c r="C163" s="81" t="s">
        <v>413</v>
      </c>
      <c r="D163" s="81" t="str">
        <f ca="1">TEXT(TODAY(),"YYYY-MM-DD")</f>
        <v>2023-01-25</v>
      </c>
      <c r="E163" s="81"/>
      <c r="F163" s="81" t="s">
        <v>414</v>
      </c>
      <c r="G163" s="81" t="s">
        <v>423</v>
      </c>
      <c r="H163" s="81" t="str">
        <f>TEXT(25.33,"0.00")</f>
        <v>25.33</v>
      </c>
      <c r="I163" s="81" t="s">
        <v>168</v>
      </c>
      <c r="J163" s="81" t="str">
        <f>TEXT(1,"0")</f>
        <v>1</v>
      </c>
      <c r="K163" s="81" t="str">
        <f>TEXT(25.33,"0.00")</f>
        <v>25.33</v>
      </c>
      <c r="L163" s="81"/>
      <c r="M163" s="81" t="str">
        <f>TEXT(13,"0")</f>
        <v>13</v>
      </c>
      <c r="N163" s="81"/>
      <c r="O163" s="81" t="s">
        <v>411</v>
      </c>
      <c r="P163" s="81"/>
      <c r="Q163" s="81"/>
      <c r="R163" s="81"/>
      <c r="S163" s="81" t="s">
        <v>416</v>
      </c>
      <c r="T163" s="81" t="s">
        <v>333</v>
      </c>
      <c r="U163" s="81"/>
      <c r="V163" s="81"/>
      <c r="W163" s="81"/>
      <c r="X163" s="81"/>
      <c r="Y163" s="81"/>
      <c r="Z163" s="81"/>
      <c r="AA163" s="81"/>
      <c r="AU163" t="s">
        <v>451</v>
      </c>
    </row>
    <row r="164" spans="1:47" ht="19" customHeight="1" x14ac:dyDescent="0.35">
      <c r="A164" s="78" t="s">
        <v>214</v>
      </c>
      <c r="B164" s="78"/>
      <c r="C164" s="79" t="s">
        <v>436</v>
      </c>
      <c r="D164" s="80" t="str">
        <f>TEXT("2020-01-01","YYYY-MM-DD")</f>
        <v>2020-01-01</v>
      </c>
      <c r="E164" s="79"/>
      <c r="F164" s="79" t="s">
        <v>414</v>
      </c>
      <c r="G164" s="79" t="s">
        <v>423</v>
      </c>
      <c r="H164" s="79" t="s">
        <v>210</v>
      </c>
      <c r="I164" s="79" t="s">
        <v>168</v>
      </c>
      <c r="J164" s="79" t="s">
        <v>420</v>
      </c>
      <c r="K164" s="79" t="s">
        <v>422</v>
      </c>
      <c r="L164" s="79"/>
      <c r="M164" s="79" t="s">
        <v>418</v>
      </c>
      <c r="N164" s="79"/>
      <c r="O164" s="79" t="s">
        <v>411</v>
      </c>
      <c r="P164" s="79" t="s">
        <v>415</v>
      </c>
      <c r="Q164" s="79"/>
      <c r="R164" s="79"/>
      <c r="S164" s="85" t="s">
        <v>416</v>
      </c>
      <c r="T164" s="79" t="s">
        <v>333</v>
      </c>
      <c r="U164" s="79" t="str">
        <f>A5</f>
        <v>2380202516</v>
      </c>
      <c r="V164" s="79" t="s">
        <v>406</v>
      </c>
      <c r="W164" s="79">
        <v>1</v>
      </c>
      <c r="X164" s="79">
        <v>0</v>
      </c>
      <c r="Y164" s="79"/>
      <c r="Z164" s="79"/>
      <c r="AU164" t="s">
        <v>494</v>
      </c>
    </row>
    <row r="165" spans="1:47" ht="19" customHeight="1" x14ac:dyDescent="0.35">
      <c r="A165" s="78" t="s">
        <v>214</v>
      </c>
      <c r="B165" s="78"/>
      <c r="C165" s="79" t="s">
        <v>404</v>
      </c>
      <c r="D165" s="80" t="str">
        <f ca="1">TEXT(TODAY()+45,"YYYY-MM-DD")</f>
        <v>2023-03-11</v>
      </c>
      <c r="E165" s="79"/>
      <c r="F165" s="79" t="s">
        <v>414</v>
      </c>
      <c r="G165" s="79" t="s">
        <v>423</v>
      </c>
      <c r="H165" s="79" t="s">
        <v>210</v>
      </c>
      <c r="I165" s="79" t="s">
        <v>168</v>
      </c>
      <c r="J165" s="79" t="s">
        <v>420</v>
      </c>
      <c r="K165" s="79" t="s">
        <v>422</v>
      </c>
      <c r="L165" s="79"/>
      <c r="M165" s="79" t="s">
        <v>418</v>
      </c>
      <c r="N165" s="79"/>
      <c r="O165" s="79" t="s">
        <v>411</v>
      </c>
      <c r="P165" s="79" t="s">
        <v>415</v>
      </c>
      <c r="Q165" s="79"/>
      <c r="R165" s="79"/>
      <c r="S165" s="85" t="s">
        <v>416</v>
      </c>
      <c r="T165" s="79" t="s">
        <v>333</v>
      </c>
      <c r="U165" s="79" t="str">
        <f>A5</f>
        <v>2380202516</v>
      </c>
      <c r="V165" s="79" t="s">
        <v>406</v>
      </c>
      <c r="W165" s="79">
        <v>1</v>
      </c>
      <c r="X165" s="79">
        <v>0</v>
      </c>
      <c r="Y165" s="79" t="s">
        <v>408</v>
      </c>
      <c r="Z165" s="79"/>
      <c r="AU165" t="s">
        <v>496</v>
      </c>
    </row>
    <row r="166" spans="1:47" ht="19" customHeight="1" x14ac:dyDescent="0.35">
      <c r="A166" s="78" t="s">
        <v>214</v>
      </c>
      <c r="B166" s="78"/>
      <c r="C166" s="84" t="s">
        <v>412</v>
      </c>
      <c r="D166" s="84" t="str">
        <f ca="1">TEXT(TODAY()+30,"YYYY-MM-DD")</f>
        <v>2023-02-24</v>
      </c>
      <c r="E166" s="84"/>
      <c r="F166" s="84" t="s">
        <v>421</v>
      </c>
      <c r="G166" s="84" t="s">
        <v>423</v>
      </c>
      <c r="H166" s="84">
        <v>12.95</v>
      </c>
      <c r="I166" s="84" t="s">
        <v>168</v>
      </c>
      <c r="J166" s="84">
        <v>4</v>
      </c>
      <c r="K166" s="84" t="s">
        <v>422</v>
      </c>
      <c r="L166" s="84"/>
      <c r="M166" s="84" t="s">
        <v>418</v>
      </c>
      <c r="N166" s="84"/>
      <c r="O166" s="84" t="s">
        <v>411</v>
      </c>
      <c r="P166" s="84" t="s">
        <v>415</v>
      </c>
      <c r="Q166" s="84"/>
      <c r="R166" s="84"/>
      <c r="S166" s="84" t="s">
        <v>416</v>
      </c>
      <c r="T166" s="84" t="s">
        <v>333</v>
      </c>
      <c r="U166" s="98" t="str">
        <f>A5</f>
        <v>2380202516</v>
      </c>
      <c r="V166" s="84" t="s">
        <v>406</v>
      </c>
      <c r="W166" s="84">
        <v>1</v>
      </c>
      <c r="X166" s="84">
        <v>0</v>
      </c>
      <c r="Y166" s="84" t="s">
        <v>408</v>
      </c>
      <c r="Z166" s="84"/>
      <c r="AU166" t="s">
        <v>450</v>
      </c>
    </row>
    <row r="168" spans="1:47" x14ac:dyDescent="0.35">
      <c r="A168" s="130" t="s">
        <v>487</v>
      </c>
      <c r="B168" s="131"/>
      <c r="C168" s="131"/>
      <c r="D168" s="131"/>
      <c r="E168" s="131"/>
      <c r="F168" s="131"/>
      <c r="G168" s="131"/>
      <c r="H168" s="131"/>
      <c r="I168" s="131"/>
      <c r="J168" s="131"/>
      <c r="K168" s="131"/>
      <c r="L168" s="131"/>
      <c r="M168" s="131"/>
      <c r="N168" s="131"/>
      <c r="O168" s="131"/>
      <c r="P168" s="131"/>
      <c r="Q168" s="131"/>
      <c r="R168" s="131"/>
      <c r="S168" s="86"/>
      <c r="T168" s="86"/>
      <c r="U168" s="86"/>
      <c r="V168" s="86"/>
      <c r="W168" s="86"/>
      <c r="X168" s="86"/>
      <c r="Y168" s="86"/>
      <c r="Z168" s="86"/>
    </row>
    <row r="169" spans="1:47" x14ac:dyDescent="0.35">
      <c r="A169" s="76" t="s">
        <v>387</v>
      </c>
      <c r="B169" s="76" t="s">
        <v>388</v>
      </c>
      <c r="C169" s="76" t="s">
        <v>389</v>
      </c>
      <c r="D169" s="76" t="s">
        <v>280</v>
      </c>
      <c r="E169" s="76" t="s">
        <v>292</v>
      </c>
      <c r="F169" s="76" t="s">
        <v>187</v>
      </c>
      <c r="G169" s="76" t="s">
        <v>390</v>
      </c>
      <c r="H169" s="76" t="s">
        <v>391</v>
      </c>
      <c r="I169" s="76" t="s">
        <v>166</v>
      </c>
      <c r="J169" s="76" t="s">
        <v>392</v>
      </c>
      <c r="K169" s="76" t="s">
        <v>346</v>
      </c>
      <c r="L169" s="76" t="s">
        <v>393</v>
      </c>
      <c r="M169" s="76" t="s">
        <v>347</v>
      </c>
      <c r="N169" s="76" t="s">
        <v>394</v>
      </c>
      <c r="O169" s="76" t="s">
        <v>395</v>
      </c>
      <c r="P169" s="76" t="s">
        <v>354</v>
      </c>
      <c r="Q169" s="76" t="s">
        <v>396</v>
      </c>
      <c r="R169" s="76" t="s">
        <v>397</v>
      </c>
      <c r="S169" s="76" t="s">
        <v>398</v>
      </c>
      <c r="T169" s="76" t="s">
        <v>330</v>
      </c>
      <c r="U169" s="76" t="s">
        <v>329</v>
      </c>
      <c r="V169" s="76" t="s">
        <v>399</v>
      </c>
      <c r="W169" s="76" t="s">
        <v>400</v>
      </c>
      <c r="X169" s="76" t="s">
        <v>401</v>
      </c>
      <c r="Y169" s="76" t="s">
        <v>402</v>
      </c>
      <c r="Z169" s="76" t="s">
        <v>403</v>
      </c>
    </row>
    <row r="170" spans="1:47" ht="16" customHeight="1" x14ac:dyDescent="0.35">
      <c r="A170" s="77" t="s">
        <v>222</v>
      </c>
      <c r="B170" s="78" t="s">
        <v>424</v>
      </c>
      <c r="C170" s="81" t="s">
        <v>413</v>
      </c>
      <c r="D170" s="81" t="str">
        <f ca="1">TEXT(TODAY(),"YYYY-MM-DD")</f>
        <v>2023-01-25</v>
      </c>
      <c r="E170" s="81"/>
      <c r="F170" s="81" t="str">
        <f>TEXT(0.3,"0.0")</f>
        <v>0.3</v>
      </c>
      <c r="G170" s="81" t="str">
        <f>CONCATENATE("USD,FLAT ",TEXT(F170,"0.00"))</f>
        <v>USD,FLAT 0.30</v>
      </c>
      <c r="H170" s="81" t="str">
        <f>TEXT(28.34,"0.00")</f>
        <v>28.34</v>
      </c>
      <c r="I170" s="81" t="s">
        <v>168</v>
      </c>
      <c r="J170" s="81" t="str">
        <f>TEXT(1,"0")</f>
        <v>1</v>
      </c>
      <c r="K170" s="81" t="str">
        <f>TEXT(28.34,"0.00")</f>
        <v>28.34</v>
      </c>
      <c r="L170" s="81"/>
      <c r="M170" s="81">
        <f>10+(J170*3)</f>
        <v>13</v>
      </c>
      <c r="N170" s="81" t="s">
        <v>179</v>
      </c>
      <c r="O170" s="81" t="s">
        <v>411</v>
      </c>
      <c r="P170" s="81"/>
      <c r="Q170" s="81"/>
      <c r="R170" s="81"/>
      <c r="S170" s="81" t="s">
        <v>416</v>
      </c>
      <c r="T170" s="81" t="s">
        <v>333</v>
      </c>
      <c r="U170" s="81"/>
      <c r="V170" s="81"/>
      <c r="W170" s="81"/>
      <c r="X170" s="81"/>
      <c r="Y170" s="81"/>
      <c r="Z170" s="81"/>
      <c r="AA170" s="81"/>
      <c r="AU170" t="s">
        <v>425</v>
      </c>
    </row>
    <row r="171" spans="1:47" ht="16" customHeight="1" x14ac:dyDescent="0.35">
      <c r="A171" s="77" t="s">
        <v>222</v>
      </c>
      <c r="B171" s="78" t="s">
        <v>424</v>
      </c>
      <c r="C171" s="79" t="s">
        <v>436</v>
      </c>
      <c r="D171" s="80" t="str">
        <f>TEXT("2020-01-01","YYYY-MM-DD")</f>
        <v>2020-01-01</v>
      </c>
      <c r="E171" s="79"/>
      <c r="F171" s="79" t="s">
        <v>426</v>
      </c>
      <c r="G171" s="79" t="str">
        <f>CONCATENATE("USD,FLAT ",TEXT(F171,"0.00"))</f>
        <v>USD,FLAT 3.00</v>
      </c>
      <c r="H171" s="79" t="s">
        <v>427</v>
      </c>
      <c r="I171" s="79" t="s">
        <v>168</v>
      </c>
      <c r="J171" s="79">
        <v>4</v>
      </c>
      <c r="K171" s="79" t="s">
        <v>422</v>
      </c>
      <c r="L171" s="79"/>
      <c r="M171" s="79">
        <f>10+(J171*3)</f>
        <v>22</v>
      </c>
      <c r="N171" s="79" t="s">
        <v>179</v>
      </c>
      <c r="O171" s="79" t="s">
        <v>411</v>
      </c>
      <c r="P171" s="79" t="s">
        <v>415</v>
      </c>
      <c r="Q171" s="79"/>
      <c r="R171" s="79"/>
      <c r="S171" s="85" t="s">
        <v>416</v>
      </c>
      <c r="T171" s="79" t="s">
        <v>333</v>
      </c>
      <c r="U171" s="79" t="str">
        <f>A5</f>
        <v>2380202516</v>
      </c>
      <c r="V171" s="79" t="s">
        <v>406</v>
      </c>
      <c r="W171" s="79" t="s">
        <v>177</v>
      </c>
      <c r="X171" s="79" t="s">
        <v>407</v>
      </c>
      <c r="Y171" s="79" t="s">
        <v>408</v>
      </c>
      <c r="Z171" s="79"/>
      <c r="AU171" t="s">
        <v>497</v>
      </c>
    </row>
    <row r="172" spans="1:47" ht="16" customHeight="1" x14ac:dyDescent="0.35">
      <c r="A172" s="77" t="s">
        <v>222</v>
      </c>
      <c r="B172" s="78" t="s">
        <v>424</v>
      </c>
      <c r="C172" s="79" t="s">
        <v>404</v>
      </c>
      <c r="D172" s="80" t="str">
        <f ca="1">TEXT(TODAY()+45,"YYYY-MM-DD")</f>
        <v>2023-03-11</v>
      </c>
      <c r="E172" s="79"/>
      <c r="F172" s="79" t="s">
        <v>426</v>
      </c>
      <c r="G172" s="79" t="str">
        <f>CONCATENATE("USD,FLAT ",TEXT(F172,"0.00"))</f>
        <v>USD,FLAT 3.00</v>
      </c>
      <c r="H172" s="79" t="s">
        <v>427</v>
      </c>
      <c r="I172" s="79" t="s">
        <v>168</v>
      </c>
      <c r="J172" s="79">
        <v>4</v>
      </c>
      <c r="K172" s="79" t="s">
        <v>422</v>
      </c>
      <c r="L172" s="79"/>
      <c r="M172" s="79">
        <f>10+(J172*3)</f>
        <v>22</v>
      </c>
      <c r="N172" s="79" t="s">
        <v>179</v>
      </c>
      <c r="O172" s="79" t="s">
        <v>411</v>
      </c>
      <c r="P172" s="79" t="s">
        <v>415</v>
      </c>
      <c r="Q172" s="79"/>
      <c r="R172" s="79"/>
      <c r="S172" s="85" t="s">
        <v>416</v>
      </c>
      <c r="T172" s="79" t="s">
        <v>333</v>
      </c>
      <c r="U172" s="79" t="str">
        <f>A5</f>
        <v>2380202516</v>
      </c>
      <c r="V172" s="79" t="s">
        <v>406</v>
      </c>
      <c r="W172" s="79" t="s">
        <v>177</v>
      </c>
      <c r="X172" s="79" t="s">
        <v>407</v>
      </c>
      <c r="Y172" s="79" t="s">
        <v>408</v>
      </c>
      <c r="Z172" s="79"/>
      <c r="AU172" t="s">
        <v>501</v>
      </c>
    </row>
    <row r="173" spans="1:47" ht="16" customHeight="1" x14ac:dyDescent="0.35">
      <c r="A173" s="77" t="s">
        <v>222</v>
      </c>
      <c r="B173" s="78" t="s">
        <v>424</v>
      </c>
      <c r="C173" s="84" t="s">
        <v>412</v>
      </c>
      <c r="D173" s="84" t="str">
        <f ca="1">TEXT(TODAY()+30,"YYYY-MM-DD")</f>
        <v>2023-02-24</v>
      </c>
      <c r="E173" s="84"/>
      <c r="F173" s="84" t="s">
        <v>337</v>
      </c>
      <c r="G173" s="84" t="str">
        <f>CONCATENATE("USD,FLAT ",TEXT(F173,"0.00"))</f>
        <v>USD,FLAT 2.00</v>
      </c>
      <c r="H173" s="84" t="s">
        <v>427</v>
      </c>
      <c r="I173" s="84" t="s">
        <v>168</v>
      </c>
      <c r="J173" s="84">
        <v>4</v>
      </c>
      <c r="K173" s="84" t="s">
        <v>422</v>
      </c>
      <c r="L173" s="84"/>
      <c r="M173" s="84">
        <f>10+(J173*3)</f>
        <v>22</v>
      </c>
      <c r="N173" s="84" t="s">
        <v>179</v>
      </c>
      <c r="O173" s="84" t="s">
        <v>411</v>
      </c>
      <c r="P173" s="84" t="s">
        <v>415</v>
      </c>
      <c r="Q173" s="84"/>
      <c r="R173" s="84"/>
      <c r="S173" s="84" t="s">
        <v>416</v>
      </c>
      <c r="T173" s="84" t="s">
        <v>333</v>
      </c>
      <c r="U173" s="79" t="str">
        <f>A5</f>
        <v>2380202516</v>
      </c>
      <c r="V173" s="84" t="s">
        <v>406</v>
      </c>
      <c r="W173" s="84" t="s">
        <v>177</v>
      </c>
      <c r="X173" s="84" t="s">
        <v>407</v>
      </c>
      <c r="Y173" s="84" t="s">
        <v>408</v>
      </c>
      <c r="Z173" s="84"/>
      <c r="AU173" t="s">
        <v>452</v>
      </c>
    </row>
    <row r="175" spans="1:47" x14ac:dyDescent="0.35">
      <c r="A175" s="130" t="s">
        <v>487</v>
      </c>
      <c r="B175" s="131"/>
      <c r="C175" s="131"/>
      <c r="D175" s="131"/>
      <c r="E175" s="131"/>
      <c r="F175" s="131"/>
      <c r="G175" s="131"/>
      <c r="H175" s="131"/>
      <c r="I175" s="131"/>
      <c r="J175" s="131"/>
      <c r="K175" s="131"/>
      <c r="L175" s="131"/>
      <c r="M175" s="131"/>
      <c r="N175" s="131"/>
      <c r="O175" s="131"/>
      <c r="P175" s="131"/>
      <c r="Q175" s="131"/>
      <c r="R175" s="131"/>
      <c r="S175" s="87"/>
      <c r="T175" s="87"/>
      <c r="U175" s="87"/>
      <c r="V175" s="87"/>
      <c r="W175" s="87"/>
      <c r="X175" s="87"/>
      <c r="Y175" s="87"/>
      <c r="Z175" s="87"/>
    </row>
    <row r="176" spans="1:47" x14ac:dyDescent="0.35">
      <c r="A176" s="76" t="s">
        <v>387</v>
      </c>
      <c r="B176" s="76" t="s">
        <v>388</v>
      </c>
      <c r="C176" s="76" t="s">
        <v>389</v>
      </c>
      <c r="D176" s="76" t="s">
        <v>280</v>
      </c>
      <c r="E176" s="76" t="s">
        <v>292</v>
      </c>
      <c r="F176" s="76" t="s">
        <v>187</v>
      </c>
      <c r="G176" s="76" t="s">
        <v>390</v>
      </c>
      <c r="H176" s="76" t="s">
        <v>391</v>
      </c>
      <c r="I176" s="76" t="s">
        <v>166</v>
      </c>
      <c r="J176" s="76" t="s">
        <v>392</v>
      </c>
      <c r="K176" s="76" t="s">
        <v>346</v>
      </c>
      <c r="L176" s="76" t="s">
        <v>393</v>
      </c>
      <c r="M176" s="76" t="s">
        <v>347</v>
      </c>
      <c r="N176" s="76" t="s">
        <v>394</v>
      </c>
      <c r="O176" s="76" t="s">
        <v>395</v>
      </c>
      <c r="P176" s="76" t="s">
        <v>354</v>
      </c>
      <c r="Q176" s="76" t="s">
        <v>396</v>
      </c>
      <c r="R176" s="76" t="s">
        <v>397</v>
      </c>
      <c r="S176" s="76" t="s">
        <v>398</v>
      </c>
      <c r="T176" s="76" t="s">
        <v>330</v>
      </c>
      <c r="U176" s="76" t="s">
        <v>329</v>
      </c>
      <c r="V176" s="76" t="s">
        <v>399</v>
      </c>
      <c r="W176" s="76" t="s">
        <v>400</v>
      </c>
      <c r="X176" s="76" t="s">
        <v>401</v>
      </c>
      <c r="Y176" s="76" t="s">
        <v>402</v>
      </c>
      <c r="Z176" s="76" t="s">
        <v>403</v>
      </c>
    </row>
    <row r="177" spans="1:47" ht="16" customHeight="1" x14ac:dyDescent="0.35">
      <c r="A177" s="77" t="s">
        <v>247</v>
      </c>
      <c r="B177" s="78" t="s">
        <v>429</v>
      </c>
      <c r="C177" s="81" t="s">
        <v>413</v>
      </c>
      <c r="D177" s="81" t="str">
        <f ca="1">TEXT(TODAY(),"YYYY-MM-DD")</f>
        <v>2023-01-25</v>
      </c>
      <c r="E177" s="81"/>
      <c r="F177" s="81" t="s">
        <v>431</v>
      </c>
      <c r="G177" s="81" t="s">
        <v>405</v>
      </c>
      <c r="H177" s="81" t="str">
        <f>TEXT(10,"0")</f>
        <v>10</v>
      </c>
      <c r="I177" s="81" t="s">
        <v>168</v>
      </c>
      <c r="J177" s="81" t="str">
        <f>TEXT(1,"0")</f>
        <v>1</v>
      </c>
      <c r="K177" s="81" t="str">
        <f>TEXT(10,"0")</f>
        <v>10</v>
      </c>
      <c r="L177" s="81"/>
      <c r="M177" s="81" t="str">
        <f>TEXT(13,"0")</f>
        <v>13</v>
      </c>
      <c r="N177" s="81" t="s">
        <v>179</v>
      </c>
      <c r="O177" s="81" t="s">
        <v>417</v>
      </c>
      <c r="P177" s="81"/>
      <c r="Q177" s="81" t="s">
        <v>410</v>
      </c>
      <c r="R177" s="81"/>
      <c r="S177" s="81" t="s">
        <v>199</v>
      </c>
      <c r="T177" s="81" t="s">
        <v>333</v>
      </c>
      <c r="U177" s="81"/>
      <c r="V177" s="81"/>
      <c r="W177" s="81"/>
      <c r="X177" s="81"/>
      <c r="Y177" s="81"/>
      <c r="Z177" s="81"/>
      <c r="AA177" s="81"/>
      <c r="AU177" t="s">
        <v>453</v>
      </c>
    </row>
    <row r="178" spans="1:47" ht="16" customHeight="1" x14ac:dyDescent="0.35">
      <c r="A178" s="77" t="s">
        <v>247</v>
      </c>
      <c r="B178" s="78" t="s">
        <v>429</v>
      </c>
      <c r="C178" s="88" t="s">
        <v>436</v>
      </c>
      <c r="D178" s="80" t="str">
        <f>TEXT("2020-01-01","YYYY-MM-DD")</f>
        <v>2020-01-01</v>
      </c>
      <c r="E178" s="88"/>
      <c r="F178" s="88" t="s">
        <v>431</v>
      </c>
      <c r="G178" s="89" t="s">
        <v>405</v>
      </c>
      <c r="H178" s="89"/>
      <c r="I178" s="88" t="s">
        <v>168</v>
      </c>
      <c r="J178" s="89"/>
      <c r="K178" s="89"/>
      <c r="L178" s="89"/>
      <c r="M178" s="89"/>
      <c r="N178" s="88"/>
      <c r="O178" s="88" t="s">
        <v>411</v>
      </c>
      <c r="P178" s="88" t="s">
        <v>409</v>
      </c>
      <c r="Q178" s="88"/>
      <c r="R178" s="88"/>
      <c r="S178" s="88"/>
      <c r="T178" s="88" t="s">
        <v>333</v>
      </c>
      <c r="U178" s="79" t="str">
        <f>A5</f>
        <v>2380202516</v>
      </c>
      <c r="V178" s="88" t="s">
        <v>406</v>
      </c>
      <c r="W178" s="88" t="s">
        <v>177</v>
      </c>
      <c r="X178" s="88" t="s">
        <v>407</v>
      </c>
      <c r="Y178" s="88" t="s">
        <v>408</v>
      </c>
      <c r="Z178" s="88"/>
      <c r="AU178" t="s">
        <v>498</v>
      </c>
    </row>
    <row r="179" spans="1:47" ht="16" customHeight="1" x14ac:dyDescent="0.35">
      <c r="A179" s="77" t="s">
        <v>247</v>
      </c>
      <c r="B179" s="78" t="s">
        <v>429</v>
      </c>
      <c r="C179" s="79" t="s">
        <v>404</v>
      </c>
      <c r="D179" s="80" t="str">
        <f ca="1">TEXT(TODAY()+45,"YYYY-MM-DD")</f>
        <v>2023-03-11</v>
      </c>
      <c r="E179" s="88"/>
      <c r="F179" s="88" t="s">
        <v>431</v>
      </c>
      <c r="G179" s="89" t="s">
        <v>405</v>
      </c>
      <c r="H179" s="89"/>
      <c r="I179" s="88" t="s">
        <v>168</v>
      </c>
      <c r="J179" s="89"/>
      <c r="K179" s="89"/>
      <c r="L179" s="89"/>
      <c r="M179" s="89"/>
      <c r="N179" s="88"/>
      <c r="O179" s="88" t="s">
        <v>411</v>
      </c>
      <c r="P179" s="88" t="s">
        <v>409</v>
      </c>
      <c r="Q179" s="88"/>
      <c r="R179" s="88"/>
      <c r="S179" s="88"/>
      <c r="T179" s="88" t="s">
        <v>333</v>
      </c>
      <c r="U179" s="79" t="str">
        <f>A5</f>
        <v>2380202516</v>
      </c>
      <c r="V179" s="88" t="s">
        <v>406</v>
      </c>
      <c r="W179" s="88" t="s">
        <v>177</v>
      </c>
      <c r="X179" s="88" t="s">
        <v>407</v>
      </c>
      <c r="Y179" s="88" t="s">
        <v>408</v>
      </c>
      <c r="Z179" s="88"/>
      <c r="AU179" t="s">
        <v>502</v>
      </c>
    </row>
    <row r="180" spans="1:47" ht="16" customHeight="1" x14ac:dyDescent="0.35">
      <c r="A180" s="77" t="s">
        <v>247</v>
      </c>
      <c r="B180" s="78" t="s">
        <v>429</v>
      </c>
      <c r="C180" s="84" t="s">
        <v>412</v>
      </c>
      <c r="D180" s="84" t="str">
        <f ca="1">TEXT(TODAY()+30,"YYYY-MM-DD")</f>
        <v>2023-02-24</v>
      </c>
      <c r="E180" s="84"/>
      <c r="F180" s="84" t="s">
        <v>432</v>
      </c>
      <c r="G180" s="84" t="s">
        <v>405</v>
      </c>
      <c r="H180" s="84"/>
      <c r="I180" s="84" t="s">
        <v>168</v>
      </c>
      <c r="J180" s="84"/>
      <c r="K180" s="84"/>
      <c r="L180" s="84"/>
      <c r="M180" s="84"/>
      <c r="N180" s="84"/>
      <c r="O180" s="84" t="s">
        <v>411</v>
      </c>
      <c r="P180" s="84" t="s">
        <v>409</v>
      </c>
      <c r="Q180" s="84"/>
      <c r="R180" s="84"/>
      <c r="S180" s="84"/>
      <c r="T180" s="84" t="s">
        <v>333</v>
      </c>
      <c r="U180" s="79" t="str">
        <f>A5</f>
        <v>2380202516</v>
      </c>
      <c r="V180" s="84" t="s">
        <v>406</v>
      </c>
      <c r="W180" s="84" t="s">
        <v>177</v>
      </c>
      <c r="X180" s="84" t="s">
        <v>407</v>
      </c>
      <c r="Y180" s="84" t="s">
        <v>408</v>
      </c>
      <c r="Z180" s="84"/>
      <c r="AU180" t="s">
        <v>454</v>
      </c>
    </row>
    <row r="182" spans="1:47" x14ac:dyDescent="0.35">
      <c r="A182" s="130" t="s">
        <v>487</v>
      </c>
      <c r="B182" s="131"/>
      <c r="C182" s="131"/>
      <c r="D182" s="131"/>
      <c r="E182" s="131"/>
      <c r="F182" s="131"/>
      <c r="G182" s="131"/>
      <c r="H182" s="131"/>
      <c r="I182" s="131"/>
      <c r="J182" s="131"/>
      <c r="K182" s="131"/>
      <c r="L182" s="131"/>
      <c r="M182" s="131"/>
      <c r="N182" s="131"/>
      <c r="O182" s="131"/>
      <c r="P182" s="131"/>
      <c r="Q182" s="131"/>
      <c r="R182" s="131"/>
      <c r="S182" s="97"/>
      <c r="T182" s="97"/>
      <c r="U182" s="97"/>
      <c r="V182" s="97"/>
      <c r="W182" s="97"/>
      <c r="X182" s="97"/>
      <c r="Y182" s="97"/>
      <c r="Z182" s="97"/>
    </row>
    <row r="183" spans="1:47" x14ac:dyDescent="0.35">
      <c r="A183" s="76" t="s">
        <v>387</v>
      </c>
      <c r="B183" s="76" t="s">
        <v>388</v>
      </c>
      <c r="C183" s="76" t="s">
        <v>389</v>
      </c>
      <c r="D183" s="76" t="s">
        <v>280</v>
      </c>
      <c r="E183" s="76" t="s">
        <v>292</v>
      </c>
      <c r="F183" s="76" t="s">
        <v>187</v>
      </c>
      <c r="G183" s="76" t="s">
        <v>390</v>
      </c>
      <c r="H183" s="76" t="s">
        <v>391</v>
      </c>
      <c r="I183" s="76" t="s">
        <v>166</v>
      </c>
      <c r="J183" s="76" t="s">
        <v>392</v>
      </c>
      <c r="K183" s="76" t="s">
        <v>346</v>
      </c>
      <c r="L183" s="76" t="s">
        <v>393</v>
      </c>
      <c r="M183" s="76" t="s">
        <v>347</v>
      </c>
      <c r="N183" s="76" t="s">
        <v>394</v>
      </c>
      <c r="O183" s="76" t="s">
        <v>395</v>
      </c>
      <c r="P183" s="76" t="s">
        <v>354</v>
      </c>
      <c r="Q183" s="76" t="s">
        <v>396</v>
      </c>
      <c r="R183" s="76" t="s">
        <v>397</v>
      </c>
      <c r="S183" s="76" t="s">
        <v>398</v>
      </c>
      <c r="T183" s="76" t="s">
        <v>330</v>
      </c>
      <c r="U183" s="76" t="s">
        <v>329</v>
      </c>
      <c r="V183" s="76" t="s">
        <v>399</v>
      </c>
      <c r="W183" s="76" t="s">
        <v>400</v>
      </c>
      <c r="X183" s="76" t="s">
        <v>401</v>
      </c>
      <c r="Y183" s="76" t="s">
        <v>402</v>
      </c>
      <c r="Z183" s="76" t="s">
        <v>403</v>
      </c>
    </row>
    <row r="184" spans="1:47" ht="16" customHeight="1" x14ac:dyDescent="0.35">
      <c r="A184" s="77" t="s">
        <v>247</v>
      </c>
      <c r="B184" s="78" t="s">
        <v>428</v>
      </c>
      <c r="C184" s="81" t="s">
        <v>413</v>
      </c>
      <c r="D184" s="81" t="str">
        <f ca="1">TEXT(TODAY(),"YYYY-MM-DD")</f>
        <v>2023-01-25</v>
      </c>
      <c r="E184" s="81"/>
      <c r="F184" s="81" t="s">
        <v>433</v>
      </c>
      <c r="G184" s="81" t="s">
        <v>405</v>
      </c>
      <c r="H184" s="81" t="str">
        <f>TEXT(10,"0")</f>
        <v>10</v>
      </c>
      <c r="I184" s="81" t="s">
        <v>168</v>
      </c>
      <c r="J184" s="81" t="str">
        <f>TEXT(1,"0")</f>
        <v>1</v>
      </c>
      <c r="K184" s="81" t="str">
        <f>TEXT(10,"0")</f>
        <v>10</v>
      </c>
      <c r="L184" s="81"/>
      <c r="M184" s="81" t="str">
        <f>TEXT(13,"0")</f>
        <v>13</v>
      </c>
      <c r="N184" s="81" t="s">
        <v>179</v>
      </c>
      <c r="O184" s="81" t="s">
        <v>417</v>
      </c>
      <c r="P184" s="81"/>
      <c r="Q184" s="81" t="s">
        <v>410</v>
      </c>
      <c r="R184" s="81"/>
      <c r="S184" s="81" t="s">
        <v>199</v>
      </c>
      <c r="T184" s="81" t="s">
        <v>333</v>
      </c>
      <c r="U184" s="81"/>
      <c r="V184" s="81"/>
      <c r="W184" s="81"/>
      <c r="X184" s="81"/>
      <c r="Y184" s="81"/>
      <c r="Z184" s="81"/>
      <c r="AU184" t="s">
        <v>455</v>
      </c>
    </row>
    <row r="185" spans="1:47" ht="16" customHeight="1" x14ac:dyDescent="0.35">
      <c r="A185" s="77" t="s">
        <v>247</v>
      </c>
      <c r="B185" s="78" t="s">
        <v>428</v>
      </c>
      <c r="C185" s="88" t="s">
        <v>436</v>
      </c>
      <c r="D185" s="80" t="str">
        <f>TEXT("2020-01-01","YYYY-MM-DD")</f>
        <v>2020-01-01</v>
      </c>
      <c r="E185" s="88"/>
      <c r="F185" s="88" t="s">
        <v>433</v>
      </c>
      <c r="G185" s="89" t="s">
        <v>405</v>
      </c>
      <c r="H185" s="89"/>
      <c r="I185" s="88" t="s">
        <v>168</v>
      </c>
      <c r="J185" s="89"/>
      <c r="K185" s="89"/>
      <c r="L185" s="89"/>
      <c r="M185" s="89"/>
      <c r="N185" s="88"/>
      <c r="O185" s="88" t="s">
        <v>411</v>
      </c>
      <c r="P185" s="88" t="s">
        <v>409</v>
      </c>
      <c r="Q185" s="88"/>
      <c r="R185" s="88"/>
      <c r="S185" s="88"/>
      <c r="T185" s="88" t="s">
        <v>333</v>
      </c>
      <c r="U185" s="79" t="str">
        <f>A5</f>
        <v>2380202516</v>
      </c>
      <c r="V185" s="88" t="s">
        <v>406</v>
      </c>
      <c r="W185" s="88" t="s">
        <v>177</v>
      </c>
      <c r="X185" s="88" t="s">
        <v>407</v>
      </c>
      <c r="Y185" s="88" t="s">
        <v>408</v>
      </c>
      <c r="Z185" s="88"/>
      <c r="AU185" t="s">
        <v>499</v>
      </c>
    </row>
    <row r="186" spans="1:47" ht="16" customHeight="1" x14ac:dyDescent="0.35">
      <c r="A186" s="77" t="s">
        <v>247</v>
      </c>
      <c r="B186" s="78" t="s">
        <v>428</v>
      </c>
      <c r="C186" s="79" t="s">
        <v>404</v>
      </c>
      <c r="D186" s="80" t="str">
        <f ca="1">TEXT(TODAY()+45,"YYYY-MM-DD")</f>
        <v>2023-03-11</v>
      </c>
      <c r="E186" s="88"/>
      <c r="F186" s="88" t="s">
        <v>433</v>
      </c>
      <c r="G186" s="89" t="s">
        <v>405</v>
      </c>
      <c r="H186" s="89"/>
      <c r="I186" s="88" t="s">
        <v>168</v>
      </c>
      <c r="J186" s="89"/>
      <c r="K186" s="89"/>
      <c r="L186" s="89"/>
      <c r="M186" s="89"/>
      <c r="N186" s="88"/>
      <c r="O186" s="88" t="s">
        <v>411</v>
      </c>
      <c r="P186" s="88" t="s">
        <v>409</v>
      </c>
      <c r="Q186" s="88"/>
      <c r="R186" s="88"/>
      <c r="S186" s="88"/>
      <c r="T186" s="88" t="s">
        <v>333</v>
      </c>
      <c r="U186" s="79" t="str">
        <f>A5</f>
        <v>2380202516</v>
      </c>
      <c r="V186" s="88" t="s">
        <v>406</v>
      </c>
      <c r="W186" s="88" t="s">
        <v>177</v>
      </c>
      <c r="X186" s="88" t="s">
        <v>407</v>
      </c>
      <c r="Y186" s="88" t="s">
        <v>408</v>
      </c>
      <c r="Z186" s="88"/>
      <c r="AU186" t="s">
        <v>503</v>
      </c>
    </row>
    <row r="187" spans="1:47" ht="16" customHeight="1" x14ac:dyDescent="0.35">
      <c r="A187" s="77" t="s">
        <v>247</v>
      </c>
      <c r="B187" s="78" t="s">
        <v>428</v>
      </c>
      <c r="C187" s="84" t="s">
        <v>412</v>
      </c>
      <c r="D187" s="84" t="str">
        <f ca="1">TEXT(TODAY()+30,"YYYY-MM-DD")</f>
        <v>2023-02-24</v>
      </c>
      <c r="E187" s="84"/>
      <c r="F187" s="84" t="s">
        <v>434</v>
      </c>
      <c r="G187" s="84" t="s">
        <v>405</v>
      </c>
      <c r="H187" s="84"/>
      <c r="I187" s="84" t="s">
        <v>168</v>
      </c>
      <c r="J187" s="84"/>
      <c r="K187" s="84"/>
      <c r="L187" s="84"/>
      <c r="M187" s="84"/>
      <c r="N187" s="84"/>
      <c r="O187" s="84" t="s">
        <v>411</v>
      </c>
      <c r="P187" s="84" t="s">
        <v>409</v>
      </c>
      <c r="Q187" s="84"/>
      <c r="R187" s="84"/>
      <c r="S187" s="84"/>
      <c r="T187" s="84" t="s">
        <v>333</v>
      </c>
      <c r="U187" s="79" t="str">
        <f>A5</f>
        <v>2380202516</v>
      </c>
      <c r="V187" s="84" t="s">
        <v>406</v>
      </c>
      <c r="W187" s="84" t="s">
        <v>177</v>
      </c>
      <c r="X187" s="84" t="s">
        <v>407</v>
      </c>
      <c r="Y187" s="84" t="s">
        <v>408</v>
      </c>
      <c r="Z187" s="84"/>
      <c r="AU187" t="s">
        <v>456</v>
      </c>
    </row>
    <row r="189" spans="1:47" x14ac:dyDescent="0.35">
      <c r="A189" s="130" t="s">
        <v>487</v>
      </c>
      <c r="B189" s="131"/>
      <c r="C189" s="131"/>
      <c r="D189" s="131"/>
      <c r="E189" s="131"/>
      <c r="F189" s="131"/>
      <c r="G189" s="131"/>
      <c r="H189" s="131"/>
      <c r="I189" s="131"/>
      <c r="J189" s="131"/>
      <c r="K189" s="131"/>
      <c r="L189" s="131"/>
      <c r="M189" s="131"/>
      <c r="N189" s="131"/>
      <c r="O189" s="131"/>
      <c r="P189" s="131"/>
      <c r="Q189" s="131"/>
      <c r="R189" s="131"/>
      <c r="S189" s="90"/>
      <c r="T189" s="90"/>
      <c r="U189" s="90"/>
      <c r="V189" s="90"/>
      <c r="W189" s="90"/>
      <c r="X189" s="90"/>
      <c r="Y189" s="90"/>
      <c r="Z189" s="90"/>
    </row>
    <row r="190" spans="1:47" x14ac:dyDescent="0.35">
      <c r="A190" s="76" t="s">
        <v>387</v>
      </c>
      <c r="B190" s="76" t="s">
        <v>388</v>
      </c>
      <c r="C190" s="76" t="s">
        <v>389</v>
      </c>
      <c r="D190" s="76" t="s">
        <v>280</v>
      </c>
      <c r="E190" s="76" t="s">
        <v>292</v>
      </c>
      <c r="F190" s="76" t="s">
        <v>187</v>
      </c>
      <c r="G190" s="76" t="s">
        <v>390</v>
      </c>
      <c r="H190" s="76" t="s">
        <v>391</v>
      </c>
      <c r="I190" s="76" t="s">
        <v>166</v>
      </c>
      <c r="J190" s="76" t="s">
        <v>392</v>
      </c>
      <c r="K190" s="76" t="s">
        <v>346</v>
      </c>
      <c r="L190" s="76" t="s">
        <v>393</v>
      </c>
      <c r="M190" s="76" t="s">
        <v>347</v>
      </c>
      <c r="N190" s="76" t="s">
        <v>394</v>
      </c>
      <c r="O190" s="76" t="s">
        <v>395</v>
      </c>
      <c r="P190" s="76" t="s">
        <v>354</v>
      </c>
      <c r="Q190" s="76" t="s">
        <v>396</v>
      </c>
      <c r="R190" s="76" t="s">
        <v>397</v>
      </c>
      <c r="S190" s="76" t="s">
        <v>398</v>
      </c>
      <c r="T190" s="76" t="s">
        <v>330</v>
      </c>
      <c r="U190" s="76" t="s">
        <v>329</v>
      </c>
      <c r="V190" s="76" t="s">
        <v>399</v>
      </c>
      <c r="W190" s="76" t="s">
        <v>400</v>
      </c>
      <c r="X190" s="76" t="s">
        <v>401</v>
      </c>
      <c r="Y190" s="76" t="s">
        <v>402</v>
      </c>
      <c r="Z190" s="76" t="s">
        <v>403</v>
      </c>
    </row>
    <row r="191" spans="1:47" ht="19" customHeight="1" x14ac:dyDescent="0.35">
      <c r="A191" s="78" t="s">
        <v>430</v>
      </c>
      <c r="B191" s="78"/>
      <c r="C191" s="81" t="s">
        <v>413</v>
      </c>
      <c r="D191" s="81" t="str">
        <f ca="1">TEXT(TODAY(),"YYYY-MM-DD")</f>
        <v>2023-01-25</v>
      </c>
      <c r="E191" s="81"/>
      <c r="F191" s="81" t="str">
        <f>TEXT(16.66,"0.00")</f>
        <v>16.66</v>
      </c>
      <c r="G191" s="81" t="s">
        <v>405</v>
      </c>
      <c r="H191" s="81" t="str">
        <f>F191</f>
        <v>16.66</v>
      </c>
      <c r="I191" s="81" t="s">
        <v>168</v>
      </c>
      <c r="J191" s="81" t="str">
        <f>TEXT(1,"0")</f>
        <v>1</v>
      </c>
      <c r="K191" s="81" t="str">
        <f>TEXT(16.66,"0.00")</f>
        <v>16.66</v>
      </c>
      <c r="L191" s="81"/>
      <c r="M191" s="81" t="str">
        <f>TEXT(13,"0")</f>
        <v>13</v>
      </c>
      <c r="N191" s="81" t="s">
        <v>179</v>
      </c>
      <c r="O191" s="81" t="s">
        <v>417</v>
      </c>
      <c r="P191" s="81"/>
      <c r="Q191" s="81" t="s">
        <v>410</v>
      </c>
      <c r="R191" s="81"/>
      <c r="S191" s="81" t="s">
        <v>199</v>
      </c>
      <c r="T191" s="81" t="s">
        <v>333</v>
      </c>
      <c r="U191" s="81"/>
      <c r="V191" s="81"/>
      <c r="W191" s="81"/>
      <c r="X191" s="81"/>
      <c r="Y191" s="81"/>
      <c r="Z191" s="81"/>
      <c r="AU191" t="s">
        <v>457</v>
      </c>
    </row>
    <row r="192" spans="1:47" ht="19" customHeight="1" x14ac:dyDescent="0.35">
      <c r="A192" s="78" t="s">
        <v>430</v>
      </c>
      <c r="B192" s="78"/>
      <c r="C192" s="79" t="s">
        <v>436</v>
      </c>
      <c r="D192" s="80" t="str">
        <f>TEXT("2020-01-01","YYYY-MM-DD")</f>
        <v>2020-01-01</v>
      </c>
      <c r="E192" s="79"/>
      <c r="F192" s="80">
        <v>11</v>
      </c>
      <c r="G192" s="80" t="s">
        <v>405</v>
      </c>
      <c r="H192" s="80">
        <f>F192</f>
        <v>11</v>
      </c>
      <c r="I192" s="79" t="s">
        <v>168</v>
      </c>
      <c r="J192" s="80"/>
      <c r="K192" s="80"/>
      <c r="L192" s="80"/>
      <c r="M192" s="80"/>
      <c r="N192" s="79" t="s">
        <v>179</v>
      </c>
      <c r="O192" s="79" t="s">
        <v>417</v>
      </c>
      <c r="P192" s="79" t="s">
        <v>409</v>
      </c>
      <c r="Q192" s="79" t="s">
        <v>410</v>
      </c>
      <c r="R192" s="79"/>
      <c r="S192" s="79" t="s">
        <v>199</v>
      </c>
      <c r="T192" s="79" t="s">
        <v>333</v>
      </c>
      <c r="U192" s="79" t="str">
        <f>A5</f>
        <v>2380202516</v>
      </c>
      <c r="V192" s="79" t="s">
        <v>406</v>
      </c>
      <c r="W192" s="79" t="s">
        <v>177</v>
      </c>
      <c r="X192" s="79" t="s">
        <v>407</v>
      </c>
      <c r="Y192" s="79" t="s">
        <v>408</v>
      </c>
      <c r="Z192" s="79"/>
      <c r="AU192" t="s">
        <v>500</v>
      </c>
    </row>
    <row r="193" spans="1:47" ht="19" customHeight="1" x14ac:dyDescent="0.35">
      <c r="A193" s="78" t="s">
        <v>430</v>
      </c>
      <c r="B193" s="78"/>
      <c r="C193" s="79" t="s">
        <v>404</v>
      </c>
      <c r="D193" s="80" t="str">
        <f ca="1">TEXT(TODAY()+45,"YYYY-MM-DD")</f>
        <v>2023-03-11</v>
      </c>
      <c r="E193" s="79"/>
      <c r="F193" s="80">
        <v>11</v>
      </c>
      <c r="G193" s="80" t="s">
        <v>405</v>
      </c>
      <c r="H193" s="80">
        <f>F193</f>
        <v>11</v>
      </c>
      <c r="I193" s="79" t="s">
        <v>168</v>
      </c>
      <c r="J193" s="80"/>
      <c r="K193" s="80"/>
      <c r="L193" s="80"/>
      <c r="M193" s="80"/>
      <c r="N193" s="79" t="s">
        <v>179</v>
      </c>
      <c r="O193" s="79" t="s">
        <v>417</v>
      </c>
      <c r="P193" s="79" t="s">
        <v>409</v>
      </c>
      <c r="Q193" s="79" t="s">
        <v>410</v>
      </c>
      <c r="R193" s="79"/>
      <c r="S193" s="79" t="s">
        <v>199</v>
      </c>
      <c r="T193" s="79" t="s">
        <v>333</v>
      </c>
      <c r="U193" s="79" t="str">
        <f>A5</f>
        <v>2380202516</v>
      </c>
      <c r="V193" s="79" t="s">
        <v>406</v>
      </c>
      <c r="W193" s="79" t="s">
        <v>177</v>
      </c>
      <c r="X193" s="79" t="s">
        <v>407</v>
      </c>
      <c r="Y193" s="79" t="s">
        <v>408</v>
      </c>
      <c r="Z193" s="79"/>
      <c r="AU193" t="s">
        <v>504</v>
      </c>
    </row>
    <row r="194" spans="1:47" ht="19" customHeight="1" x14ac:dyDescent="0.35">
      <c r="A194" s="78" t="s">
        <v>430</v>
      </c>
      <c r="B194" s="78"/>
      <c r="C194" s="84" t="s">
        <v>412</v>
      </c>
      <c r="D194" s="84" t="str">
        <f ca="1">TEXT(TODAY()+30,"YYYY-MM-DD")</f>
        <v>2023-02-24</v>
      </c>
      <c r="E194" s="84"/>
      <c r="F194" s="84">
        <v>12</v>
      </c>
      <c r="G194" s="84" t="s">
        <v>405</v>
      </c>
      <c r="H194" s="84">
        <f>F194</f>
        <v>12</v>
      </c>
      <c r="I194" s="84" t="s">
        <v>168</v>
      </c>
      <c r="J194" s="84"/>
      <c r="K194" s="84"/>
      <c r="L194" s="84"/>
      <c r="M194" s="84"/>
      <c r="N194" s="84" t="s">
        <v>179</v>
      </c>
      <c r="O194" s="84" t="s">
        <v>417</v>
      </c>
      <c r="P194" s="84" t="s">
        <v>409</v>
      </c>
      <c r="Q194" s="84" t="s">
        <v>410</v>
      </c>
      <c r="R194" s="84"/>
      <c r="S194" s="84" t="s">
        <v>199</v>
      </c>
      <c r="T194" s="84" t="s">
        <v>333</v>
      </c>
      <c r="U194" s="79" t="str">
        <f>A5</f>
        <v>2380202516</v>
      </c>
      <c r="V194" s="84" t="s">
        <v>406</v>
      </c>
      <c r="W194" s="84" t="s">
        <v>177</v>
      </c>
      <c r="X194" s="84" t="s">
        <v>407</v>
      </c>
      <c r="Y194" s="84" t="s">
        <v>408</v>
      </c>
      <c r="Z194" s="84"/>
      <c r="AU194" t="s">
        <v>458</v>
      </c>
    </row>
    <row r="196" spans="1:47" x14ac:dyDescent="0.35">
      <c r="A196" s="130" t="s">
        <v>491</v>
      </c>
      <c r="B196" s="131"/>
      <c r="C196" s="131"/>
      <c r="D196" s="131"/>
      <c r="E196" s="131"/>
      <c r="F196" s="131"/>
      <c r="G196" s="131"/>
      <c r="H196" s="131"/>
      <c r="I196" s="131"/>
      <c r="J196" s="131"/>
      <c r="K196" s="131"/>
      <c r="L196" s="131"/>
      <c r="M196" s="131"/>
      <c r="N196" s="131"/>
      <c r="O196" s="131"/>
      <c r="P196" s="131"/>
      <c r="Q196" s="131"/>
      <c r="R196" s="131"/>
      <c r="S196" s="91"/>
      <c r="T196" s="91"/>
      <c r="U196" s="91"/>
      <c r="V196" s="91"/>
      <c r="W196" s="91"/>
      <c r="X196" s="91"/>
      <c r="Y196" s="91"/>
      <c r="Z196" s="91"/>
    </row>
    <row r="197" spans="1:47" x14ac:dyDescent="0.35">
      <c r="A197" s="76" t="s">
        <v>387</v>
      </c>
      <c r="B197" s="76" t="s">
        <v>388</v>
      </c>
      <c r="C197" s="76" t="s">
        <v>389</v>
      </c>
      <c r="D197" s="76" t="s">
        <v>280</v>
      </c>
      <c r="E197" s="76" t="s">
        <v>292</v>
      </c>
      <c r="F197" s="76" t="s">
        <v>187</v>
      </c>
      <c r="G197" s="76" t="s">
        <v>390</v>
      </c>
      <c r="H197" s="76" t="s">
        <v>391</v>
      </c>
      <c r="I197" s="76" t="s">
        <v>166</v>
      </c>
      <c r="J197" s="76" t="s">
        <v>392</v>
      </c>
      <c r="K197" s="76" t="s">
        <v>346</v>
      </c>
      <c r="L197" s="76" t="s">
        <v>393</v>
      </c>
      <c r="M197" s="76" t="s">
        <v>347</v>
      </c>
      <c r="N197" s="76" t="s">
        <v>394</v>
      </c>
      <c r="O197" s="76" t="s">
        <v>395</v>
      </c>
      <c r="P197" s="76" t="s">
        <v>354</v>
      </c>
      <c r="Q197" s="76" t="s">
        <v>396</v>
      </c>
      <c r="R197" s="76" t="s">
        <v>397</v>
      </c>
      <c r="S197" s="76" t="s">
        <v>398</v>
      </c>
      <c r="T197" s="76" t="s">
        <v>330</v>
      </c>
      <c r="U197" s="76" t="s">
        <v>329</v>
      </c>
      <c r="V197" s="76" t="s">
        <v>399</v>
      </c>
      <c r="W197" s="76" t="s">
        <v>400</v>
      </c>
      <c r="X197" s="76" t="s">
        <v>401</v>
      </c>
      <c r="Y197" s="76" t="s">
        <v>402</v>
      </c>
      <c r="Z197" s="76" t="s">
        <v>403</v>
      </c>
    </row>
    <row r="198" spans="1:47" ht="19" customHeight="1" x14ac:dyDescent="0.35">
      <c r="A198" s="78" t="s">
        <v>216</v>
      </c>
      <c r="B198" s="78"/>
      <c r="C198" s="81" t="s">
        <v>413</v>
      </c>
      <c r="D198" s="81" t="str">
        <f ca="1">TEXT(TODAY(),"YYYY-MM-DD")</f>
        <v>2023-01-25</v>
      </c>
      <c r="E198" s="81"/>
      <c r="F198" s="81" t="str">
        <f>TEXT(38.12,"0.00")</f>
        <v>38.12</v>
      </c>
      <c r="G198" s="81" t="s">
        <v>486</v>
      </c>
      <c r="H198" s="81" t="str">
        <f>F198</f>
        <v>38.12</v>
      </c>
      <c r="I198" s="81" t="s">
        <v>168</v>
      </c>
      <c r="J198" s="81"/>
      <c r="K198" s="81" t="str">
        <f>TEXT(38.12,"0.00")</f>
        <v>38.12</v>
      </c>
      <c r="L198" s="81"/>
      <c r="M198" s="81" t="str">
        <f>TEXT(13,"0")</f>
        <v>13</v>
      </c>
      <c r="N198" s="81" t="s">
        <v>179</v>
      </c>
      <c r="O198" s="81" t="s">
        <v>417</v>
      </c>
      <c r="P198" s="81"/>
      <c r="Q198" s="81" t="s">
        <v>410</v>
      </c>
      <c r="R198" s="81"/>
      <c r="S198" s="81" t="s">
        <v>199</v>
      </c>
      <c r="T198" s="81" t="s">
        <v>333</v>
      </c>
      <c r="U198" s="81"/>
      <c r="V198" s="81"/>
      <c r="W198" s="81"/>
      <c r="X198" s="81"/>
      <c r="Y198" s="81"/>
      <c r="Z198" s="81"/>
      <c r="AU198" t="s">
        <v>459</v>
      </c>
    </row>
    <row r="200" spans="1:47" x14ac:dyDescent="0.35">
      <c r="A200" s="130" t="s">
        <v>491</v>
      </c>
      <c r="B200" s="131"/>
      <c r="C200" s="131"/>
      <c r="D200" s="131"/>
      <c r="E200" s="131"/>
      <c r="F200" s="131"/>
      <c r="G200" s="131"/>
      <c r="H200" s="131"/>
      <c r="I200" s="131"/>
      <c r="J200" s="131"/>
      <c r="K200" s="131"/>
      <c r="L200" s="131"/>
      <c r="M200" s="131"/>
      <c r="N200" s="131"/>
      <c r="O200" s="131"/>
      <c r="P200" s="131"/>
      <c r="Q200" s="131"/>
      <c r="R200" s="131"/>
      <c r="S200" s="92"/>
      <c r="T200" s="92"/>
      <c r="U200" s="92"/>
      <c r="V200" s="92"/>
      <c r="W200" s="92"/>
      <c r="X200" s="92"/>
      <c r="Y200" s="92"/>
      <c r="Z200" s="92"/>
    </row>
    <row r="201" spans="1:47" x14ac:dyDescent="0.35">
      <c r="A201" s="76" t="s">
        <v>387</v>
      </c>
      <c r="B201" s="76" t="s">
        <v>388</v>
      </c>
      <c r="C201" s="76" t="s">
        <v>389</v>
      </c>
      <c r="D201" s="76" t="s">
        <v>280</v>
      </c>
      <c r="E201" s="76" t="s">
        <v>292</v>
      </c>
      <c r="F201" s="76" t="s">
        <v>187</v>
      </c>
      <c r="G201" s="76" t="s">
        <v>390</v>
      </c>
      <c r="H201" s="76" t="s">
        <v>391</v>
      </c>
      <c r="I201" s="76" t="s">
        <v>166</v>
      </c>
      <c r="J201" s="76" t="s">
        <v>392</v>
      </c>
      <c r="K201" s="76" t="s">
        <v>346</v>
      </c>
      <c r="L201" s="76" t="s">
        <v>393</v>
      </c>
      <c r="M201" s="76" t="s">
        <v>347</v>
      </c>
      <c r="N201" s="76" t="s">
        <v>394</v>
      </c>
      <c r="O201" s="76" t="s">
        <v>395</v>
      </c>
      <c r="P201" s="76" t="s">
        <v>354</v>
      </c>
      <c r="Q201" s="76" t="s">
        <v>396</v>
      </c>
      <c r="R201" s="76" t="s">
        <v>397</v>
      </c>
      <c r="S201" s="76" t="s">
        <v>398</v>
      </c>
      <c r="T201" s="76" t="s">
        <v>330</v>
      </c>
      <c r="U201" s="76" t="s">
        <v>329</v>
      </c>
      <c r="V201" s="76" t="s">
        <v>399</v>
      </c>
      <c r="W201" s="76" t="s">
        <v>400</v>
      </c>
      <c r="X201" s="76" t="s">
        <v>401</v>
      </c>
      <c r="Y201" s="76" t="s">
        <v>402</v>
      </c>
      <c r="Z201" s="76" t="s">
        <v>403</v>
      </c>
    </row>
    <row r="202" spans="1:47" ht="19" customHeight="1" x14ac:dyDescent="0.35">
      <c r="A202" s="78" t="s">
        <v>194</v>
      </c>
      <c r="B202" s="78"/>
      <c r="C202" s="81" t="s">
        <v>413</v>
      </c>
      <c r="D202" s="81" t="str">
        <f ca="1">TEXT(TODAY(),"YYYY-MM-DD")</f>
        <v>2023-01-25</v>
      </c>
      <c r="E202" s="81"/>
      <c r="F202" s="81" t="str">
        <f>TEXT(0.25,"0.00")</f>
        <v>0.25</v>
      </c>
      <c r="G202" s="81" t="s">
        <v>405</v>
      </c>
      <c r="H202" s="81" t="str">
        <f>F202</f>
        <v>0.25</v>
      </c>
      <c r="I202" s="81" t="s">
        <v>168</v>
      </c>
      <c r="J202" s="81" t="str">
        <f>TEXT(1,"0")</f>
        <v>1</v>
      </c>
      <c r="K202" s="81" t="str">
        <f>TEXT(0.25,"0.00")</f>
        <v>0.25</v>
      </c>
      <c r="L202" s="81"/>
      <c r="M202" s="81" t="str">
        <f>TEXT(13,"0")</f>
        <v>13</v>
      </c>
      <c r="N202" s="81" t="s">
        <v>179</v>
      </c>
      <c r="O202" s="81" t="s">
        <v>417</v>
      </c>
      <c r="P202" s="81"/>
      <c r="Q202" s="81" t="s">
        <v>410</v>
      </c>
      <c r="R202" s="81"/>
      <c r="S202" s="81" t="s">
        <v>199</v>
      </c>
      <c r="T202" s="81" t="s">
        <v>333</v>
      </c>
      <c r="U202" s="81"/>
      <c r="V202" s="81"/>
      <c r="W202" s="81"/>
      <c r="X202" s="81"/>
      <c r="Y202" s="81"/>
      <c r="Z202" s="81"/>
      <c r="AU202" t="s">
        <v>460</v>
      </c>
    </row>
    <row r="203" spans="1:47" ht="19" customHeight="1" x14ac:dyDescent="0.35">
      <c r="A203" s="78" t="s">
        <v>194</v>
      </c>
      <c r="B203" s="78"/>
      <c r="C203" s="79" t="s">
        <v>404</v>
      </c>
      <c r="D203" s="80" t="str">
        <f ca="1">TEXT(TODAY()+45,"YYYY-MM-DD")</f>
        <v>2023-03-11</v>
      </c>
      <c r="E203" s="79"/>
      <c r="F203" s="80">
        <v>13</v>
      </c>
      <c r="G203" s="80" t="s">
        <v>405</v>
      </c>
      <c r="H203" s="80">
        <f>F203</f>
        <v>13</v>
      </c>
      <c r="I203" s="79" t="s">
        <v>168</v>
      </c>
      <c r="J203" s="80"/>
      <c r="K203" s="80"/>
      <c r="L203" s="80"/>
      <c r="M203" s="80"/>
      <c r="N203" s="79"/>
      <c r="O203" s="79"/>
      <c r="P203" s="79"/>
      <c r="Q203" s="79"/>
      <c r="R203" s="79"/>
      <c r="S203" s="79" t="s">
        <v>199</v>
      </c>
      <c r="T203" s="79" t="s">
        <v>333</v>
      </c>
      <c r="U203" s="79" t="str">
        <f>A5</f>
        <v>2380202516</v>
      </c>
      <c r="V203" s="79" t="s">
        <v>406</v>
      </c>
      <c r="W203" s="79" t="s">
        <v>177</v>
      </c>
      <c r="X203" s="79" t="s">
        <v>407</v>
      </c>
      <c r="Y203" s="79" t="s">
        <v>408</v>
      </c>
      <c r="Z203" s="79"/>
      <c r="AU203" t="s">
        <v>528</v>
      </c>
    </row>
    <row r="204" spans="1:47" ht="19" customHeight="1" x14ac:dyDescent="0.35">
      <c r="A204" s="78" t="s">
        <v>194</v>
      </c>
      <c r="B204" s="78"/>
      <c r="C204" s="84" t="s">
        <v>412</v>
      </c>
      <c r="D204" s="84" t="str">
        <f ca="1">TEXT(TODAY()+70,"YYYY-MM-DD")</f>
        <v>2023-04-05</v>
      </c>
      <c r="E204" s="84"/>
      <c r="F204" s="84">
        <v>12</v>
      </c>
      <c r="G204" s="84" t="s">
        <v>405</v>
      </c>
      <c r="H204" s="84">
        <f>F204</f>
        <v>12</v>
      </c>
      <c r="I204" s="84" t="s">
        <v>168</v>
      </c>
      <c r="J204" s="84"/>
      <c r="K204" s="84"/>
      <c r="L204" s="84"/>
      <c r="M204" s="84"/>
      <c r="N204" s="84"/>
      <c r="O204" s="84"/>
      <c r="P204" s="84"/>
      <c r="Q204" s="84"/>
      <c r="R204" s="84"/>
      <c r="S204" s="84" t="s">
        <v>199</v>
      </c>
      <c r="T204" s="84" t="s">
        <v>333</v>
      </c>
      <c r="U204" s="79" t="str">
        <f>A5</f>
        <v>2380202516</v>
      </c>
      <c r="V204" s="84" t="s">
        <v>406</v>
      </c>
      <c r="W204" s="84" t="s">
        <v>177</v>
      </c>
      <c r="X204" s="84" t="s">
        <v>407</v>
      </c>
      <c r="Y204" s="84" t="s">
        <v>408</v>
      </c>
      <c r="Z204" s="84"/>
      <c r="AU204" t="s">
        <v>529</v>
      </c>
    </row>
    <row r="206" spans="1:47" x14ac:dyDescent="0.35">
      <c r="A206" s="44" t="s">
        <v>365</v>
      </c>
      <c r="B206" s="45"/>
      <c r="C206" s="45"/>
    </row>
    <row r="207" spans="1:47" x14ac:dyDescent="0.35">
      <c r="A207" s="42" t="s">
        <v>365</v>
      </c>
      <c r="B207" s="42" t="s">
        <v>366</v>
      </c>
      <c r="C207" s="42" t="s">
        <v>367</v>
      </c>
      <c r="D207" s="42" t="s">
        <v>368</v>
      </c>
      <c r="E207" s="42" t="s">
        <v>283</v>
      </c>
      <c r="F207" s="42" t="s">
        <v>183</v>
      </c>
      <c r="G207" s="42" t="s">
        <v>184</v>
      </c>
      <c r="H207" s="42" t="s">
        <v>369</v>
      </c>
      <c r="I207" s="42" t="s">
        <v>370</v>
      </c>
      <c r="J207" s="42" t="s">
        <v>371</v>
      </c>
      <c r="K207" s="42" t="s">
        <v>280</v>
      </c>
      <c r="L207" s="42" t="s">
        <v>278</v>
      </c>
    </row>
    <row r="208" spans="1:47" ht="72.5" x14ac:dyDescent="0.35">
      <c r="A208" s="71" t="s">
        <v>372</v>
      </c>
      <c r="B208" s="72" t="s">
        <v>492</v>
      </c>
      <c r="C208" s="72" t="s">
        <v>492</v>
      </c>
      <c r="D208" s="72" t="s">
        <v>374</v>
      </c>
      <c r="E208" s="72" t="s">
        <v>375</v>
      </c>
      <c r="F208" s="72"/>
      <c r="G208" s="72"/>
      <c r="H208" s="72"/>
      <c r="I208" s="72"/>
      <c r="J208" s="73">
        <f ca="1">TODAY()</f>
        <v>44951</v>
      </c>
      <c r="K208" s="73">
        <v>234</v>
      </c>
      <c r="L208" s="72" t="s">
        <v>155</v>
      </c>
    </row>
    <row r="210" spans="1:26" x14ac:dyDescent="0.35">
      <c r="A210" s="44" t="s">
        <v>365</v>
      </c>
      <c r="B210" s="45"/>
      <c r="C210" s="45"/>
    </row>
    <row r="211" spans="1:26" x14ac:dyDescent="0.35">
      <c r="A211" s="42" t="s">
        <v>365</v>
      </c>
      <c r="B211" s="42" t="s">
        <v>366</v>
      </c>
      <c r="C211" s="42" t="s">
        <v>367</v>
      </c>
      <c r="D211" s="42" t="s">
        <v>368</v>
      </c>
      <c r="E211" s="42" t="s">
        <v>283</v>
      </c>
      <c r="F211" s="42" t="s">
        <v>183</v>
      </c>
      <c r="G211" s="42" t="s">
        <v>184</v>
      </c>
      <c r="H211" s="42" t="s">
        <v>369</v>
      </c>
      <c r="I211" s="42" t="s">
        <v>370</v>
      </c>
      <c r="J211" s="42" t="s">
        <v>371</v>
      </c>
      <c r="K211" s="42" t="s">
        <v>280</v>
      </c>
      <c r="L211" s="42" t="s">
        <v>278</v>
      </c>
    </row>
    <row r="212" spans="1:26" ht="72.5" x14ac:dyDescent="0.35">
      <c r="A212" s="71" t="s">
        <v>372</v>
      </c>
      <c r="B212" s="72" t="s">
        <v>373</v>
      </c>
      <c r="C212" s="72" t="s">
        <v>373</v>
      </c>
      <c r="D212" s="72" t="s">
        <v>374</v>
      </c>
      <c r="E212" s="72" t="s">
        <v>375</v>
      </c>
      <c r="F212" s="72"/>
      <c r="G212" s="72"/>
      <c r="H212" s="72"/>
      <c r="I212" s="72"/>
      <c r="J212" s="73">
        <f ca="1">TODAY()</f>
        <v>44951</v>
      </c>
      <c r="K212" s="73">
        <v>234</v>
      </c>
      <c r="L212" s="72" t="s">
        <v>155</v>
      </c>
    </row>
    <row r="214" spans="1:26" ht="13.25" customHeight="1" x14ac:dyDescent="0.35">
      <c r="A214" s="107" t="s">
        <v>352</v>
      </c>
      <c r="B214" s="108"/>
      <c r="C214" s="108"/>
      <c r="D214" s="108"/>
      <c r="E214" s="108"/>
      <c r="F214" s="108"/>
      <c r="G214" s="108"/>
      <c r="H214" s="108"/>
      <c r="I214" s="108"/>
      <c r="J214" s="108"/>
      <c r="K214" s="108"/>
      <c r="L214" s="108"/>
    </row>
    <row r="215" spans="1:26" x14ac:dyDescent="0.35">
      <c r="A215" s="134" t="s">
        <v>131</v>
      </c>
      <c r="B215" s="134" t="s">
        <v>353</v>
      </c>
      <c r="C215" s="116" t="s">
        <v>354</v>
      </c>
      <c r="D215" s="119" t="s">
        <v>355</v>
      </c>
      <c r="E215" s="122" t="s">
        <v>339</v>
      </c>
      <c r="F215" s="122"/>
      <c r="G215" s="122"/>
      <c r="H215" s="122"/>
      <c r="I215" s="123" t="s">
        <v>356</v>
      </c>
      <c r="J215" s="123"/>
      <c r="K215" s="123"/>
      <c r="L215" s="123"/>
    </row>
    <row r="216" spans="1:26" x14ac:dyDescent="0.35">
      <c r="A216" s="135"/>
      <c r="B216" s="135"/>
      <c r="C216" s="117"/>
      <c r="D216" s="120"/>
      <c r="E216" s="105" t="s">
        <v>357</v>
      </c>
      <c r="F216" s="106"/>
      <c r="G216" s="103" t="s">
        <v>343</v>
      </c>
      <c r="H216" s="104"/>
      <c r="I216" s="105" t="s">
        <v>357</v>
      </c>
      <c r="J216" s="106"/>
      <c r="K216" s="103" t="s">
        <v>343</v>
      </c>
      <c r="L216" s="104"/>
    </row>
    <row r="217" spans="1:26" x14ac:dyDescent="0.35">
      <c r="A217" s="136"/>
      <c r="B217" s="136" t="s">
        <v>130</v>
      </c>
      <c r="C217" s="118"/>
      <c r="D217" s="121"/>
      <c r="E217" s="64" t="s">
        <v>358</v>
      </c>
      <c r="F217" s="64" t="s">
        <v>359</v>
      </c>
      <c r="G217" s="65" t="s">
        <v>360</v>
      </c>
      <c r="H217" s="65" t="s">
        <v>361</v>
      </c>
      <c r="I217" s="64" t="s">
        <v>358</v>
      </c>
      <c r="J217" s="64" t="s">
        <v>359</v>
      </c>
      <c r="K217" s="65" t="s">
        <v>360</v>
      </c>
      <c r="L217" s="65" t="s">
        <v>361</v>
      </c>
    </row>
    <row r="218" spans="1:26" x14ac:dyDescent="0.35">
      <c r="A218" s="30" t="str">
        <f>C5&amp;",IND"</f>
        <v>DEAL_PERSON_CH1_001,IND</v>
      </c>
      <c r="B218" s="40" t="s">
        <v>350</v>
      </c>
      <c r="C218" s="55" t="s">
        <v>362</v>
      </c>
      <c r="D218" s="66" t="str">
        <f>TEXT(65518.91,"0.00")</f>
        <v>65518.91</v>
      </c>
      <c r="E218" s="67" t="str">
        <f>"$"&amp;TEXT(926867.11,"0.00")</f>
        <v>$926867.11</v>
      </c>
      <c r="F218" s="67" t="str">
        <f>"$"&amp;TEXT(247,"0.00")</f>
        <v>$247.00</v>
      </c>
      <c r="G218" s="67" t="str">
        <f>"$"&amp;TEXT(1412.5,"0.00")</f>
        <v>$1412.50</v>
      </c>
      <c r="H218" s="67" t="str">
        <f>"$"&amp;TEXT(0,"0.00")</f>
        <v>$0.00</v>
      </c>
      <c r="I218" s="68" t="str">
        <f>"$"&amp;TEXT(926867.11,"0.00")</f>
        <v>$926867.11</v>
      </c>
      <c r="J218" s="68" t="str">
        <f>"$"&amp;TEXT(247,"0.00")</f>
        <v>$247.00</v>
      </c>
      <c r="K218" s="68" t="str">
        <f>"$"&amp;TEXT(1412.5,"0.00")</f>
        <v>$1412.50</v>
      </c>
      <c r="L218" s="68" t="str">
        <f>"$"&amp;TEXT(0,"0.00")</f>
        <v>$0.00</v>
      </c>
    </row>
    <row r="220" spans="1:26" x14ac:dyDescent="0.35">
      <c r="A220" s="107" t="s">
        <v>363</v>
      </c>
      <c r="B220" s="108"/>
      <c r="C220" s="108"/>
      <c r="D220" s="108"/>
      <c r="E220" s="108"/>
      <c r="F220" s="108"/>
      <c r="G220" s="108"/>
      <c r="H220" s="108"/>
      <c r="I220" s="108"/>
      <c r="J220" s="108"/>
    </row>
    <row r="221" spans="1:26" x14ac:dyDescent="0.35">
      <c r="A221" s="99"/>
      <c r="B221" s="100"/>
      <c r="C221" s="109" t="s">
        <v>339</v>
      </c>
      <c r="D221" s="109"/>
      <c r="E221" s="109"/>
      <c r="F221" s="109"/>
      <c r="G221" s="109"/>
      <c r="H221" s="109"/>
      <c r="I221" s="109"/>
      <c r="J221" s="109"/>
      <c r="K221" s="109"/>
      <c r="Z221" s="69"/>
    </row>
    <row r="222" spans="1:26" x14ac:dyDescent="0.35">
      <c r="A222" s="110" t="s">
        <v>340</v>
      </c>
      <c r="B222" s="110" t="s">
        <v>341</v>
      </c>
      <c r="C222" s="105" t="s">
        <v>342</v>
      </c>
      <c r="D222" s="112"/>
      <c r="E222" s="112"/>
      <c r="F222" s="106"/>
      <c r="G222" s="103" t="s">
        <v>343</v>
      </c>
      <c r="H222" s="113"/>
      <c r="I222" s="113"/>
      <c r="J222" s="104"/>
      <c r="K222" s="114" t="s">
        <v>364</v>
      </c>
    </row>
    <row r="223" spans="1:26" x14ac:dyDescent="0.35">
      <c r="A223" s="111"/>
      <c r="B223" s="111"/>
      <c r="C223" s="64" t="s">
        <v>346</v>
      </c>
      <c r="D223" s="64" t="s">
        <v>347</v>
      </c>
      <c r="E223" s="64" t="s">
        <v>348</v>
      </c>
      <c r="F223" s="64" t="s">
        <v>349</v>
      </c>
      <c r="G223" s="65" t="s">
        <v>346</v>
      </c>
      <c r="H223" s="65" t="s">
        <v>347</v>
      </c>
      <c r="I223" s="65" t="s">
        <v>348</v>
      </c>
      <c r="J223" s="65" t="s">
        <v>349</v>
      </c>
      <c r="K223" s="115"/>
    </row>
    <row r="224" spans="1:26" x14ac:dyDescent="0.35">
      <c r="A224" s="55" t="s">
        <v>350</v>
      </c>
      <c r="B224" s="70"/>
      <c r="C224" s="30" t="str">
        <f>"$"&amp;TEXT(926867.11,"0.00")</f>
        <v>$926867.11</v>
      </c>
      <c r="D224" s="30" t="str">
        <f>"$"&amp;TEXT(247,"0.00")</f>
        <v>$247.00</v>
      </c>
      <c r="E224" s="30" t="str">
        <f>"$"&amp;TEXT(926620.11,"0.00")</f>
        <v>$926620.11</v>
      </c>
      <c r="F224" s="30" t="str">
        <f>TEXT(99.97,"0.00")</f>
        <v>99.97</v>
      </c>
      <c r="G224" s="30" t="str">
        <f>"$"&amp;TEXT(1412.5,"0.00")</f>
        <v>$1412.50</v>
      </c>
      <c r="H224" s="30" t="str">
        <f>"$"&amp;TEXT(0,"0.00")</f>
        <v>$0.00</v>
      </c>
      <c r="I224" s="30" t="str">
        <f>"$"&amp;TEXT(1412.5,"0.00")</f>
        <v>$1412.50</v>
      </c>
      <c r="J224" s="30" t="str">
        <f>TEXT(100,"0.00")</f>
        <v>100.00</v>
      </c>
      <c r="K224" s="30" t="str">
        <f>TEXT(65518.91,"0.00")</f>
        <v>65518.91</v>
      </c>
    </row>
    <row r="226" spans="1:12" x14ac:dyDescent="0.35">
      <c r="A226" s="44" t="s">
        <v>365</v>
      </c>
      <c r="B226" s="45"/>
      <c r="C226" s="45"/>
    </row>
    <row r="227" spans="1:12" x14ac:dyDescent="0.35">
      <c r="A227" s="42" t="s">
        <v>365</v>
      </c>
      <c r="B227" s="42" t="s">
        <v>366</v>
      </c>
      <c r="C227" s="42" t="s">
        <v>367</v>
      </c>
      <c r="D227" s="42" t="s">
        <v>368</v>
      </c>
      <c r="E227" s="42" t="s">
        <v>283</v>
      </c>
      <c r="F227" s="42" t="s">
        <v>183</v>
      </c>
      <c r="G227" s="42" t="s">
        <v>184</v>
      </c>
      <c r="H227" s="42" t="s">
        <v>369</v>
      </c>
      <c r="I227" s="42" t="s">
        <v>370</v>
      </c>
      <c r="J227" s="42" t="s">
        <v>371</v>
      </c>
      <c r="K227" s="42" t="s">
        <v>280</v>
      </c>
      <c r="L227" s="42" t="s">
        <v>278</v>
      </c>
    </row>
    <row r="228" spans="1:12" ht="58" x14ac:dyDescent="0.35">
      <c r="A228" s="71" t="s">
        <v>461</v>
      </c>
      <c r="B228" s="72" t="s">
        <v>409</v>
      </c>
      <c r="C228" s="72" t="s">
        <v>435</v>
      </c>
      <c r="D228" s="72" t="s">
        <v>374</v>
      </c>
      <c r="E228" s="72" t="s">
        <v>374</v>
      </c>
      <c r="F228" s="72"/>
      <c r="G228" s="72"/>
      <c r="H228" s="72"/>
      <c r="I228" s="72"/>
      <c r="J228" s="73">
        <f ca="1">TODAY()</f>
        <v>44951</v>
      </c>
      <c r="K228" s="73">
        <v>234</v>
      </c>
      <c r="L228" s="72" t="s">
        <v>155</v>
      </c>
    </row>
    <row r="230" spans="1:12" x14ac:dyDescent="0.35">
      <c r="A230" s="44" t="s">
        <v>365</v>
      </c>
      <c r="B230" s="45"/>
      <c r="C230" s="45"/>
    </row>
    <row r="231" spans="1:12" x14ac:dyDescent="0.35">
      <c r="A231" s="42" t="s">
        <v>365</v>
      </c>
      <c r="B231" s="42" t="s">
        <v>366</v>
      </c>
      <c r="C231" s="42" t="s">
        <v>367</v>
      </c>
      <c r="D231" s="42" t="s">
        <v>368</v>
      </c>
      <c r="E231" s="42" t="s">
        <v>283</v>
      </c>
      <c r="F231" s="42" t="s">
        <v>183</v>
      </c>
      <c r="G231" s="42" t="s">
        <v>184</v>
      </c>
      <c r="H231" s="42" t="s">
        <v>369</v>
      </c>
      <c r="I231" s="42" t="s">
        <v>370</v>
      </c>
      <c r="J231" s="42" t="s">
        <v>371</v>
      </c>
      <c r="K231" s="42" t="s">
        <v>280</v>
      </c>
      <c r="L231" s="42" t="s">
        <v>278</v>
      </c>
    </row>
    <row r="232" spans="1:12" ht="58" x14ac:dyDescent="0.35">
      <c r="A232" s="71" t="s">
        <v>461</v>
      </c>
      <c r="B232" s="72" t="s">
        <v>510</v>
      </c>
      <c r="C232" s="72" t="s">
        <v>510</v>
      </c>
      <c r="D232" s="72" t="s">
        <v>374</v>
      </c>
      <c r="E232" s="72" t="s">
        <v>374</v>
      </c>
      <c r="F232" s="72"/>
      <c r="G232" s="72"/>
      <c r="H232" s="72"/>
      <c r="I232" s="72"/>
      <c r="J232" s="73">
        <f ca="1">TODAY()</f>
        <v>44951</v>
      </c>
      <c r="K232" s="73">
        <v>234</v>
      </c>
      <c r="L232" s="72" t="s">
        <v>155</v>
      </c>
    </row>
    <row r="234" spans="1:12" ht="13.25" customHeight="1" x14ac:dyDescent="0.35">
      <c r="A234" s="107" t="s">
        <v>352</v>
      </c>
      <c r="B234" s="108"/>
      <c r="C234" s="108"/>
      <c r="D234" s="108"/>
      <c r="E234" s="108"/>
      <c r="F234" s="108"/>
      <c r="G234" s="108"/>
      <c r="H234" s="108"/>
      <c r="I234" s="108"/>
      <c r="J234" s="108"/>
      <c r="K234" s="108"/>
      <c r="L234" s="108"/>
    </row>
    <row r="235" spans="1:12" x14ac:dyDescent="0.35">
      <c r="A235" s="134" t="s">
        <v>131</v>
      </c>
      <c r="B235" s="134" t="s">
        <v>353</v>
      </c>
      <c r="C235" s="116" t="s">
        <v>354</v>
      </c>
      <c r="D235" s="119" t="s">
        <v>355</v>
      </c>
      <c r="E235" s="122" t="s">
        <v>339</v>
      </c>
      <c r="F235" s="122"/>
      <c r="G235" s="122"/>
      <c r="H235" s="122"/>
      <c r="I235" s="123" t="s">
        <v>356</v>
      </c>
      <c r="J235" s="123"/>
      <c r="K235" s="123"/>
      <c r="L235" s="123"/>
    </row>
    <row r="236" spans="1:12" x14ac:dyDescent="0.35">
      <c r="A236" s="135"/>
      <c r="B236" s="135"/>
      <c r="C236" s="117"/>
      <c r="D236" s="120"/>
      <c r="E236" s="105" t="s">
        <v>357</v>
      </c>
      <c r="F236" s="106"/>
      <c r="G236" s="103" t="s">
        <v>343</v>
      </c>
      <c r="H236" s="104"/>
      <c r="I236" s="105" t="s">
        <v>357</v>
      </c>
      <c r="J236" s="106"/>
      <c r="K236" s="103" t="s">
        <v>343</v>
      </c>
      <c r="L236" s="104"/>
    </row>
    <row r="237" spans="1:12" x14ac:dyDescent="0.35">
      <c r="A237" s="136"/>
      <c r="B237" s="136" t="s">
        <v>130</v>
      </c>
      <c r="C237" s="118"/>
      <c r="D237" s="121"/>
      <c r="E237" s="64" t="s">
        <v>358</v>
      </c>
      <c r="F237" s="64" t="s">
        <v>359</v>
      </c>
      <c r="G237" s="65" t="s">
        <v>360</v>
      </c>
      <c r="H237" s="65" t="s">
        <v>361</v>
      </c>
      <c r="I237" s="64" t="s">
        <v>358</v>
      </c>
      <c r="J237" s="64" t="s">
        <v>359</v>
      </c>
      <c r="K237" s="65" t="s">
        <v>360</v>
      </c>
      <c r="L237" s="65" t="s">
        <v>361</v>
      </c>
    </row>
    <row r="238" spans="1:12" x14ac:dyDescent="0.35">
      <c r="A238" s="30" t="str">
        <f>C5&amp;",IND"</f>
        <v>DEAL_PERSON_CH1_001,IND</v>
      </c>
      <c r="B238" s="40" t="s">
        <v>350</v>
      </c>
      <c r="C238" s="55" t="s">
        <v>362</v>
      </c>
      <c r="D238" s="66" t="str">
        <f>TEXT(0,"0.00")</f>
        <v>0.00</v>
      </c>
      <c r="E238" s="67" t="str">
        <f>"$"&amp;TEXT(925351.25,"0.00")</f>
        <v>$925351.25</v>
      </c>
      <c r="F238" s="67" t="str">
        <f>"$"&amp;TEXT(65,"0.00")</f>
        <v>$65.00</v>
      </c>
      <c r="G238" s="67" t="str">
        <f>"$"&amp;TEXT(0,"0.00")</f>
        <v>$0.00</v>
      </c>
      <c r="H238" s="67" t="str">
        <f>"$"&amp;TEXT(0,"0.00")</f>
        <v>$0.00</v>
      </c>
      <c r="I238" s="68" t="str">
        <f>"$"&amp;TEXT(925351.25,"0.00")</f>
        <v>$925351.25</v>
      </c>
      <c r="J238" s="68" t="str">
        <f>"$"&amp;TEXT(65,"0.00")</f>
        <v>$65.00</v>
      </c>
      <c r="K238" s="68" t="str">
        <f>"$"&amp;TEXT(0,"0.00")</f>
        <v>$0.00</v>
      </c>
      <c r="L238" s="68" t="str">
        <f>"$"&amp;TEXT(0,"0.00")</f>
        <v>$0.00</v>
      </c>
    </row>
    <row r="240" spans="1:12" x14ac:dyDescent="0.35">
      <c r="A240" s="107" t="s">
        <v>363</v>
      </c>
      <c r="B240" s="108"/>
      <c r="C240" s="108"/>
      <c r="D240" s="108"/>
      <c r="E240" s="108"/>
      <c r="F240" s="108"/>
      <c r="G240" s="108"/>
      <c r="H240" s="108"/>
      <c r="I240" s="108"/>
      <c r="J240" s="108"/>
    </row>
    <row r="241" spans="1:26" x14ac:dyDescent="0.35">
      <c r="A241" s="101"/>
      <c r="B241" s="102"/>
      <c r="C241" s="109" t="s">
        <v>339</v>
      </c>
      <c r="D241" s="109"/>
      <c r="E241" s="109"/>
      <c r="F241" s="109"/>
      <c r="G241" s="109"/>
      <c r="H241" s="109"/>
      <c r="I241" s="109"/>
      <c r="J241" s="109"/>
      <c r="K241" s="109"/>
      <c r="Z241" s="69"/>
    </row>
    <row r="242" spans="1:26" x14ac:dyDescent="0.35">
      <c r="A242" s="110" t="s">
        <v>340</v>
      </c>
      <c r="B242" s="110" t="s">
        <v>341</v>
      </c>
      <c r="C242" s="105" t="s">
        <v>342</v>
      </c>
      <c r="D242" s="112"/>
      <c r="E242" s="112"/>
      <c r="F242" s="106"/>
      <c r="G242" s="103" t="s">
        <v>343</v>
      </c>
      <c r="H242" s="113"/>
      <c r="I242" s="113"/>
      <c r="J242" s="104"/>
      <c r="K242" s="114" t="s">
        <v>364</v>
      </c>
    </row>
    <row r="243" spans="1:26" x14ac:dyDescent="0.35">
      <c r="A243" s="111"/>
      <c r="B243" s="111"/>
      <c r="C243" s="64" t="s">
        <v>346</v>
      </c>
      <c r="D243" s="64" t="s">
        <v>347</v>
      </c>
      <c r="E243" s="64" t="s">
        <v>348</v>
      </c>
      <c r="F243" s="64" t="s">
        <v>349</v>
      </c>
      <c r="G243" s="65" t="s">
        <v>346</v>
      </c>
      <c r="H243" s="65" t="s">
        <v>347</v>
      </c>
      <c r="I243" s="65" t="s">
        <v>348</v>
      </c>
      <c r="J243" s="65" t="s">
        <v>349</v>
      </c>
      <c r="K243" s="115"/>
    </row>
    <row r="244" spans="1:26" x14ac:dyDescent="0.35">
      <c r="A244" s="55" t="s">
        <v>350</v>
      </c>
      <c r="B244" s="70"/>
      <c r="C244" s="30" t="str">
        <f>"$"&amp;TEXT(925351.25,"0.00")</f>
        <v>$925351.25</v>
      </c>
      <c r="D244" s="30" t="str">
        <f>"$"&amp;TEXT(65,"0.00")</f>
        <v>$65.00</v>
      </c>
      <c r="E244" s="30" t="str">
        <f>"$"&amp;TEXT(925286.25,"0.00")</f>
        <v>$925286.25</v>
      </c>
      <c r="F244" s="30" t="str">
        <f>TEXT(99.99,"0.00")</f>
        <v>99.99</v>
      </c>
      <c r="G244" s="30" t="str">
        <f>"$"&amp;TEXT(0,"0.00")</f>
        <v>$0.00</v>
      </c>
      <c r="H244" s="30" t="str">
        <f>"$"&amp;TEXT(0,"0.00")</f>
        <v>$0.00</v>
      </c>
      <c r="I244" s="30" t="str">
        <f>"$"&amp;TEXT(0,"0.00")</f>
        <v>$0.00</v>
      </c>
      <c r="J244" s="30" t="str">
        <f>TEXT(0,"0.00")</f>
        <v>0.00</v>
      </c>
      <c r="K244" s="30" t="str">
        <f>TEXT(0,"0.00")</f>
        <v>0.00</v>
      </c>
    </row>
    <row r="246" spans="1:26" x14ac:dyDescent="0.35">
      <c r="A246" s="44" t="s">
        <v>376</v>
      </c>
      <c r="B246" s="45"/>
      <c r="C246" s="45"/>
      <c r="D246" s="45"/>
    </row>
    <row r="247" spans="1:26" x14ac:dyDescent="0.35">
      <c r="A247" s="42" t="s">
        <v>377</v>
      </c>
      <c r="B247" s="42" t="s">
        <v>378</v>
      </c>
      <c r="C247" s="42" t="s">
        <v>379</v>
      </c>
      <c r="D247" s="42" t="s">
        <v>380</v>
      </c>
    </row>
    <row r="248" spans="1:26" x14ac:dyDescent="0.35">
      <c r="A248" s="74" t="str">
        <f ca="1">TEXT(TODAY(),"YYYY-MM-DD")</f>
        <v>2023-01-25</v>
      </c>
      <c r="B248" s="93" t="s">
        <v>511</v>
      </c>
      <c r="C248" s="93" t="s">
        <v>381</v>
      </c>
      <c r="D248" s="93" t="s">
        <v>382</v>
      </c>
    </row>
    <row r="249" spans="1:26" x14ac:dyDescent="0.35">
      <c r="A249" s="74" t="str">
        <f t="shared" ref="A249:A263" ca="1" si="0">TEXT(TODAY(),"YYYY-MM-DD")</f>
        <v>2023-01-25</v>
      </c>
      <c r="B249" s="93" t="s">
        <v>512</v>
      </c>
      <c r="C249" s="93" t="s">
        <v>381</v>
      </c>
      <c r="D249" s="93" t="s">
        <v>382</v>
      </c>
    </row>
    <row r="250" spans="1:26" x14ac:dyDescent="0.35">
      <c r="A250" s="74" t="str">
        <f t="shared" ca="1" si="0"/>
        <v>2023-01-25</v>
      </c>
      <c r="B250" s="93" t="s">
        <v>437</v>
      </c>
      <c r="C250" s="93" t="s">
        <v>381</v>
      </c>
      <c r="D250" s="93" t="s">
        <v>438</v>
      </c>
    </row>
    <row r="251" spans="1:26" x14ac:dyDescent="0.35">
      <c r="A251" s="74" t="str">
        <f t="shared" ca="1" si="0"/>
        <v>2023-01-25</v>
      </c>
      <c r="B251" s="93" t="s">
        <v>439</v>
      </c>
      <c r="C251" s="93" t="s">
        <v>381</v>
      </c>
      <c r="D251" s="93" t="s">
        <v>382</v>
      </c>
    </row>
    <row r="252" spans="1:26" x14ac:dyDescent="0.35">
      <c r="A252" s="74" t="str">
        <f t="shared" ca="1" si="0"/>
        <v>2023-01-25</v>
      </c>
      <c r="B252" s="93" t="s">
        <v>441</v>
      </c>
      <c r="C252" s="93" t="s">
        <v>381</v>
      </c>
      <c r="D252" s="93" t="s">
        <v>438</v>
      </c>
    </row>
    <row r="253" spans="1:26" x14ac:dyDescent="0.35">
      <c r="A253" s="74" t="str">
        <f t="shared" ca="1" si="0"/>
        <v>2023-01-25</v>
      </c>
      <c r="B253" s="93" t="s">
        <v>440</v>
      </c>
      <c r="C253" s="93" t="s">
        <v>381</v>
      </c>
      <c r="D253" s="93" t="s">
        <v>382</v>
      </c>
    </row>
    <row r="254" spans="1:26" x14ac:dyDescent="0.35">
      <c r="A254" s="74" t="str">
        <f t="shared" ca="1" si="0"/>
        <v>2023-01-25</v>
      </c>
      <c r="B254" s="93" t="s">
        <v>442</v>
      </c>
      <c r="C254" s="93" t="s">
        <v>381</v>
      </c>
      <c r="D254" s="93" t="s">
        <v>382</v>
      </c>
    </row>
    <row r="255" spans="1:26" x14ac:dyDescent="0.35">
      <c r="A255" s="74" t="str">
        <f t="shared" ca="1" si="0"/>
        <v>2023-01-25</v>
      </c>
      <c r="B255" s="93" t="s">
        <v>443</v>
      </c>
      <c r="C255" s="93" t="s">
        <v>381</v>
      </c>
      <c r="D255" s="93" t="s">
        <v>382</v>
      </c>
    </row>
    <row r="256" spans="1:26" x14ac:dyDescent="0.35">
      <c r="A256" s="74" t="str">
        <f t="shared" ca="1" si="0"/>
        <v>2023-01-25</v>
      </c>
      <c r="B256" s="93" t="s">
        <v>442</v>
      </c>
      <c r="C256" s="93" t="s">
        <v>381</v>
      </c>
      <c r="D256" s="93" t="s">
        <v>382</v>
      </c>
    </row>
    <row r="257" spans="1:4" x14ac:dyDescent="0.35">
      <c r="A257" s="74" t="str">
        <f t="shared" ca="1" si="0"/>
        <v>2023-01-25</v>
      </c>
      <c r="B257" s="93" t="s">
        <v>513</v>
      </c>
      <c r="C257" s="93" t="s">
        <v>381</v>
      </c>
      <c r="D257" s="93" t="s">
        <v>382</v>
      </c>
    </row>
    <row r="258" spans="1:4" x14ac:dyDescent="0.35">
      <c r="A258" s="74" t="str">
        <f t="shared" ca="1" si="0"/>
        <v>2023-01-25</v>
      </c>
      <c r="B258" s="93" t="s">
        <v>514</v>
      </c>
      <c r="C258" s="93" t="s">
        <v>381</v>
      </c>
      <c r="D258" s="93" t="s">
        <v>382</v>
      </c>
    </row>
    <row r="259" spans="1:4" x14ac:dyDescent="0.35">
      <c r="A259" s="74" t="str">
        <f t="shared" ca="1" si="0"/>
        <v>2023-01-25</v>
      </c>
      <c r="B259" s="93" t="s">
        <v>443</v>
      </c>
      <c r="C259" s="93" t="s">
        <v>381</v>
      </c>
      <c r="D259" s="93" t="s">
        <v>382</v>
      </c>
    </row>
    <row r="260" spans="1:4" x14ac:dyDescent="0.35">
      <c r="A260" s="74" t="str">
        <f t="shared" ca="1" si="0"/>
        <v>2023-01-25</v>
      </c>
      <c r="B260" s="93" t="s">
        <v>442</v>
      </c>
      <c r="C260" s="93" t="s">
        <v>381</v>
      </c>
      <c r="D260" s="93" t="s">
        <v>382</v>
      </c>
    </row>
    <row r="261" spans="1:4" x14ac:dyDescent="0.35">
      <c r="A261" s="74" t="str">
        <f t="shared" ca="1" si="0"/>
        <v>2023-01-25</v>
      </c>
      <c r="B261" s="93" t="s">
        <v>385</v>
      </c>
      <c r="C261" s="93" t="s">
        <v>381</v>
      </c>
      <c r="D261" s="93" t="s">
        <v>386</v>
      </c>
    </row>
    <row r="262" spans="1:4" x14ac:dyDescent="0.35">
      <c r="A262" s="74" t="str">
        <f t="shared" ca="1" si="0"/>
        <v>2023-01-25</v>
      </c>
      <c r="B262" s="93" t="s">
        <v>515</v>
      </c>
      <c r="C262" s="93" t="s">
        <v>381</v>
      </c>
      <c r="D262" s="93" t="s">
        <v>438</v>
      </c>
    </row>
    <row r="263" spans="1:4" x14ac:dyDescent="0.35">
      <c r="A263" s="74" t="str">
        <f t="shared" ca="1" si="0"/>
        <v>2023-01-25</v>
      </c>
      <c r="B263" s="93" t="s">
        <v>443</v>
      </c>
      <c r="C263" s="93" t="s">
        <v>381</v>
      </c>
      <c r="D263" s="93" t="s">
        <v>382</v>
      </c>
    </row>
  </sheetData>
  <mergeCells count="112">
    <mergeCell ref="A182:R182"/>
    <mergeCell ref="A234:L234"/>
    <mergeCell ref="A235:A237"/>
    <mergeCell ref="B235:B237"/>
    <mergeCell ref="I128:J128"/>
    <mergeCell ref="K128:L128"/>
    <mergeCell ref="A132:J132"/>
    <mergeCell ref="C133:K133"/>
    <mergeCell ref="A134:A135"/>
    <mergeCell ref="B134:B135"/>
    <mergeCell ref="C134:F134"/>
    <mergeCell ref="G134:J134"/>
    <mergeCell ref="K134:K135"/>
    <mergeCell ref="A222:A223"/>
    <mergeCell ref="A196:R196"/>
    <mergeCell ref="A200:R200"/>
    <mergeCell ref="A214:L214"/>
    <mergeCell ref="A215:A217"/>
    <mergeCell ref="B215:B217"/>
    <mergeCell ref="C215:C217"/>
    <mergeCell ref="D215:D217"/>
    <mergeCell ref="E215:H215"/>
    <mergeCell ref="I215:L215"/>
    <mergeCell ref="E216:F216"/>
    <mergeCell ref="A18:C18"/>
    <mergeCell ref="A23:P23"/>
    <mergeCell ref="A69:I69"/>
    <mergeCell ref="A62:D62"/>
    <mergeCell ref="A58:D58"/>
    <mergeCell ref="A105:J105"/>
    <mergeCell ref="A168:R168"/>
    <mergeCell ref="A154:R154"/>
    <mergeCell ref="B122:B123"/>
    <mergeCell ref="C122:F122"/>
    <mergeCell ref="G122:J122"/>
    <mergeCell ref="K122:K123"/>
    <mergeCell ref="L122:L123"/>
    <mergeCell ref="A126:L126"/>
    <mergeCell ref="A127:A129"/>
    <mergeCell ref="B127:B129"/>
    <mergeCell ref="C127:C129"/>
    <mergeCell ref="D127:D129"/>
    <mergeCell ref="E127:H127"/>
    <mergeCell ref="I127:L127"/>
    <mergeCell ref="E128:F128"/>
    <mergeCell ref="G128:H128"/>
    <mergeCell ref="C106:K106"/>
    <mergeCell ref="A107:A108"/>
    <mergeCell ref="A77:K77"/>
    <mergeCell ref="A79:D79"/>
    <mergeCell ref="C95:F95"/>
    <mergeCell ref="G95:J95"/>
    <mergeCell ref="C107:F107"/>
    <mergeCell ref="K95:K96"/>
    <mergeCell ref="I100:L100"/>
    <mergeCell ref="E101:F101"/>
    <mergeCell ref="G101:H101"/>
    <mergeCell ref="I101:J101"/>
    <mergeCell ref="K101:L101"/>
    <mergeCell ref="A100:A102"/>
    <mergeCell ref="B100:B102"/>
    <mergeCell ref="A95:A96"/>
    <mergeCell ref="B95:B96"/>
    <mergeCell ref="D100:D102"/>
    <mergeCell ref="AG84:AL84"/>
    <mergeCell ref="T84:V84"/>
    <mergeCell ref="W84:X84"/>
    <mergeCell ref="Z84:AF84"/>
    <mergeCell ref="A189:R189"/>
    <mergeCell ref="A175:R175"/>
    <mergeCell ref="A161:R161"/>
    <mergeCell ref="A148:R148"/>
    <mergeCell ref="E100:H100"/>
    <mergeCell ref="A120:J120"/>
    <mergeCell ref="C121:K121"/>
    <mergeCell ref="A122:A123"/>
    <mergeCell ref="T116:V116"/>
    <mergeCell ref="W116:X116"/>
    <mergeCell ref="Z116:AF116"/>
    <mergeCell ref="AG116:AL116"/>
    <mergeCell ref="B107:B108"/>
    <mergeCell ref="G107:J107"/>
    <mergeCell ref="K107:K108"/>
    <mergeCell ref="A99:L99"/>
    <mergeCell ref="L95:L96"/>
    <mergeCell ref="A93:J93"/>
    <mergeCell ref="C94:K94"/>
    <mergeCell ref="C100:C102"/>
    <mergeCell ref="G216:H216"/>
    <mergeCell ref="I216:J216"/>
    <mergeCell ref="K216:L216"/>
    <mergeCell ref="A220:J220"/>
    <mergeCell ref="C221:K221"/>
    <mergeCell ref="A240:J240"/>
    <mergeCell ref="C241:K241"/>
    <mergeCell ref="A242:A243"/>
    <mergeCell ref="B242:B243"/>
    <mergeCell ref="C242:F242"/>
    <mergeCell ref="G242:J242"/>
    <mergeCell ref="K242:K243"/>
    <mergeCell ref="C222:F222"/>
    <mergeCell ref="G222:J222"/>
    <mergeCell ref="K222:K223"/>
    <mergeCell ref="B222:B223"/>
    <mergeCell ref="C235:C237"/>
    <mergeCell ref="D235:D237"/>
    <mergeCell ref="E235:H235"/>
    <mergeCell ref="I235:L235"/>
    <mergeCell ref="E236:F236"/>
    <mergeCell ref="G236:H236"/>
    <mergeCell ref="I236:J236"/>
    <mergeCell ref="K236:L236"/>
  </mergeCells>
  <dataValidations count="4">
    <dataValidation type="list" allowBlank="1" showInputMessage="1" showErrorMessage="1" sqref="C14 C58 MFR184:MFR187 MZJ170:MZJ173 MZJ177:MZJ180 OCX202:OCX204 OMT202:OMT204 OWP202:OWP204 PGL202:PGL204 PQH202:PQH204 QAD202:QAD204 QJZ202:QJZ204 QTV202:QTV204 RDR202:RDR204 RNN202:RNN204 RXJ202:RXJ204 SHF202:SHF204 SRB202:SRB204 TAX202:TAX204 TKT202:TKT204 TUP202:TUP204 UEL202:UEL204 UOH202:UOH204 UYD202:UYD204 VHZ202:VHZ204 VRV202:VRV204 WBR202:WBR204 WLN202:WLN204 WVJ202:WVJ204 IX202:IX204 ST202:ST204 ACP202:ACP204 AML202:AML204 AWH202:AWH204 BGD202:BGD204 BPZ202:BPZ204 BZV202:BZV204 CJR202:CJR204 CTN202:CTN204 DDJ202:DDJ204 DNF202:DNF204 DXB202:DXB204 EGX202:EGX204 EQT202:EQT204 FAP202:FAP204 LCD202:LCD204 FKL202:FKL204 FUH202:FUH204 GED202:GED204 GNZ202:GNZ204 GXV202:GXV204 HHR202:HHR204 HRN202:HRN204 IBJ202:IBJ204 ILF202:ILF204 IVB202:IVB204 JEX202:JEX204 JOT202:JOT204 JYP202:JYP204 KIL202:KIL204 KSH202:KSH204 LLZ202:LLZ204 LVV202:LVV204 MFR202:MFR204 MPN202:MPN204 MZJ202:MZJ204 NJF202:NJF204 MPN191:MPN194 MZJ150:MZJ152 MPN150:MPN152 MFR150:MFR152 LVV150:LVV152 LLZ150:LLZ152 KSH150:KSH152 KIL150:KIL152 JYP150:JYP152 JOT150:JOT152 JEX150:JEX152 IVB150:IVB152 ILF150:ILF152 IBJ150:IBJ152 HRN150:HRN152 HHR150:HHR152 GXV150:GXV152 GNZ150:GNZ152 GED150:GED152 FUH150:FUH152 FKL150:FKL152 LCD150:LCD152 FAP150:FAP152 EQT150:EQT152 EGX150:EGX152 DXB150:DXB152 DNF150:DNF152 DDJ150:DDJ152 CTN150:CTN152 CJR150:CJR152 BZV150:BZV152 BPZ150:BPZ152 BGD150:BGD152 AWH150:AWH152 AML150:AML152 ACP150:ACP152 ST150:ST152 IX150:IX152 WVJ150:WVJ152 WLN150:WLN152 WBR150:WBR152 VRV150:VRV152 VHZ150:VHZ152 UYD150:UYD152 UOH150:UOH152 UEL150:UEL152 TUP150:TUP152 TKT150:TKT152 TAX150:TAX152 SRB150:SRB152 SHF150:SHF152 RXJ150:RXJ152 RNN150:RNN152 RDR150:RDR152 QTV150:QTV152 QJZ150:QJZ152 QAD150:QAD152 PQH150:PQH152 PGL150:PGL152 OWP150:OWP152 OMT150:OMT152 OCX150:OCX152 NTB150:NTB152 NJF150:NJF152 OCX198 MFR156:MFR159 MPN163:MPN166 NTB198 NJF198 MZJ198 MPN198 MFR198 LVV198 LLZ198 KSH198 KIL198 JYP198 JOT198 JEX198 IVB198 ILF198 IBJ198 HRN198 HHR198 GXV198 GNZ198 GED198 FUH198 FKL198 LCD198 FAP198 EQT198 EGX198 DXB198 DNF198 DDJ198 CTN198 CJR198 BZV198 BPZ198 BGD198 AWH198 AML198 ACP198 ST198 IX198 WVJ198 WLN198 WBR198 VRV198 VHZ198 UYD198 UOH198 UEL198 TUP198 TKT198 TAX198 SRB198 SHF198 RXJ198 RNN198 RDR198 QTV198 QJZ198 QAD198 PQH198 PGL198 OWP198 OMT198 LVV156:LVV159 LLZ156:LLZ159 KSH156:KSH159 KIL156:KIL159 JYP156:JYP159 JOT156:JOT159 JEX156:JEX159 IVB156:IVB159 ILF156:ILF159 IBJ156:IBJ159 HRN156:HRN159 HHR156:HHR159 GXV156:GXV159 GNZ156:GNZ159 GED156:GED159 FUH156:FUH159 FKL156:FKL159 LCD156:LCD159 FAP156:FAP159 EQT156:EQT159 EGX156:EGX159 DXB156:DXB159 DNF156:DNF159 DDJ156:DDJ159 CTN156:CTN159 CJR156:CJR159 BZV156:BZV159 BPZ156:BPZ159 BGD156:BGD159 AWH156:AWH159 AML156:AML159 ACP156:ACP159 ST156:ST159 IX156:IX159 WVJ156:WVJ159 WLN156:WLN159 WBR156:WBR159 VRV156:VRV159 VHZ156:VHZ159 UYD156:UYD159 UOH156:UOH159 UEL156:UEL159 TUP156:TUP159 TKT156:TKT159 TAX156:TAX159 SRB156:SRB159 SHF156:SHF159 RXJ156:RXJ159 RNN156:RNN159 RDR156:RDR159 QTV156:QTV159 QJZ156:QJZ159 QAD156:QAD159 PQH156:PQH159 PGL156:PGL159 OWP156:OWP159 OMT156:OMT159 OCX156:OCX159 NTB156:NTB159 NJF156:NJF159 MZJ156:MZJ159 MPN156:MPN159 MFR163:MFR166 LVV163:LVV166 LLZ163:LLZ166 KSH163:KSH166 KIL163:KIL166 JYP163:JYP166 JOT163:JOT166 JEX163:JEX166 IVB163:IVB166 ILF163:ILF166 IBJ163:IBJ166 HRN163:HRN166 HHR163:HHR166 GXV163:GXV166 GNZ163:GNZ166 GED163:GED166 FUH163:FUH166 FKL163:FKL166 LCD163:LCD166 FAP163:FAP166 EQT163:EQT166 EGX163:EGX166 DXB163:DXB166 DNF163:DNF166 DDJ163:DDJ166 CTN163:CTN166 CJR163:CJR166 BZV163:BZV166 BPZ163:BPZ166 BGD163:BGD166 AWH163:AWH166 AML163:AML166 ACP163:ACP166 ST163:ST166 IX163:IX166 WVJ163:WVJ166 WLN163:WLN166 WBR163:WBR166 VRV163:VRV166 VHZ163:VHZ166 UYD163:UYD166 UOH163:UOH166 UEL163:UEL166 TUP163:TUP166 TKT163:TKT166 TAX163:TAX166 SRB163:SRB166 SHF163:SHF166 RXJ163:RXJ166 RNN163:RNN166 RDR163:RDR166 QTV163:QTV166 QJZ163:QJZ166 QAD163:QAD166 PQH163:PQH166 PGL163:PGL166 OWP163:OWP166 OMT163:OMT166 OCX163:OCX166 NTB163:NTB166 NJF163:NJF166 MZJ163:MZJ166 NJF170:NJF173 NTB170:NTB173 OCX170:OCX173 OMT170:OMT173 OWP170:OWP173 PGL170:PGL173 PQH170:PQH173 QAD170:QAD173 QJZ170:QJZ173 QTV170:QTV173 RDR170:RDR173 RNN170:RNN173 RXJ170:RXJ173 SHF170:SHF173 SRB170:SRB173 TAX170:TAX173 TKT170:TKT173 TUP170:TUP173 UEL170:UEL173 UOH170:UOH173 UYD170:UYD173 VHZ170:VHZ173 VRV170:VRV173 WBR170:WBR173 WLN170:WLN173 WVJ170:WVJ173 IX170:IX173 ST170:ST173 ACP170:ACP173 AML170:AML173 AWH170:AWH173 BGD170:BGD173 BPZ170:BPZ173 BZV170:BZV173 CJR170:CJR173 CTN170:CTN173 DDJ170:DDJ173 DNF170:DNF173 DXB170:DXB173 EGX170:EGX173 EQT170:EQT173 FAP170:FAP173 LCD170:LCD173 FKL170:FKL173 FUH170:FUH173 GED170:GED173 GNZ170:GNZ173 GXV170:GXV173 HHR170:HHR173 HRN170:HRN173 IBJ170:IBJ173 ILF170:ILF173 IVB170:IVB173 JEX170:JEX173 JOT170:JOT173 JYP170:JYP173 KIL170:KIL173 KSH170:KSH173 LLZ170:LLZ173 LVV170:LVV173 MFR170:MFR173 MPN170:MPN173 MPN177:MPN180 MFR177:MFR180 LVV177:LVV180 LLZ177:LLZ180 KSH177:KSH180 KIL177:KIL180 JYP177:JYP180 JOT177:JOT180 JEX177:JEX180 IVB177:IVB180 ILF177:ILF180 IBJ177:IBJ180 HRN177:HRN180 HHR177:HHR180 GXV177:GXV180 GNZ177:GNZ180 GED177:GED180 FUH177:FUH180 FKL177:FKL180 LCD177:LCD180 FAP177:FAP180 EQT177:EQT180 EGX177:EGX180 DXB177:DXB180 DNF177:DNF180 DDJ177:DDJ180 CTN177:CTN180 CJR177:CJR180 BZV177:BZV180 BPZ177:BPZ180 BGD177:BGD180 AWH177:AWH180 AML177:AML180 ACP177:ACP180 ST177:ST180 IX177:IX180 WVJ177:WVJ180 WLN177:WLN180 WBR177:WBR180 VRV177:VRV180 VHZ177:VHZ180 UYD177:UYD180 UOH177:UOH180 UEL177:UEL180 TUP177:TUP180 TKT177:TKT180 TAX177:TAX180 SRB177:SRB180 SHF177:SHF180 RXJ177:RXJ180 RNN177:RNN180 RDR177:RDR180 QTV177:QTV180 QJZ177:QJZ180 QAD177:QAD180 PQH177:PQH180 PGL177:PGL180 OWP177:OWP180 OMT177:OMT180 OCX177:OCX180 NTB177:NTB180 NJF177:NJF180 MPN184:MPN187 MZJ184:MZJ187 NJF184:NJF187 NTB184:NTB187 OCX184:OCX187 OMT184:OMT187 OWP184:OWP187 PGL184:PGL187 PQH184:PQH187 QAD184:QAD187 QJZ184:QJZ187 QTV184:QTV187 RDR184:RDR187 RNN184:RNN187 RXJ184:RXJ187 SHF184:SHF187 SRB184:SRB187 TAX184:TAX187 TKT184:TKT187 TUP184:TUP187 UEL184:UEL187 UOH184:UOH187 UYD184:UYD187 VHZ184:VHZ187 VRV184:VRV187 WBR184:WBR187 WLN184:WLN187 WVJ184:WVJ187 IX184:IX187 ST184:ST187 ACP184:ACP187 AML184:AML187 AWH184:AWH187 BGD184:BGD187 BPZ184:BPZ187 BZV184:BZV187 CJR184:CJR187 CTN184:CTN187 DDJ184:DDJ187 DNF184:DNF187 DXB184:DXB187 EGX184:EGX187 EQT184:EQT187 FAP184:FAP187 LCD184:LCD187 FKL184:FKL187 FUH184:FUH187 GED184:GED187 GNZ184:GNZ187 GXV184:GXV187 HHR184:HHR187 HRN184:HRN187 IBJ184:IBJ187 ILF184:ILF187 IVB184:IVB187 JEX184:JEX187 JOT184:JOT187 JYP184:JYP187 KIL184:KIL187 KSH184:KSH187 LLZ184:LLZ187 LVV184:LVV187 MZJ191:MZJ194 NJF191:NJF194 NTB191:NTB194 OCX191:OCX194 OMT191:OMT194 OWP191:OWP194 PGL191:PGL194 PQH191:PQH194 QAD191:QAD194 QJZ191:QJZ194 QTV191:QTV194 RDR191:RDR194 RNN191:RNN194 RXJ191:RXJ194 SHF191:SHF194 SRB191:SRB194 TAX191:TAX194 TKT191:TKT194 TUP191:TUP194 UEL191:UEL194 UOH191:UOH194 UYD191:UYD194 VHZ191:VHZ194 VRV191:VRV194 WBR191:WBR194 WLN191:WLN194 WVJ191:WVJ194 IX191:IX194 ST191:ST194 ACP191:ACP194 AML191:AML194 AWH191:AWH194 BGD191:BGD194 BPZ191:BPZ194 BZV191:BZV194 CJR191:CJR194 CTN191:CTN194 DDJ191:DDJ194 DNF191:DNF194 DXB191:DXB194 EGX191:EGX194 EQT191:EQT194 FAP191:FAP194 LCD191:LCD194 FKL191:FKL194 FUH191:FUH194 GED191:GED194 GNZ191:GNZ194 GXV191:GXV194 HHR191:HHR194 HRN191:HRN194 IBJ191:IBJ194 ILF191:ILF194 IVB191:IVB194 JEX191:JEX194 JOT191:JOT194 JYP191:JYP194 KIL191:KIL194 KSH191:KSH194 LLZ191:LLZ194 LVV191:LVV194 MFR191:MFR194 NTB202:NTB204">
      <formula1>"Proposed,Original,Seasonal,Recommended"</formula1>
    </dataValidation>
    <dataValidation type="list" allowBlank="1" showInputMessage="1" showErrorMessage="1" sqref="C18 C8">
      <formula1>"Projected,Original,Seasonal,Recommended"</formula1>
    </dataValidation>
    <dataValidation type="list" allowBlank="1" showInputMessage="1" showErrorMessage="1" sqref="C103 C130 C218 C238">
      <formula1>"APPROVED, PENDING FOR APPROVAL, ERROR, ,"</formula1>
    </dataValidation>
    <dataValidation type="list" allowBlank="1" showInputMessage="1" showErrorMessage="1" sqref="N143:N144 N140 N113 N208 N212 N228 N232 N247">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43"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44"/>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43"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44"/>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43"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45"/>
      <c r="N45" s="5">
        <v>44</v>
      </c>
      <c r="O45" s="9" t="s">
        <v>79</v>
      </c>
      <c r="P45" s="10" t="s">
        <v>78</v>
      </c>
      <c r="Q45" s="10"/>
      <c r="R45" s="10" t="s">
        <v>124</v>
      </c>
      <c r="S45" s="10"/>
    </row>
    <row r="46" spans="1:19" ht="26" x14ac:dyDescent="0.35">
      <c r="A46" s="8"/>
      <c r="B46" s="8"/>
      <c r="C46" s="8"/>
      <c r="D46" s="8"/>
      <c r="E46" s="8"/>
      <c r="F46" s="8"/>
      <c r="G46" s="8"/>
      <c r="H46" s="8"/>
      <c r="I46" s="8"/>
      <c r="J46" s="8"/>
      <c r="K46" s="8"/>
      <c r="L46" s="8"/>
      <c r="M46" s="144"/>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2023-01-25T11:07:01Z</dcterms:modified>
</cp:coreProperties>
</file>