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200" windowHeight="11850" activeTab="1"/>
  </bookViews>
  <sheets>
    <sheet name="Pre-requisites" sheetId="2" r:id="rId1"/>
    <sheet name="Currency Conversion - Deal " sheetId="6" r:id="rId2"/>
    <sheet name="UC01 - CALCULATOIN" sheetId="3" r:id="rId3"/>
    <sheet name="Deal- Contracted data" sheetId="7" r:id="rId4"/>
    <sheet name="Bug_ID"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7" i="6" l="1"/>
  <c r="H91" i="6" l="1"/>
  <c r="K78" i="6"/>
  <c r="J78" i="6"/>
  <c r="D78" i="6"/>
  <c r="C78" i="6"/>
  <c r="B78" i="6"/>
  <c r="A78" i="6"/>
  <c r="K77" i="6"/>
  <c r="J77" i="6"/>
  <c r="D77" i="6"/>
  <c r="C77" i="6"/>
  <c r="B77" i="6"/>
  <c r="A77" i="6"/>
  <c r="K76" i="6"/>
  <c r="J76" i="6"/>
  <c r="D76" i="6"/>
  <c r="C76" i="6"/>
  <c r="B76" i="6"/>
  <c r="A76" i="6"/>
  <c r="C126" i="6" l="1"/>
  <c r="B126" i="6"/>
  <c r="A225" i="6" l="1"/>
  <c r="L196" i="6" l="1"/>
  <c r="H196" i="6" l="1"/>
  <c r="G196" i="6"/>
  <c r="F196" i="6"/>
  <c r="E196" i="6"/>
  <c r="E195" i="6"/>
  <c r="K196" i="6"/>
  <c r="I196" i="6"/>
  <c r="J196" i="6"/>
  <c r="J195" i="6"/>
  <c r="L195" i="6" l="1"/>
  <c r="F195" i="6" l="1"/>
  <c r="G195" i="6"/>
  <c r="H195" i="6"/>
  <c r="K195" i="6"/>
  <c r="I195" i="6"/>
  <c r="E87" i="6" l="1"/>
  <c r="G112" i="6" l="1"/>
  <c r="G113" i="6"/>
  <c r="G91" i="6"/>
  <c r="B91" i="6"/>
  <c r="M91" i="6"/>
  <c r="L91" i="6"/>
  <c r="S519" i="6" l="1"/>
  <c r="O519" i="6"/>
  <c r="T519" i="6" l="1"/>
  <c r="N430" i="6" l="1"/>
  <c r="J430" i="6"/>
  <c r="F430" i="6"/>
  <c r="K430" i="6" l="1"/>
  <c r="J328" i="6" l="1"/>
  <c r="F328" i="6"/>
  <c r="O322" i="6" l="1"/>
  <c r="J322" i="6"/>
  <c r="F322" i="6"/>
  <c r="K328" i="6" l="1"/>
  <c r="T322" i="6"/>
  <c r="K322" i="6"/>
  <c r="T211" i="6" l="1"/>
  <c r="S211" i="6"/>
  <c r="O211" i="6"/>
  <c r="F216" i="6" l="1"/>
  <c r="J216" i="6"/>
  <c r="J210" i="6" l="1"/>
  <c r="F210" i="6"/>
  <c r="O210" i="6"/>
  <c r="T210" i="6"/>
  <c r="S210" i="6"/>
  <c r="K210" i="6" l="1"/>
  <c r="K216" i="6" l="1"/>
  <c r="D196" i="6" l="1"/>
  <c r="D195" i="6"/>
  <c r="E307" i="6" l="1"/>
  <c r="D308" i="6" l="1"/>
  <c r="D307" i="6"/>
  <c r="H308" i="6"/>
  <c r="G308" i="6"/>
  <c r="F308" i="6"/>
  <c r="E308" i="6"/>
  <c r="H307" i="6" l="1"/>
  <c r="G307" i="6"/>
  <c r="F307" i="6"/>
  <c r="G125" i="6" l="1"/>
  <c r="C99" i="6" l="1"/>
  <c r="A307" i="6" l="1"/>
  <c r="H125" i="6" l="1"/>
  <c r="F119" i="6"/>
  <c r="B119" i="6" l="1"/>
  <c r="F118" i="6"/>
  <c r="B118" i="6"/>
  <c r="A533" i="6" l="1"/>
  <c r="A504" i="6" l="1"/>
  <c r="A196" i="6" l="1"/>
  <c r="A308" i="6" l="1"/>
  <c r="A505" i="6"/>
  <c r="A410" i="6"/>
  <c r="A409" i="6"/>
  <c r="J337" i="6" l="1"/>
  <c r="K337" i="6"/>
  <c r="J338" i="6"/>
  <c r="K338" i="6"/>
  <c r="J339" i="6"/>
  <c r="K339" i="6"/>
  <c r="K336" i="6"/>
  <c r="J336" i="6"/>
  <c r="E225" i="6" l="1"/>
  <c r="M195" i="6" l="1"/>
  <c r="K529" i="6" l="1"/>
  <c r="J529" i="6"/>
  <c r="S488" i="6"/>
  <c r="Q488" i="6"/>
  <c r="N488" i="6" s="1"/>
  <c r="M488" i="6"/>
  <c r="K488" i="6"/>
  <c r="H488" i="6" s="1"/>
  <c r="G488" i="6"/>
  <c r="S487" i="6"/>
  <c r="Q487" i="6"/>
  <c r="N487" i="6" s="1"/>
  <c r="M487" i="6"/>
  <c r="K487" i="6"/>
  <c r="H487" i="6" s="1"/>
  <c r="G487" i="6"/>
  <c r="S484" i="6"/>
  <c r="Q484" i="6"/>
  <c r="M484" i="6"/>
  <c r="K484" i="6"/>
  <c r="G484" i="6"/>
  <c r="S483" i="6"/>
  <c r="Q483" i="6"/>
  <c r="M483" i="6"/>
  <c r="K483" i="6"/>
  <c r="G483" i="6"/>
  <c r="S479" i="6"/>
  <c r="Q479" i="6"/>
  <c r="R479" i="6" s="1"/>
  <c r="M479" i="6"/>
  <c r="K479" i="6"/>
  <c r="L479" i="6" s="1"/>
  <c r="G479" i="6"/>
  <c r="S475" i="6"/>
  <c r="Q475" i="6"/>
  <c r="M475" i="6"/>
  <c r="K475" i="6"/>
  <c r="G475" i="6"/>
  <c r="S471" i="6"/>
  <c r="Q471" i="6"/>
  <c r="N471" i="6" s="1"/>
  <c r="M471" i="6"/>
  <c r="K471" i="6"/>
  <c r="L471" i="6" s="1"/>
  <c r="G471" i="6"/>
  <c r="S467" i="6"/>
  <c r="Q467" i="6"/>
  <c r="N467" i="6" s="1"/>
  <c r="M467" i="6"/>
  <c r="K467" i="6"/>
  <c r="G467" i="6"/>
  <c r="Q466" i="6"/>
  <c r="K466" i="6"/>
  <c r="G466" i="6"/>
  <c r="S463" i="6"/>
  <c r="Q463" i="6"/>
  <c r="N463" i="6" s="1"/>
  <c r="M463" i="6"/>
  <c r="K463" i="6"/>
  <c r="G463" i="6"/>
  <c r="P462" i="6"/>
  <c r="K462" i="6"/>
  <c r="J462" i="6"/>
  <c r="Q461" i="6"/>
  <c r="P461" i="6"/>
  <c r="J461" i="6"/>
  <c r="S457" i="6"/>
  <c r="Q457" i="6"/>
  <c r="R457" i="6" s="1"/>
  <c r="M457" i="6"/>
  <c r="K457" i="6"/>
  <c r="L457" i="6" s="1"/>
  <c r="G457" i="6"/>
  <c r="S453" i="6"/>
  <c r="S451" i="6" s="1"/>
  <c r="Q453" i="6"/>
  <c r="R453" i="6" s="1"/>
  <c r="M453" i="6"/>
  <c r="M451" i="6" s="1"/>
  <c r="K453" i="6"/>
  <c r="G453" i="6"/>
  <c r="S452" i="6"/>
  <c r="Q452" i="6"/>
  <c r="P452" i="6"/>
  <c r="M452" i="6"/>
  <c r="K452" i="6"/>
  <c r="J452" i="6"/>
  <c r="P451" i="6"/>
  <c r="J451" i="6"/>
  <c r="S447" i="6"/>
  <c r="Q447" i="6"/>
  <c r="R447" i="6" s="1"/>
  <c r="M447" i="6"/>
  <c r="K447" i="6"/>
  <c r="H447" i="6" s="1"/>
  <c r="G447" i="6"/>
  <c r="S444" i="6"/>
  <c r="S442" i="6" s="1"/>
  <c r="Q444" i="6"/>
  <c r="N444" i="6" s="1"/>
  <c r="M444" i="6"/>
  <c r="M442" i="6" s="1"/>
  <c r="K444" i="6"/>
  <c r="H444" i="6" s="1"/>
  <c r="G444" i="6"/>
  <c r="S443" i="6"/>
  <c r="Q443" i="6"/>
  <c r="R443" i="6" s="1"/>
  <c r="M443" i="6"/>
  <c r="K443" i="6"/>
  <c r="H443" i="6" s="1"/>
  <c r="G443" i="6"/>
  <c r="P442" i="6"/>
  <c r="J442" i="6"/>
  <c r="P441" i="6"/>
  <c r="P439" i="6" s="1"/>
  <c r="J441" i="6"/>
  <c r="S393" i="6"/>
  <c r="S389" i="6"/>
  <c r="S349" i="6"/>
  <c r="S358" i="6"/>
  <c r="S362" i="6"/>
  <c r="S368" i="6"/>
  <c r="S392" i="6"/>
  <c r="S388" i="6"/>
  <c r="S384" i="6"/>
  <c r="S380" i="6"/>
  <c r="S376" i="6"/>
  <c r="S372" i="6"/>
  <c r="S348" i="6"/>
  <c r="S352" i="6"/>
  <c r="S140" i="6"/>
  <c r="Q140" i="6"/>
  <c r="R140" i="6" s="1"/>
  <c r="M140" i="6"/>
  <c r="K140" i="6"/>
  <c r="L140" i="6" s="1"/>
  <c r="G140" i="6"/>
  <c r="Q371" i="6"/>
  <c r="Q349" i="6"/>
  <c r="Q348" i="6"/>
  <c r="Q352" i="6"/>
  <c r="Q358" i="6"/>
  <c r="Q362" i="6"/>
  <c r="Q393" i="6"/>
  <c r="Q392" i="6"/>
  <c r="Q389" i="6"/>
  <c r="Q388" i="6"/>
  <c r="Q384" i="6"/>
  <c r="Q380" i="6"/>
  <c r="Q376" i="6"/>
  <c r="Q372" i="6"/>
  <c r="Q368" i="6"/>
  <c r="H471" i="6" l="1"/>
  <c r="S346" i="6"/>
  <c r="Q442" i="6"/>
  <c r="S441" i="6"/>
  <c r="K441" i="6"/>
  <c r="P440" i="6"/>
  <c r="S356" i="6"/>
  <c r="N447" i="6"/>
  <c r="M441" i="6"/>
  <c r="K451" i="6"/>
  <c r="N479" i="6"/>
  <c r="M462" i="6"/>
  <c r="M440" i="6" s="1"/>
  <c r="H467" i="6"/>
  <c r="R471" i="6"/>
  <c r="L487" i="6"/>
  <c r="H463" i="6"/>
  <c r="R467" i="6"/>
  <c r="J439" i="6"/>
  <c r="J440" i="6"/>
  <c r="L443" i="6"/>
  <c r="L447" i="6"/>
  <c r="Q441" i="6"/>
  <c r="Q451" i="6"/>
  <c r="Q439" i="6" s="1"/>
  <c r="N457" i="6"/>
  <c r="R466" i="6"/>
  <c r="L483" i="6"/>
  <c r="S461" i="6"/>
  <c r="S439" i="6" s="1"/>
  <c r="K442" i="6"/>
  <c r="K440" i="6" s="1"/>
  <c r="N443" i="6"/>
  <c r="S462" i="6"/>
  <c r="S440" i="6" s="1"/>
  <c r="H466" i="6"/>
  <c r="H457" i="6"/>
  <c r="L466" i="6"/>
  <c r="N466" i="6"/>
  <c r="H479" i="6"/>
  <c r="H483" i="6"/>
  <c r="R463" i="6"/>
  <c r="B497" i="6"/>
  <c r="H453" i="6"/>
  <c r="L463" i="6"/>
  <c r="L467" i="6"/>
  <c r="H475" i="6"/>
  <c r="R483" i="6"/>
  <c r="R487" i="6"/>
  <c r="L453" i="6"/>
  <c r="K461" i="6"/>
  <c r="K439" i="6" s="1"/>
  <c r="L475" i="6"/>
  <c r="B496" i="6"/>
  <c r="M461" i="6"/>
  <c r="M439" i="6" s="1"/>
  <c r="Q462" i="6"/>
  <c r="Q440" i="6" s="1"/>
  <c r="H484" i="6"/>
  <c r="N453" i="6"/>
  <c r="N475" i="6"/>
  <c r="R475" i="6"/>
  <c r="N483" i="6"/>
  <c r="N484" i="6"/>
  <c r="H140" i="6"/>
  <c r="N140" i="6"/>
  <c r="B498" i="6" l="1"/>
  <c r="R371" i="6"/>
  <c r="K371" i="6" l="1"/>
  <c r="G371" i="6"/>
  <c r="K434" i="6"/>
  <c r="J434" i="6"/>
  <c r="N393" i="6"/>
  <c r="M393" i="6"/>
  <c r="K393" i="6"/>
  <c r="H393" i="6" s="1"/>
  <c r="G393" i="6"/>
  <c r="N392" i="6"/>
  <c r="M392" i="6"/>
  <c r="K392" i="6"/>
  <c r="G392" i="6"/>
  <c r="M389" i="6"/>
  <c r="K389" i="6"/>
  <c r="G389" i="6"/>
  <c r="N388" i="6"/>
  <c r="M388" i="6"/>
  <c r="K388" i="6"/>
  <c r="G388" i="6"/>
  <c r="N384" i="6"/>
  <c r="M384" i="6"/>
  <c r="K384" i="6"/>
  <c r="L384" i="6" s="1"/>
  <c r="G384" i="6"/>
  <c r="R380" i="6"/>
  <c r="N380" i="6"/>
  <c r="M380" i="6"/>
  <c r="K380" i="6"/>
  <c r="H380" i="6" s="1"/>
  <c r="G380" i="6"/>
  <c r="M376" i="6"/>
  <c r="K376" i="6"/>
  <c r="L376" i="6" s="1"/>
  <c r="G376" i="6"/>
  <c r="N372" i="6"/>
  <c r="M372" i="6"/>
  <c r="K372" i="6"/>
  <c r="G372" i="6"/>
  <c r="M368" i="6"/>
  <c r="K368" i="6"/>
  <c r="G368" i="6"/>
  <c r="S367" i="6"/>
  <c r="P367" i="6"/>
  <c r="J367" i="6"/>
  <c r="P366" i="6"/>
  <c r="J366" i="6"/>
  <c r="R362" i="6"/>
  <c r="N362" i="6"/>
  <c r="M362" i="6"/>
  <c r="K362" i="6"/>
  <c r="G362" i="6"/>
  <c r="R358" i="6"/>
  <c r="M358" i="6"/>
  <c r="K358" i="6"/>
  <c r="L358" i="6" s="1"/>
  <c r="G358" i="6"/>
  <c r="S357" i="6"/>
  <c r="Q357" i="6"/>
  <c r="P357" i="6"/>
  <c r="M357" i="6"/>
  <c r="K357" i="6"/>
  <c r="J357" i="6"/>
  <c r="Q356" i="6"/>
  <c r="P356" i="6"/>
  <c r="J356" i="6"/>
  <c r="N352" i="6"/>
  <c r="M352" i="6"/>
  <c r="K352" i="6"/>
  <c r="L352" i="6" s="1"/>
  <c r="G352" i="6"/>
  <c r="N349" i="6"/>
  <c r="M349" i="6"/>
  <c r="M347" i="6" s="1"/>
  <c r="K349" i="6"/>
  <c r="H349" i="6" s="1"/>
  <c r="G349" i="6"/>
  <c r="N348" i="6"/>
  <c r="M348" i="6"/>
  <c r="K348" i="6"/>
  <c r="G348" i="6"/>
  <c r="S347" i="6"/>
  <c r="Q347" i="6"/>
  <c r="P347" i="6"/>
  <c r="J347" i="6"/>
  <c r="Q346" i="6"/>
  <c r="P346" i="6"/>
  <c r="J346" i="6"/>
  <c r="M367" i="6" l="1"/>
  <c r="M345" i="6"/>
  <c r="M356" i="6"/>
  <c r="H388" i="6"/>
  <c r="H368" i="6"/>
  <c r="L380" i="6"/>
  <c r="M346" i="6"/>
  <c r="M344" i="6" s="1"/>
  <c r="L348" i="6"/>
  <c r="K347" i="6"/>
  <c r="H358" i="6"/>
  <c r="H372" i="6"/>
  <c r="L388" i="6"/>
  <c r="L371" i="6"/>
  <c r="K356" i="6"/>
  <c r="H371" i="6"/>
  <c r="N371" i="6"/>
  <c r="H348" i="6"/>
  <c r="K346" i="6"/>
  <c r="H352" i="6"/>
  <c r="L362" i="6"/>
  <c r="S345" i="6"/>
  <c r="P345" i="6"/>
  <c r="J344" i="6"/>
  <c r="P344" i="6"/>
  <c r="J345" i="6"/>
  <c r="L368" i="6"/>
  <c r="R372" i="6"/>
  <c r="H376" i="6"/>
  <c r="R384" i="6"/>
  <c r="K367" i="6"/>
  <c r="K345" i="6" s="1"/>
  <c r="H392" i="6"/>
  <c r="L392" i="6"/>
  <c r="Q367" i="6"/>
  <c r="Q345" i="6" s="1"/>
  <c r="R348" i="6"/>
  <c r="R352" i="6"/>
  <c r="H362" i="6"/>
  <c r="L372" i="6"/>
  <c r="R388" i="6"/>
  <c r="R392" i="6"/>
  <c r="N368" i="6"/>
  <c r="H384" i="6"/>
  <c r="B401" i="6"/>
  <c r="N358" i="6"/>
  <c r="R368" i="6"/>
  <c r="N376" i="6"/>
  <c r="H389" i="6"/>
  <c r="B402" i="6"/>
  <c r="Q366" i="6"/>
  <c r="Q344" i="6" s="1"/>
  <c r="S366" i="6"/>
  <c r="S344" i="6" s="1"/>
  <c r="R376" i="6"/>
  <c r="N389" i="6"/>
  <c r="B403" i="6"/>
  <c r="K344" i="6" l="1"/>
  <c r="J332" i="6" l="1"/>
  <c r="J300" i="6"/>
  <c r="I300" i="6"/>
  <c r="F300" i="6"/>
  <c r="E300" i="6"/>
  <c r="J299" i="6"/>
  <c r="I299" i="6"/>
  <c r="F299" i="6"/>
  <c r="E299" i="6"/>
  <c r="S291" i="6"/>
  <c r="Q291" i="6"/>
  <c r="N291" i="6" s="1"/>
  <c r="M291" i="6"/>
  <c r="K291" i="6"/>
  <c r="H291" i="6" s="1"/>
  <c r="G291" i="6"/>
  <c r="S290" i="6"/>
  <c r="Q290" i="6"/>
  <c r="N290" i="6" s="1"/>
  <c r="M290" i="6"/>
  <c r="K290" i="6"/>
  <c r="G290" i="6"/>
  <c r="S287" i="6"/>
  <c r="Q287" i="6"/>
  <c r="N287" i="6" s="1"/>
  <c r="M287" i="6"/>
  <c r="K287" i="6"/>
  <c r="G287" i="6"/>
  <c r="S286" i="6"/>
  <c r="Q286" i="6"/>
  <c r="M286" i="6"/>
  <c r="K286" i="6"/>
  <c r="G286" i="6"/>
  <c r="S282" i="6"/>
  <c r="Q282" i="6"/>
  <c r="R282" i="6" s="1"/>
  <c r="M282" i="6"/>
  <c r="K282" i="6"/>
  <c r="L282" i="6" s="1"/>
  <c r="G282" i="6"/>
  <c r="S278" i="6"/>
  <c r="Q278" i="6"/>
  <c r="M278" i="6"/>
  <c r="K278" i="6"/>
  <c r="H278" i="6" s="1"/>
  <c r="G278" i="6"/>
  <c r="S274" i="6"/>
  <c r="Q274" i="6"/>
  <c r="N274" i="6" s="1"/>
  <c r="M274" i="6"/>
  <c r="K274" i="6"/>
  <c r="H274" i="6" s="1"/>
  <c r="G274" i="6"/>
  <c r="S270" i="6"/>
  <c r="Q270" i="6"/>
  <c r="M270" i="6"/>
  <c r="K270" i="6"/>
  <c r="G270" i="6"/>
  <c r="S266" i="6"/>
  <c r="Q266" i="6"/>
  <c r="R266" i="6" s="1"/>
  <c r="M266" i="6"/>
  <c r="K266" i="6"/>
  <c r="L266" i="6" s="1"/>
  <c r="G266" i="6"/>
  <c r="P265" i="6"/>
  <c r="J265" i="6"/>
  <c r="P264" i="6"/>
  <c r="J264" i="6"/>
  <c r="S260" i="6"/>
  <c r="Q260" i="6"/>
  <c r="R260" i="6" s="1"/>
  <c r="M260" i="6"/>
  <c r="K260" i="6"/>
  <c r="L260" i="6" s="1"/>
  <c r="G260" i="6"/>
  <c r="S256" i="6"/>
  <c r="Q256" i="6"/>
  <c r="N256" i="6" s="1"/>
  <c r="M256" i="6"/>
  <c r="K256" i="6"/>
  <c r="H256" i="6" s="1"/>
  <c r="G256" i="6"/>
  <c r="S255" i="6"/>
  <c r="Q255" i="6"/>
  <c r="P255" i="6"/>
  <c r="M255" i="6"/>
  <c r="K255" i="6"/>
  <c r="J255" i="6"/>
  <c r="P254" i="6"/>
  <c r="J254" i="6"/>
  <c r="S250" i="6"/>
  <c r="Q250" i="6"/>
  <c r="N250" i="6" s="1"/>
  <c r="M250" i="6"/>
  <c r="K250" i="6"/>
  <c r="L250" i="6" s="1"/>
  <c r="G250" i="6"/>
  <c r="S247" i="6"/>
  <c r="S245" i="6" s="1"/>
  <c r="Q247" i="6"/>
  <c r="N247" i="6" s="1"/>
  <c r="M247" i="6"/>
  <c r="M245" i="6" s="1"/>
  <c r="K247" i="6"/>
  <c r="H247" i="6" s="1"/>
  <c r="G247" i="6"/>
  <c r="S246" i="6"/>
  <c r="Q246" i="6"/>
  <c r="N246" i="6" s="1"/>
  <c r="M246" i="6"/>
  <c r="K246" i="6"/>
  <c r="H246" i="6" s="1"/>
  <c r="G246" i="6"/>
  <c r="P245" i="6"/>
  <c r="J245" i="6"/>
  <c r="P244" i="6"/>
  <c r="J244" i="6"/>
  <c r="J221" i="6"/>
  <c r="K179" i="6"/>
  <c r="H179" i="6" s="1"/>
  <c r="K178" i="6"/>
  <c r="K175" i="6"/>
  <c r="K174" i="6"/>
  <c r="K170" i="6"/>
  <c r="L170" i="6" s="1"/>
  <c r="K166" i="6"/>
  <c r="L166" i="6" s="1"/>
  <c r="K162" i="6"/>
  <c r="L162" i="6" s="1"/>
  <c r="K158" i="6"/>
  <c r="K154" i="6"/>
  <c r="K148" i="6"/>
  <c r="K144" i="6"/>
  <c r="K138" i="6"/>
  <c r="K135" i="6"/>
  <c r="H135" i="6" s="1"/>
  <c r="K134" i="6"/>
  <c r="M179" i="6"/>
  <c r="M178" i="6"/>
  <c r="M175" i="6"/>
  <c r="M174" i="6"/>
  <c r="M170" i="6"/>
  <c r="M166" i="6"/>
  <c r="M162" i="6"/>
  <c r="M158" i="6"/>
  <c r="M154" i="6"/>
  <c r="M148" i="6"/>
  <c r="M144" i="6"/>
  <c r="M138" i="6"/>
  <c r="M135" i="6"/>
  <c r="M134" i="6"/>
  <c r="Q143" i="6"/>
  <c r="Q134" i="6"/>
  <c r="N134" i="6" s="1"/>
  <c r="Q135" i="6"/>
  <c r="N135" i="6" s="1"/>
  <c r="Q138" i="6"/>
  <c r="R138" i="6" s="1"/>
  <c r="Q144" i="6"/>
  <c r="R144" i="6" s="1"/>
  <c r="Q148" i="6"/>
  <c r="Q179" i="6"/>
  <c r="N179" i="6" s="1"/>
  <c r="Q178" i="6"/>
  <c r="N178" i="6" s="1"/>
  <c r="Q175" i="6"/>
  <c r="N175" i="6" s="1"/>
  <c r="Q174" i="6"/>
  <c r="Q170" i="6"/>
  <c r="N170" i="6" s="1"/>
  <c r="Q166" i="6"/>
  <c r="R166" i="6" s="1"/>
  <c r="Q162" i="6"/>
  <c r="N162" i="6" s="1"/>
  <c r="Q158" i="6"/>
  <c r="Q154" i="6"/>
  <c r="R154" i="6" s="1"/>
  <c r="S175" i="6"/>
  <c r="S179" i="6"/>
  <c r="S134" i="6"/>
  <c r="S135" i="6"/>
  <c r="S133" i="6" s="1"/>
  <c r="S138" i="6"/>
  <c r="S144" i="6"/>
  <c r="S148" i="6"/>
  <c r="S178" i="6"/>
  <c r="S174" i="6"/>
  <c r="S170" i="6"/>
  <c r="S166" i="6"/>
  <c r="S162" i="6"/>
  <c r="S158" i="6"/>
  <c r="S154" i="6"/>
  <c r="P133" i="6"/>
  <c r="P132" i="6"/>
  <c r="S143" i="6"/>
  <c r="P143" i="6"/>
  <c r="P142" i="6"/>
  <c r="P153" i="6"/>
  <c r="P152" i="6"/>
  <c r="J153" i="6"/>
  <c r="J152" i="6"/>
  <c r="G179" i="6"/>
  <c r="G175" i="6"/>
  <c r="G178" i="6"/>
  <c r="G174" i="6"/>
  <c r="G170" i="6"/>
  <c r="G166" i="6"/>
  <c r="G162" i="6"/>
  <c r="G158" i="6"/>
  <c r="G154" i="6"/>
  <c r="G135" i="6"/>
  <c r="H174" i="6" l="1"/>
  <c r="H175" i="6"/>
  <c r="N174" i="6"/>
  <c r="R158" i="6"/>
  <c r="L158" i="6"/>
  <c r="M254" i="6"/>
  <c r="S132" i="6"/>
  <c r="G301" i="6"/>
  <c r="B187" i="6"/>
  <c r="J243" i="6"/>
  <c r="H250" i="6"/>
  <c r="Q265" i="6"/>
  <c r="P243" i="6"/>
  <c r="K265" i="6"/>
  <c r="P242" i="6"/>
  <c r="Q153" i="6"/>
  <c r="L278" i="6"/>
  <c r="D299" i="6"/>
  <c r="L290" i="6"/>
  <c r="S142" i="6"/>
  <c r="D300" i="6"/>
  <c r="L246" i="6"/>
  <c r="H299" i="6"/>
  <c r="G299" i="6"/>
  <c r="C301" i="6"/>
  <c r="R290" i="6"/>
  <c r="I301" i="6"/>
  <c r="R256" i="6"/>
  <c r="K244" i="6"/>
  <c r="C300" i="6"/>
  <c r="B300" i="6" s="1"/>
  <c r="R274" i="6"/>
  <c r="H290" i="6"/>
  <c r="Q132" i="6"/>
  <c r="H266" i="6"/>
  <c r="G300" i="6"/>
  <c r="K245" i="6"/>
  <c r="K243" i="6" s="1"/>
  <c r="J242" i="6"/>
  <c r="Q245" i="6"/>
  <c r="Q243" i="6" s="1"/>
  <c r="R250" i="6"/>
  <c r="S254" i="6"/>
  <c r="S264" i="6"/>
  <c r="N266" i="6"/>
  <c r="N270" i="6"/>
  <c r="H286" i="6"/>
  <c r="R246" i="6"/>
  <c r="R270" i="6"/>
  <c r="L286" i="6"/>
  <c r="S244" i="6"/>
  <c r="Q244" i="6"/>
  <c r="H270" i="6"/>
  <c r="N282" i="6"/>
  <c r="N286" i="6"/>
  <c r="M244" i="6"/>
  <c r="L270" i="6"/>
  <c r="L274" i="6"/>
  <c r="R286" i="6"/>
  <c r="E301" i="6"/>
  <c r="H260" i="6"/>
  <c r="M265" i="6"/>
  <c r="M243" i="6" s="1"/>
  <c r="H300" i="6"/>
  <c r="D301" i="6"/>
  <c r="L256" i="6"/>
  <c r="K264" i="6"/>
  <c r="H282" i="6"/>
  <c r="H301" i="6"/>
  <c r="M264" i="6"/>
  <c r="C299" i="6"/>
  <c r="B299" i="6" s="1"/>
  <c r="K254" i="6"/>
  <c r="S265" i="6"/>
  <c r="S243" i="6" s="1"/>
  <c r="H287" i="6"/>
  <c r="J301" i="6"/>
  <c r="N260" i="6"/>
  <c r="Q264" i="6"/>
  <c r="N278" i="6"/>
  <c r="Q254" i="6"/>
  <c r="R278" i="6"/>
  <c r="F301" i="6"/>
  <c r="Q152" i="6"/>
  <c r="S153" i="6"/>
  <c r="S131" i="6" s="1"/>
  <c r="B188" i="6"/>
  <c r="M152" i="6"/>
  <c r="K152" i="6"/>
  <c r="M153" i="6"/>
  <c r="K153" i="6"/>
  <c r="Q133" i="6"/>
  <c r="N138" i="6"/>
  <c r="Q142" i="6"/>
  <c r="N148" i="6"/>
  <c r="P131" i="6"/>
  <c r="N144" i="6"/>
  <c r="P130" i="6"/>
  <c r="N154" i="6"/>
  <c r="S152" i="6"/>
  <c r="N166" i="6"/>
  <c r="N158" i="6"/>
  <c r="R134" i="6"/>
  <c r="R148" i="6"/>
  <c r="R162" i="6"/>
  <c r="R170" i="6"/>
  <c r="R174" i="6"/>
  <c r="L178" i="6"/>
  <c r="R178" i="6" s="1"/>
  <c r="H158" i="6"/>
  <c r="H178" i="6"/>
  <c r="L174" i="6"/>
  <c r="H170" i="6"/>
  <c r="H166" i="6"/>
  <c r="H162" i="6"/>
  <c r="H154" i="6"/>
  <c r="L154" i="6"/>
  <c r="A99" i="6"/>
  <c r="H95" i="6"/>
  <c r="K221" i="6"/>
  <c r="D72" i="6"/>
  <c r="Q131" i="6" l="1"/>
  <c r="Q130" i="6"/>
  <c r="S130" i="6"/>
  <c r="B189" i="6"/>
  <c r="B301" i="6"/>
  <c r="S242" i="6"/>
  <c r="M242" i="6"/>
  <c r="Q242" i="6"/>
  <c r="K242" i="6"/>
  <c r="G95" i="6"/>
  <c r="C104" i="6"/>
  <c r="C103" i="6"/>
  <c r="C74" i="7" l="1"/>
  <c r="C73" i="7"/>
  <c r="C75" i="7"/>
  <c r="B459" i="7"/>
  <c r="A459" i="7"/>
  <c r="H453" i="7"/>
  <c r="M452" i="7"/>
  <c r="K452" i="7"/>
  <c r="L452" i="7" s="1"/>
  <c r="G452" i="7"/>
  <c r="H449" i="7"/>
  <c r="M448" i="7"/>
  <c r="K448" i="7"/>
  <c r="L448" i="7" s="1"/>
  <c r="G448" i="7"/>
  <c r="H445" i="7"/>
  <c r="M444" i="7"/>
  <c r="K444" i="7"/>
  <c r="L444" i="7" s="1"/>
  <c r="G444" i="7"/>
  <c r="H441" i="7"/>
  <c r="M440" i="7"/>
  <c r="K440" i="7"/>
  <c r="L440" i="7" s="1"/>
  <c r="G440" i="7"/>
  <c r="H437" i="7"/>
  <c r="M436" i="7"/>
  <c r="K436" i="7"/>
  <c r="L436" i="7" s="1"/>
  <c r="G436" i="7"/>
  <c r="H433" i="7"/>
  <c r="M432" i="7"/>
  <c r="K432" i="7"/>
  <c r="L432" i="7" s="1"/>
  <c r="G432" i="7"/>
  <c r="H429" i="7"/>
  <c r="M428" i="7"/>
  <c r="K428" i="7"/>
  <c r="H428" i="7" s="1"/>
  <c r="G428" i="7"/>
  <c r="H425" i="7"/>
  <c r="M424" i="7"/>
  <c r="K424" i="7"/>
  <c r="L424" i="7" s="1"/>
  <c r="G424" i="7"/>
  <c r="M423" i="7"/>
  <c r="K423" i="7"/>
  <c r="J423" i="7"/>
  <c r="J422" i="7"/>
  <c r="H419" i="7"/>
  <c r="M418" i="7"/>
  <c r="H415" i="7"/>
  <c r="M414" i="7"/>
  <c r="K414" i="7"/>
  <c r="H414" i="7" s="1"/>
  <c r="H411" i="7"/>
  <c r="M410" i="7"/>
  <c r="K410" i="7"/>
  <c r="H410" i="7" s="1"/>
  <c r="M409" i="7"/>
  <c r="K409" i="7"/>
  <c r="J409" i="7"/>
  <c r="J408" i="7"/>
  <c r="K404" i="7"/>
  <c r="L404" i="7" s="1"/>
  <c r="H404" i="7"/>
  <c r="G404" i="7"/>
  <c r="K400" i="7"/>
  <c r="L400" i="7" s="1"/>
  <c r="H400" i="7"/>
  <c r="G400" i="7"/>
  <c r="K397" i="7"/>
  <c r="H397" i="7" s="1"/>
  <c r="G397" i="7"/>
  <c r="M396" i="7"/>
  <c r="K396" i="7"/>
  <c r="H396" i="7" s="1"/>
  <c r="G396" i="7"/>
  <c r="M393" i="7"/>
  <c r="M391" i="7" s="1"/>
  <c r="K393" i="7"/>
  <c r="H393" i="7" s="1"/>
  <c r="G393" i="7"/>
  <c r="M392" i="7"/>
  <c r="K392" i="7"/>
  <c r="H392" i="7" s="1"/>
  <c r="G392" i="7"/>
  <c r="J391" i="7"/>
  <c r="J390" i="7"/>
  <c r="H368" i="7"/>
  <c r="M367" i="7"/>
  <c r="K367" i="7"/>
  <c r="L367" i="7" s="1"/>
  <c r="G367" i="7"/>
  <c r="H364" i="7"/>
  <c r="M363" i="7"/>
  <c r="K363" i="7"/>
  <c r="L363" i="7" s="1"/>
  <c r="G363" i="7"/>
  <c r="K362" i="7"/>
  <c r="L362" i="7" s="1"/>
  <c r="G362" i="7"/>
  <c r="H360" i="7"/>
  <c r="M359" i="7"/>
  <c r="K359" i="7"/>
  <c r="H359" i="7" s="1"/>
  <c r="G359" i="7"/>
  <c r="H356" i="7"/>
  <c r="M355" i="7"/>
  <c r="K355" i="7"/>
  <c r="L355" i="7" s="1"/>
  <c r="G355" i="7"/>
  <c r="H352" i="7"/>
  <c r="M351" i="7"/>
  <c r="K351" i="7"/>
  <c r="H351" i="7" s="1"/>
  <c r="G351" i="7"/>
  <c r="H348" i="7"/>
  <c r="M347" i="7"/>
  <c r="K347" i="7"/>
  <c r="L347" i="7" s="1"/>
  <c r="G347" i="7"/>
  <c r="H344" i="7"/>
  <c r="M343" i="7"/>
  <c r="K343" i="7"/>
  <c r="H343" i="7" s="1"/>
  <c r="G343" i="7"/>
  <c r="K342" i="7"/>
  <c r="H342" i="7" s="1"/>
  <c r="G342" i="7"/>
  <c r="H340" i="7"/>
  <c r="M339" i="7"/>
  <c r="K339" i="7"/>
  <c r="L339" i="7" s="1"/>
  <c r="G339" i="7"/>
  <c r="M338" i="7"/>
  <c r="K338" i="7"/>
  <c r="J338" i="7"/>
  <c r="J337" i="7"/>
  <c r="H334" i="7"/>
  <c r="M333" i="7"/>
  <c r="H330" i="7"/>
  <c r="M329" i="7"/>
  <c r="K329" i="7"/>
  <c r="H329" i="7" s="1"/>
  <c r="M327" i="7"/>
  <c r="K327" i="7"/>
  <c r="L327" i="7" s="1"/>
  <c r="G327" i="7"/>
  <c r="H326" i="7"/>
  <c r="M325" i="7"/>
  <c r="K325" i="7"/>
  <c r="L325" i="7" s="1"/>
  <c r="M324" i="7"/>
  <c r="K324" i="7"/>
  <c r="J324" i="7"/>
  <c r="J323" i="7"/>
  <c r="K319" i="7"/>
  <c r="L319" i="7" s="1"/>
  <c r="H319" i="7"/>
  <c r="G319" i="7"/>
  <c r="K317" i="7"/>
  <c r="L317" i="7" s="1"/>
  <c r="H317" i="7"/>
  <c r="G317" i="7"/>
  <c r="K315" i="7"/>
  <c r="L315" i="7" s="1"/>
  <c r="H315" i="7"/>
  <c r="G315" i="7"/>
  <c r="M313" i="7"/>
  <c r="K313" i="7"/>
  <c r="L313" i="7" s="1"/>
  <c r="G313" i="7"/>
  <c r="K312" i="7"/>
  <c r="H312" i="7" s="1"/>
  <c r="G312" i="7"/>
  <c r="M311" i="7"/>
  <c r="K311" i="7"/>
  <c r="H311" i="7" s="1"/>
  <c r="G311" i="7"/>
  <c r="M309" i="7"/>
  <c r="K309" i="7"/>
  <c r="G309" i="7"/>
  <c r="M308" i="7"/>
  <c r="M306" i="7" s="1"/>
  <c r="M304" i="7" s="1"/>
  <c r="K308" i="7"/>
  <c r="H308" i="7" s="1"/>
  <c r="G308" i="7"/>
  <c r="M307" i="7"/>
  <c r="K307" i="7"/>
  <c r="H307" i="7" s="1"/>
  <c r="G307" i="7"/>
  <c r="J306" i="7"/>
  <c r="J305" i="7"/>
  <c r="B298" i="7"/>
  <c r="D309" i="7" s="1"/>
  <c r="E307" i="7" s="1"/>
  <c r="H296" i="7"/>
  <c r="M295" i="7"/>
  <c r="H292" i="7"/>
  <c r="M291" i="7"/>
  <c r="K291" i="7"/>
  <c r="L291" i="7" s="1"/>
  <c r="H288" i="7"/>
  <c r="M287" i="7"/>
  <c r="K287" i="7"/>
  <c r="H287" i="7" s="1"/>
  <c r="M286" i="7"/>
  <c r="K286" i="7"/>
  <c r="J286" i="7"/>
  <c r="J285" i="7"/>
  <c r="H278" i="7"/>
  <c r="M277" i="7"/>
  <c r="K277" i="7"/>
  <c r="L277" i="7" s="1"/>
  <c r="G277" i="7"/>
  <c r="H257" i="7"/>
  <c r="M256" i="7"/>
  <c r="K256" i="7"/>
  <c r="L256" i="7" s="1"/>
  <c r="G256" i="7"/>
  <c r="H253" i="7"/>
  <c r="M252" i="7"/>
  <c r="K252" i="7"/>
  <c r="H252" i="7" s="1"/>
  <c r="G252" i="7"/>
  <c r="H249" i="7"/>
  <c r="M248" i="7"/>
  <c r="K248" i="7"/>
  <c r="L248" i="7" s="1"/>
  <c r="G248" i="7"/>
  <c r="H245" i="7"/>
  <c r="M244" i="7"/>
  <c r="K244" i="7"/>
  <c r="L244" i="7" s="1"/>
  <c r="G244" i="7"/>
  <c r="H241" i="7"/>
  <c r="M240" i="7"/>
  <c r="K240" i="7"/>
  <c r="L240" i="7" s="1"/>
  <c r="G240" i="7"/>
  <c r="H237" i="7"/>
  <c r="M236" i="7"/>
  <c r="K236" i="7"/>
  <c r="H236" i="7" s="1"/>
  <c r="G236" i="7"/>
  <c r="H233" i="7"/>
  <c r="M232" i="7"/>
  <c r="K232" i="7"/>
  <c r="L232" i="7" s="1"/>
  <c r="G232" i="7"/>
  <c r="H229" i="7"/>
  <c r="M228" i="7"/>
  <c r="K228" i="7"/>
  <c r="L228" i="7" s="1"/>
  <c r="G228" i="7"/>
  <c r="M227" i="7"/>
  <c r="K227" i="7"/>
  <c r="J227" i="7"/>
  <c r="J226" i="7"/>
  <c r="H223" i="7"/>
  <c r="M222" i="7"/>
  <c r="H219" i="7"/>
  <c r="M218" i="7"/>
  <c r="K218" i="7"/>
  <c r="H218" i="7" s="1"/>
  <c r="M216" i="7"/>
  <c r="K216" i="7"/>
  <c r="L216" i="7" s="1"/>
  <c r="G216" i="7"/>
  <c r="H215" i="7"/>
  <c r="M214" i="7"/>
  <c r="K214" i="7"/>
  <c r="H214" i="7" s="1"/>
  <c r="M213" i="7"/>
  <c r="K213" i="7"/>
  <c r="J213" i="7"/>
  <c r="J212" i="7"/>
  <c r="K208" i="7"/>
  <c r="L208" i="7" s="1"/>
  <c r="H208" i="7"/>
  <c r="G208" i="7"/>
  <c r="K206" i="7"/>
  <c r="L206" i="7" s="1"/>
  <c r="H206" i="7"/>
  <c r="G206" i="7"/>
  <c r="K204" i="7"/>
  <c r="L204" i="7" s="1"/>
  <c r="H204" i="7"/>
  <c r="G204" i="7"/>
  <c r="M202" i="7"/>
  <c r="K202" i="7"/>
  <c r="L202" i="7" s="1"/>
  <c r="G202" i="7"/>
  <c r="K201" i="7"/>
  <c r="H201" i="7" s="1"/>
  <c r="G201" i="7"/>
  <c r="M200" i="7"/>
  <c r="K200" i="7"/>
  <c r="H200" i="7" s="1"/>
  <c r="G200" i="7"/>
  <c r="M198" i="7"/>
  <c r="K198" i="7"/>
  <c r="H198" i="7" s="1"/>
  <c r="G198" i="7"/>
  <c r="M197" i="7"/>
  <c r="M195" i="7" s="1"/>
  <c r="M193" i="7" s="1"/>
  <c r="K197" i="7"/>
  <c r="G197" i="7"/>
  <c r="M196" i="7"/>
  <c r="K196" i="7"/>
  <c r="G196" i="7"/>
  <c r="J195" i="7"/>
  <c r="J194" i="7"/>
  <c r="B189" i="7"/>
  <c r="D206" i="7" s="1"/>
  <c r="E204" i="7" s="1"/>
  <c r="B156" i="7"/>
  <c r="A156" i="7"/>
  <c r="H150" i="7"/>
  <c r="M149" i="7"/>
  <c r="K149" i="7"/>
  <c r="L149" i="7" s="1"/>
  <c r="G149" i="7"/>
  <c r="H146" i="7"/>
  <c r="M145" i="7"/>
  <c r="K145" i="7"/>
  <c r="L145" i="7" s="1"/>
  <c r="G145" i="7"/>
  <c r="H142" i="7"/>
  <c r="M141" i="7"/>
  <c r="K141" i="7"/>
  <c r="H141" i="7" s="1"/>
  <c r="G141" i="7"/>
  <c r="H138" i="7"/>
  <c r="M137" i="7"/>
  <c r="K137" i="7"/>
  <c r="L137" i="7" s="1"/>
  <c r="G137" i="7"/>
  <c r="H134" i="7"/>
  <c r="M133" i="7"/>
  <c r="K133" i="7"/>
  <c r="L133" i="7" s="1"/>
  <c r="G133" i="7"/>
  <c r="H130" i="7"/>
  <c r="M129" i="7"/>
  <c r="K129" i="7"/>
  <c r="L129" i="7" s="1"/>
  <c r="G129" i="7"/>
  <c r="H126" i="7"/>
  <c r="M125" i="7"/>
  <c r="K125" i="7"/>
  <c r="H125" i="7" s="1"/>
  <c r="G125" i="7"/>
  <c r="H122" i="7"/>
  <c r="M121" i="7"/>
  <c r="K121" i="7"/>
  <c r="L121" i="7" s="1"/>
  <c r="G121" i="7"/>
  <c r="M120" i="7"/>
  <c r="K120" i="7"/>
  <c r="J120" i="7"/>
  <c r="J119" i="7"/>
  <c r="H116" i="7"/>
  <c r="M115" i="7"/>
  <c r="H112" i="7"/>
  <c r="M111" i="7"/>
  <c r="K111" i="7"/>
  <c r="L111" i="7" s="1"/>
  <c r="H108" i="7"/>
  <c r="M107" i="7"/>
  <c r="K107" i="7"/>
  <c r="M106" i="7"/>
  <c r="K106" i="7"/>
  <c r="J106" i="7"/>
  <c r="J105" i="7"/>
  <c r="K101" i="7"/>
  <c r="L101" i="7" s="1"/>
  <c r="H101" i="7"/>
  <c r="G101" i="7"/>
  <c r="K97" i="7"/>
  <c r="L97" i="7" s="1"/>
  <c r="H97" i="7"/>
  <c r="G97" i="7"/>
  <c r="K94" i="7"/>
  <c r="H94" i="7" s="1"/>
  <c r="G94" i="7"/>
  <c r="M93" i="7"/>
  <c r="K93" i="7"/>
  <c r="H93" i="7" s="1"/>
  <c r="G93" i="7"/>
  <c r="M90" i="7"/>
  <c r="M88" i="7" s="1"/>
  <c r="K90" i="7"/>
  <c r="H90" i="7" s="1"/>
  <c r="G90" i="7"/>
  <c r="M89" i="7"/>
  <c r="K89" i="7"/>
  <c r="G89" i="7"/>
  <c r="J88" i="7"/>
  <c r="J87" i="7"/>
  <c r="A12" i="7"/>
  <c r="B8" i="7"/>
  <c r="J193" i="7" l="1"/>
  <c r="K390" i="7"/>
  <c r="M389" i="7"/>
  <c r="H459" i="7" s="1"/>
  <c r="G464" i="7" s="1"/>
  <c r="H129" i="7"/>
  <c r="M408" i="7"/>
  <c r="M86" i="7"/>
  <c r="H156" i="7" s="1"/>
  <c r="G179" i="7" s="1"/>
  <c r="K195" i="7"/>
  <c r="K193" i="7" s="1"/>
  <c r="G266" i="7" s="1"/>
  <c r="H240" i="7"/>
  <c r="L359" i="7"/>
  <c r="L414" i="7"/>
  <c r="H202" i="7"/>
  <c r="L89" i="7"/>
  <c r="L236" i="7"/>
  <c r="L428" i="7"/>
  <c r="L125" i="7"/>
  <c r="H216" i="7"/>
  <c r="K306" i="7"/>
  <c r="H367" i="7"/>
  <c r="K391" i="7"/>
  <c r="K389" i="7" s="1"/>
  <c r="G459" i="7" s="1"/>
  <c r="F464" i="7" s="1"/>
  <c r="H444" i="7"/>
  <c r="L309" i="7"/>
  <c r="H121" i="7"/>
  <c r="L196" i="7"/>
  <c r="L198" i="7"/>
  <c r="L252" i="7"/>
  <c r="H277" i="7"/>
  <c r="L329" i="7"/>
  <c r="L410" i="7"/>
  <c r="M194" i="7"/>
  <c r="L307" i="7"/>
  <c r="M323" i="7"/>
  <c r="L396" i="7"/>
  <c r="M422" i="7"/>
  <c r="H440" i="7"/>
  <c r="J85" i="7"/>
  <c r="M119" i="7"/>
  <c r="L214" i="7"/>
  <c r="H248" i="7"/>
  <c r="M305" i="7"/>
  <c r="L343" i="7"/>
  <c r="J86" i="7"/>
  <c r="H197" i="7"/>
  <c r="L311" i="7"/>
  <c r="K422" i="7"/>
  <c r="H89" i="7"/>
  <c r="D202" i="7"/>
  <c r="E200" i="7" s="1"/>
  <c r="D216" i="7"/>
  <c r="E214" i="7" s="1"/>
  <c r="L218" i="7"/>
  <c r="H232" i="7"/>
  <c r="D317" i="7"/>
  <c r="E315" i="7" s="1"/>
  <c r="D327" i="7"/>
  <c r="E325" i="7" s="1"/>
  <c r="J389" i="7"/>
  <c r="H424" i="7"/>
  <c r="J192" i="7"/>
  <c r="M212" i="7"/>
  <c r="J304" i="7"/>
  <c r="D313" i="7"/>
  <c r="E311" i="7" s="1"/>
  <c r="H452" i="7"/>
  <c r="M87" i="7"/>
  <c r="M226" i="7"/>
  <c r="K304" i="7"/>
  <c r="G378" i="7" s="1"/>
  <c r="M337" i="7"/>
  <c r="M105" i="7"/>
  <c r="L200" i="7"/>
  <c r="H137" i="7"/>
  <c r="D198" i="7"/>
  <c r="E196" i="7" s="1"/>
  <c r="M285" i="7"/>
  <c r="H325" i="7"/>
  <c r="L141" i="7"/>
  <c r="H196" i="7"/>
  <c r="H256" i="7"/>
  <c r="J303" i="7"/>
  <c r="L392" i="7"/>
  <c r="H145" i="7"/>
  <c r="H291" i="7"/>
  <c r="H309" i="7"/>
  <c r="H355" i="7"/>
  <c r="J388" i="7"/>
  <c r="M390" i="7"/>
  <c r="H266" i="7"/>
  <c r="G263" i="7"/>
  <c r="H378" i="7"/>
  <c r="J375" i="7"/>
  <c r="L93" i="7"/>
  <c r="H111" i="7"/>
  <c r="H339" i="7"/>
  <c r="L342" i="7"/>
  <c r="H347" i="7"/>
  <c r="L351" i="7"/>
  <c r="H362" i="7"/>
  <c r="K337" i="7"/>
  <c r="K88" i="7"/>
  <c r="K86" i="7" s="1"/>
  <c r="G156" i="7" s="1"/>
  <c r="H107" i="7"/>
  <c r="K119" i="7"/>
  <c r="H133" i="7"/>
  <c r="H149" i="7"/>
  <c r="H228" i="7"/>
  <c r="H244" i="7"/>
  <c r="K305" i="7"/>
  <c r="H313" i="7"/>
  <c r="H327" i="7"/>
  <c r="H436" i="7"/>
  <c r="H363" i="7"/>
  <c r="K226" i="7"/>
  <c r="H432" i="7"/>
  <c r="H448" i="7"/>
  <c r="L107" i="7"/>
  <c r="K194" i="7"/>
  <c r="L287" i="7"/>
  <c r="K87" i="7"/>
  <c r="L148" i="6"/>
  <c r="L144" i="6"/>
  <c r="H138" i="6"/>
  <c r="G148" i="6"/>
  <c r="G144" i="6"/>
  <c r="A195" i="6"/>
  <c r="M143" i="6"/>
  <c r="K143" i="6"/>
  <c r="J143" i="6"/>
  <c r="J142" i="6"/>
  <c r="G138" i="6"/>
  <c r="M133" i="6"/>
  <c r="G134" i="6"/>
  <c r="J133" i="6"/>
  <c r="J132" i="6"/>
  <c r="D83" i="6"/>
  <c r="C83" i="6"/>
  <c r="B83" i="6"/>
  <c r="B12" i="6"/>
  <c r="A12" i="6"/>
  <c r="B8" i="6"/>
  <c r="M131" i="6" l="1"/>
  <c r="J131" i="6"/>
  <c r="I464" i="7"/>
  <c r="F263" i="7"/>
  <c r="I263" i="7" s="1"/>
  <c r="G161" i="7"/>
  <c r="H182" i="7"/>
  <c r="M192" i="7"/>
  <c r="F266" i="7" s="1"/>
  <c r="M303" i="7"/>
  <c r="F378" i="7" s="1"/>
  <c r="M388" i="7"/>
  <c r="F459" i="7" s="1"/>
  <c r="C464" i="7" s="1"/>
  <c r="M85" i="7"/>
  <c r="F156" i="7" s="1"/>
  <c r="H464" i="7"/>
  <c r="I375" i="7"/>
  <c r="K375" i="7" s="1"/>
  <c r="F179" i="7"/>
  <c r="G182" i="7"/>
  <c r="F161" i="7"/>
  <c r="H148" i="6"/>
  <c r="H144" i="6"/>
  <c r="K142" i="6"/>
  <c r="L134" i="6"/>
  <c r="M132" i="6"/>
  <c r="M142" i="6"/>
  <c r="L138" i="6"/>
  <c r="K133" i="6"/>
  <c r="H134" i="6"/>
  <c r="K132" i="6"/>
  <c r="K131" i="6" l="1"/>
  <c r="L375" i="7"/>
  <c r="C263" i="7"/>
  <c r="H263" i="7"/>
  <c r="C375" i="7"/>
  <c r="C179" i="7"/>
  <c r="F182" i="7"/>
  <c r="C161" i="7"/>
  <c r="I179" i="7"/>
  <c r="H179" i="7"/>
  <c r="I161" i="7"/>
  <c r="H161" i="7"/>
  <c r="K332" i="6" l="1"/>
  <c r="C8" i="3" l="1"/>
  <c r="C5" i="3"/>
  <c r="C4" i="3"/>
  <c r="C3" i="3"/>
  <c r="C2" i="3"/>
  <c r="C9" i="3" l="1"/>
  <c r="C10" i="3" s="1"/>
  <c r="C12" i="3" l="1"/>
  <c r="C13" i="3" s="1"/>
  <c r="K295" i="7" l="1"/>
  <c r="K115" i="7"/>
  <c r="K222" i="7"/>
  <c r="K333" i="7"/>
  <c r="K418" i="7"/>
  <c r="L295" i="7" l="1"/>
  <c r="H295" i="7"/>
  <c r="K285" i="7"/>
  <c r="L418" i="7"/>
  <c r="K408" i="7"/>
  <c r="K388" i="7" s="1"/>
  <c r="E459" i="7" s="1"/>
  <c r="H418" i="7"/>
  <c r="L333" i="7"/>
  <c r="H333" i="7"/>
  <c r="K323" i="7"/>
  <c r="K303" i="7" s="1"/>
  <c r="F375" i="7"/>
  <c r="H222" i="7"/>
  <c r="K212" i="7"/>
  <c r="K192" i="7" s="1"/>
  <c r="L222" i="7"/>
  <c r="L115" i="7"/>
  <c r="K105" i="7"/>
  <c r="K85" i="7" s="1"/>
  <c r="E156" i="7" s="1"/>
  <c r="H115" i="7"/>
  <c r="B179" i="7" l="1"/>
  <c r="E182" i="7"/>
  <c r="D182" i="7" s="1"/>
  <c r="B161" i="7"/>
  <c r="D156" i="7"/>
  <c r="D459" i="7"/>
  <c r="B464" i="7"/>
  <c r="E266" i="7"/>
  <c r="D266" i="7" s="1"/>
  <c r="B263" i="7"/>
  <c r="H375" i="7"/>
  <c r="G375" i="7"/>
  <c r="E378" i="7"/>
  <c r="D378" i="7" s="1"/>
  <c r="B375" i="7"/>
  <c r="J161" i="7" l="1"/>
  <c r="D161" i="7"/>
  <c r="E161" i="7"/>
  <c r="E263" i="7"/>
  <c r="J263" i="7"/>
  <c r="D263" i="7"/>
  <c r="J464" i="7"/>
  <c r="D464" i="7"/>
  <c r="E464" i="7"/>
  <c r="M375" i="7"/>
  <c r="D375" i="7"/>
  <c r="E375" i="7"/>
  <c r="J179" i="7"/>
  <c r="E179" i="7"/>
  <c r="D179" i="7"/>
</calcChain>
</file>

<file path=xl/comments1.xml><?xml version="1.0" encoding="utf-8"?>
<comments xmlns="http://schemas.openxmlformats.org/spreadsheetml/2006/main">
  <authors>
    <author>Author</author>
  </authors>
  <commentList>
    <comment ref="AM89" authorId="0" shapeId="0">
      <text>
        <r>
          <rPr>
            <b/>
            <sz val="9"/>
            <color indexed="81"/>
            <rFont val="Tahoma"/>
            <family val="2"/>
          </rPr>
          <t>Author:</t>
        </r>
        <r>
          <rPr>
            <sz val="9"/>
            <color indexed="81"/>
            <rFont val="Tahoma"/>
            <family val="2"/>
          </rPr>
          <t xml:space="preserve">
SKIP Deal ID in Validation Checkpoint
</t>
        </r>
      </text>
    </comment>
    <comment ref="L202" authorId="0" shapeId="0">
      <text>
        <r>
          <rPr>
            <b/>
            <sz val="9"/>
            <color indexed="81"/>
            <rFont val="Tahoma"/>
            <family val="2"/>
          </rPr>
          <t>Author:</t>
        </r>
        <r>
          <rPr>
            <sz val="9"/>
            <color indexed="81"/>
            <rFont val="Tahoma"/>
            <family val="2"/>
          </rPr>
          <t xml:space="preserve">
$72.39</t>
        </r>
      </text>
    </comment>
    <comment ref="M202" authorId="0" shapeId="0">
      <text>
        <r>
          <rPr>
            <b/>
            <sz val="9"/>
            <color indexed="81"/>
            <rFont val="Tahoma"/>
            <family val="2"/>
          </rPr>
          <t>Author:</t>
        </r>
        <r>
          <rPr>
            <sz val="9"/>
            <color indexed="81"/>
            <rFont val="Tahoma"/>
            <family val="2"/>
          </rPr>
          <t xml:space="preserve">
$37.65</t>
        </r>
      </text>
    </comment>
    <comment ref="O202" authorId="0" shapeId="0">
      <text>
        <r>
          <rPr>
            <b/>
            <sz val="9"/>
            <color indexed="81"/>
            <rFont val="Tahoma"/>
            <family val="2"/>
          </rPr>
          <t>Author:</t>
        </r>
        <r>
          <rPr>
            <sz val="9"/>
            <color indexed="81"/>
            <rFont val="Tahoma"/>
            <family val="2"/>
          </rPr>
          <t xml:space="preserve">
47.99</t>
        </r>
      </text>
    </comment>
    <comment ref="M203" authorId="0" shapeId="0">
      <text>
        <r>
          <rPr>
            <b/>
            <sz val="9"/>
            <color indexed="81"/>
            <rFont val="Tahoma"/>
            <family val="2"/>
          </rPr>
          <t>Author:</t>
        </r>
        <r>
          <rPr>
            <sz val="9"/>
            <color indexed="81"/>
            <rFont val="Tahoma"/>
            <family val="2"/>
          </rPr>
          <t xml:space="preserve">
$25.09 </t>
        </r>
      </text>
    </comment>
    <comment ref="O203" authorId="0" shapeId="0">
      <text>
        <r>
          <rPr>
            <b/>
            <sz val="9"/>
            <color indexed="81"/>
            <rFont val="Tahoma"/>
            <family val="2"/>
          </rPr>
          <t>Author:</t>
        </r>
        <r>
          <rPr>
            <sz val="9"/>
            <color indexed="81"/>
            <rFont val="Tahoma"/>
            <family val="2"/>
          </rPr>
          <t xml:space="preserve">
47.99</t>
        </r>
      </text>
    </comment>
    <comment ref="M204" authorId="0" shapeId="0">
      <text>
        <r>
          <rPr>
            <b/>
            <sz val="9"/>
            <color indexed="81"/>
            <rFont val="Tahoma"/>
            <family val="2"/>
          </rPr>
          <t>Author:</t>
        </r>
        <r>
          <rPr>
            <sz val="9"/>
            <color indexed="81"/>
            <rFont val="Tahoma"/>
            <family val="2"/>
          </rPr>
          <t xml:space="preserve">
$598.38</t>
        </r>
      </text>
    </comment>
    <comment ref="N204" authorId="0" shapeId="0">
      <text>
        <r>
          <rPr>
            <b/>
            <sz val="9"/>
            <color indexed="81"/>
            <rFont val="Tahoma"/>
            <family val="2"/>
          </rPr>
          <t>Author:</t>
        </r>
        <r>
          <rPr>
            <sz val="9"/>
            <color indexed="81"/>
            <rFont val="Tahoma"/>
            <family val="2"/>
          </rPr>
          <t xml:space="preserve">
$4,227.22
</t>
        </r>
      </text>
    </comment>
    <comment ref="Q204" authorId="0" shapeId="0">
      <text>
        <r>
          <rPr>
            <b/>
            <sz val="9"/>
            <color indexed="81"/>
            <rFont val="Tahoma"/>
            <family val="2"/>
          </rPr>
          <t>Author:</t>
        </r>
        <r>
          <rPr>
            <sz val="9"/>
            <color indexed="81"/>
            <rFont val="Tahoma"/>
            <family val="2"/>
          </rPr>
          <t xml:space="preserve">
$598.38</t>
        </r>
      </text>
    </comment>
    <comment ref="R204" authorId="0" shapeId="0">
      <text>
        <r>
          <rPr>
            <b/>
            <sz val="9"/>
            <color indexed="81"/>
            <rFont val="Tahoma"/>
            <family val="2"/>
          </rPr>
          <t>Author:</t>
        </r>
        <r>
          <rPr>
            <sz val="9"/>
            <color indexed="81"/>
            <rFont val="Tahoma"/>
            <family val="2"/>
          </rPr>
          <t xml:space="preserve">
$4227.22</t>
        </r>
      </text>
    </comment>
    <comment ref="L314" authorId="0" shapeId="0">
      <text>
        <r>
          <rPr>
            <b/>
            <sz val="9"/>
            <color indexed="81"/>
            <rFont val="Tahoma"/>
            <family val="2"/>
          </rPr>
          <t>Author:</t>
        </r>
        <r>
          <rPr>
            <sz val="9"/>
            <color indexed="81"/>
            <rFont val="Tahoma"/>
            <family val="2"/>
          </rPr>
          <t xml:space="preserve">
$72.39</t>
        </r>
      </text>
    </comment>
    <comment ref="M314" authorId="0" shapeId="0">
      <text>
        <r>
          <rPr>
            <b/>
            <sz val="9"/>
            <color indexed="81"/>
            <rFont val="Tahoma"/>
            <family val="2"/>
          </rPr>
          <t>Author:</t>
        </r>
        <r>
          <rPr>
            <sz val="9"/>
            <color indexed="81"/>
            <rFont val="Tahoma"/>
            <family val="2"/>
          </rPr>
          <t xml:space="preserve">
$37.65</t>
        </r>
      </text>
    </comment>
    <comment ref="O314" authorId="0" shapeId="0">
      <text>
        <r>
          <rPr>
            <b/>
            <sz val="9"/>
            <color indexed="81"/>
            <rFont val="Tahoma"/>
            <family val="2"/>
          </rPr>
          <t>Author:</t>
        </r>
        <r>
          <rPr>
            <sz val="9"/>
            <color indexed="81"/>
            <rFont val="Tahoma"/>
            <family val="2"/>
          </rPr>
          <t xml:space="preserve">
47.99</t>
        </r>
      </text>
    </comment>
    <comment ref="M315" authorId="0" shapeId="0">
      <text>
        <r>
          <rPr>
            <b/>
            <sz val="9"/>
            <color indexed="81"/>
            <rFont val="Tahoma"/>
            <family val="2"/>
          </rPr>
          <t>Author:</t>
        </r>
        <r>
          <rPr>
            <sz val="9"/>
            <color indexed="81"/>
            <rFont val="Tahoma"/>
            <family val="2"/>
          </rPr>
          <t xml:space="preserve">
$25.09 </t>
        </r>
      </text>
    </comment>
    <comment ref="O315" authorId="0" shapeId="0">
      <text>
        <r>
          <rPr>
            <b/>
            <sz val="9"/>
            <color indexed="81"/>
            <rFont val="Tahoma"/>
            <family val="2"/>
          </rPr>
          <t>Author:</t>
        </r>
        <r>
          <rPr>
            <sz val="9"/>
            <color indexed="81"/>
            <rFont val="Tahoma"/>
            <family val="2"/>
          </rPr>
          <t xml:space="preserve">
47.99</t>
        </r>
      </text>
    </comment>
    <comment ref="M316" authorId="0" shapeId="0">
      <text>
        <r>
          <rPr>
            <b/>
            <sz val="9"/>
            <color indexed="81"/>
            <rFont val="Tahoma"/>
            <family val="2"/>
          </rPr>
          <t>Author:</t>
        </r>
        <r>
          <rPr>
            <sz val="9"/>
            <color indexed="81"/>
            <rFont val="Tahoma"/>
            <family val="2"/>
          </rPr>
          <t xml:space="preserve">
$598.38</t>
        </r>
      </text>
    </comment>
    <comment ref="N316" authorId="0" shapeId="0">
      <text>
        <r>
          <rPr>
            <b/>
            <sz val="9"/>
            <color indexed="81"/>
            <rFont val="Tahoma"/>
            <family val="2"/>
          </rPr>
          <t>Author:</t>
        </r>
        <r>
          <rPr>
            <sz val="9"/>
            <color indexed="81"/>
            <rFont val="Tahoma"/>
            <family val="2"/>
          </rPr>
          <t xml:space="preserve">
$4,227.22
</t>
        </r>
      </text>
    </comment>
    <comment ref="Q316" authorId="0" shapeId="0">
      <text>
        <r>
          <rPr>
            <b/>
            <sz val="9"/>
            <color indexed="81"/>
            <rFont val="Tahoma"/>
            <family val="2"/>
          </rPr>
          <t>Author:</t>
        </r>
        <r>
          <rPr>
            <sz val="9"/>
            <color indexed="81"/>
            <rFont val="Tahoma"/>
            <family val="2"/>
          </rPr>
          <t xml:space="preserve">
$598.38</t>
        </r>
      </text>
    </comment>
    <comment ref="R316" authorId="0" shapeId="0">
      <text>
        <r>
          <rPr>
            <b/>
            <sz val="9"/>
            <color indexed="81"/>
            <rFont val="Tahoma"/>
            <family val="2"/>
          </rPr>
          <t>Author:</t>
        </r>
        <r>
          <rPr>
            <sz val="9"/>
            <color indexed="81"/>
            <rFont val="Tahoma"/>
            <family val="2"/>
          </rPr>
          <t xml:space="preserve">
$4227.22</t>
        </r>
      </text>
    </comment>
    <comment ref="M322" authorId="0" shapeId="0">
      <text>
        <r>
          <rPr>
            <b/>
            <sz val="9"/>
            <color indexed="81"/>
            <rFont val="Tahoma"/>
            <family val="2"/>
          </rPr>
          <t>Author:</t>
        </r>
        <r>
          <rPr>
            <sz val="9"/>
            <color indexed="81"/>
            <rFont val="Tahoma"/>
            <family val="2"/>
          </rPr>
          <t xml:space="preserve">
$2,928.17 </t>
        </r>
      </text>
    </comment>
    <comment ref="N322" authorId="0" shapeId="0">
      <text>
        <r>
          <rPr>
            <b/>
            <sz val="9"/>
            <color indexed="81"/>
            <rFont val="Tahoma"/>
            <family val="2"/>
          </rPr>
          <t>Author:</t>
        </r>
        <r>
          <rPr>
            <sz val="9"/>
            <color indexed="81"/>
            <rFont val="Tahoma"/>
            <family val="2"/>
          </rPr>
          <t xml:space="preserve">
$4,095.83
</t>
        </r>
      </text>
    </comment>
    <comment ref="Q322" authorId="0" shapeId="0">
      <text>
        <r>
          <rPr>
            <b/>
            <sz val="9"/>
            <color indexed="81"/>
            <rFont val="Tahoma"/>
            <family val="2"/>
          </rPr>
          <t>Author:</t>
        </r>
        <r>
          <rPr>
            <sz val="9"/>
            <color indexed="81"/>
            <rFont val="Tahoma"/>
            <family val="2"/>
          </rPr>
          <t xml:space="preserve">
$897.57
</t>
        </r>
      </text>
    </comment>
    <comment ref="R322" authorId="0" shapeId="0">
      <text>
        <r>
          <rPr>
            <b/>
            <sz val="9"/>
            <color indexed="81"/>
            <rFont val="Tahoma"/>
            <family val="2"/>
          </rPr>
          <t>Author:</t>
        </r>
        <r>
          <rPr>
            <sz val="9"/>
            <color indexed="81"/>
            <rFont val="Tahoma"/>
            <family val="2"/>
          </rPr>
          <t xml:space="preserve">
$3,966.63</t>
        </r>
      </text>
    </comment>
    <comment ref="H401" authorId="0" shapeId="0">
      <text>
        <r>
          <rPr>
            <b/>
            <sz val="9"/>
            <color indexed="81"/>
            <rFont val="Tahoma"/>
            <family val="2"/>
          </rPr>
          <t>Author:</t>
        </r>
        <r>
          <rPr>
            <sz val="9"/>
            <color indexed="81"/>
            <rFont val="Tahoma"/>
            <family val="2"/>
          </rPr>
          <t xml:space="preserve">
$37.65
</t>
        </r>
      </text>
    </comment>
    <comment ref="H402" authorId="0" shapeId="0">
      <text>
        <r>
          <rPr>
            <b/>
            <sz val="9"/>
            <color indexed="81"/>
            <rFont val="Tahoma"/>
            <family val="2"/>
          </rPr>
          <t>Author:</t>
        </r>
        <r>
          <rPr>
            <sz val="9"/>
            <color indexed="81"/>
            <rFont val="Tahoma"/>
            <family val="2"/>
          </rPr>
          <t xml:space="preserve">
$25.10</t>
        </r>
      </text>
    </comment>
    <comment ref="H403" authorId="0" shapeId="0">
      <text>
        <r>
          <rPr>
            <b/>
            <sz val="9"/>
            <color indexed="81"/>
            <rFont val="Tahoma"/>
            <family val="2"/>
          </rPr>
          <t>Author:</t>
        </r>
        <r>
          <rPr>
            <sz val="9"/>
            <color indexed="81"/>
            <rFont val="Tahoma"/>
            <family val="2"/>
          </rPr>
          <t xml:space="preserve">
$598.38</t>
        </r>
      </text>
    </comment>
    <comment ref="J403" authorId="0" shapeId="0">
      <text>
        <r>
          <rPr>
            <b/>
            <sz val="9"/>
            <color indexed="81"/>
            <rFont val="Tahoma"/>
            <family val="2"/>
          </rPr>
          <t>Author:</t>
        </r>
        <r>
          <rPr>
            <sz val="9"/>
            <color indexed="81"/>
            <rFont val="Tahoma"/>
            <family val="2"/>
          </rPr>
          <t xml:space="preserve">
$598.38
</t>
        </r>
      </text>
    </comment>
    <comment ref="M416" authorId="0" shapeId="0">
      <text>
        <r>
          <rPr>
            <b/>
            <sz val="9"/>
            <color indexed="81"/>
            <rFont val="Tahoma"/>
            <family val="2"/>
          </rPr>
          <t>Author:</t>
        </r>
        <r>
          <rPr>
            <sz val="9"/>
            <color indexed="81"/>
            <rFont val="Tahoma"/>
            <family val="2"/>
          </rPr>
          <t xml:space="preserve">
$37.65</t>
        </r>
      </text>
    </comment>
    <comment ref="N416" authorId="0" shapeId="0">
      <text>
        <r>
          <rPr>
            <b/>
            <sz val="9"/>
            <color indexed="81"/>
            <rFont val="Tahoma"/>
            <family val="2"/>
          </rPr>
          <t>Author:</t>
        </r>
        <r>
          <rPr>
            <sz val="9"/>
            <color indexed="81"/>
            <rFont val="Tahoma"/>
            <family val="2"/>
          </rPr>
          <t xml:space="preserve">
$34.73</t>
        </r>
      </text>
    </comment>
    <comment ref="O416" authorId="0" shapeId="0">
      <text>
        <r>
          <rPr>
            <b/>
            <sz val="9"/>
            <color indexed="81"/>
            <rFont val="Tahoma"/>
            <family val="2"/>
          </rPr>
          <t>Author:</t>
        </r>
        <r>
          <rPr>
            <sz val="9"/>
            <color indexed="81"/>
            <rFont val="Tahoma"/>
            <family val="2"/>
          </rPr>
          <t xml:space="preserve">
47.98</t>
        </r>
      </text>
    </comment>
    <comment ref="Y416" authorId="0" shapeId="0">
      <text>
        <r>
          <rPr>
            <b/>
            <sz val="9"/>
            <color indexed="81"/>
            <rFont val="Tahoma"/>
            <family val="2"/>
          </rPr>
          <t>Author:</t>
        </r>
        <r>
          <rPr>
            <sz val="9"/>
            <color indexed="81"/>
            <rFont val="Tahoma"/>
            <family val="2"/>
          </rPr>
          <t xml:space="preserve">
$33.02</t>
        </r>
      </text>
    </comment>
    <comment ref="Z416" authorId="0" shapeId="0">
      <text>
        <r>
          <rPr>
            <b/>
            <sz val="9"/>
            <color indexed="81"/>
            <rFont val="Tahoma"/>
            <family val="2"/>
          </rPr>
          <t>Author:</t>
        </r>
        <r>
          <rPr>
            <sz val="9"/>
            <color indexed="81"/>
            <rFont val="Tahoma"/>
            <family val="2"/>
          </rPr>
          <t xml:space="preserve">
46.72</t>
        </r>
      </text>
    </comment>
    <comment ref="M417" authorId="0" shapeId="0">
      <text>
        <r>
          <rPr>
            <b/>
            <sz val="9"/>
            <color indexed="81"/>
            <rFont val="Tahoma"/>
            <family val="2"/>
          </rPr>
          <t>Author:</t>
        </r>
        <r>
          <rPr>
            <sz val="9"/>
            <color indexed="81"/>
            <rFont val="Tahoma"/>
            <family val="2"/>
          </rPr>
          <t xml:space="preserve">
$25.10</t>
        </r>
      </text>
    </comment>
    <comment ref="O417" authorId="0" shapeId="0">
      <text>
        <r>
          <rPr>
            <b/>
            <sz val="9"/>
            <color indexed="81"/>
            <rFont val="Tahoma"/>
            <family val="2"/>
          </rPr>
          <t>Author:</t>
        </r>
        <r>
          <rPr>
            <sz val="9"/>
            <color indexed="81"/>
            <rFont val="Tahoma"/>
            <family val="2"/>
          </rPr>
          <t xml:space="preserve">
47.99</t>
        </r>
      </text>
    </comment>
    <comment ref="M418" authorId="0" shapeId="0">
      <text>
        <r>
          <rPr>
            <b/>
            <sz val="9"/>
            <color indexed="81"/>
            <rFont val="Tahoma"/>
            <family val="2"/>
          </rPr>
          <t>Author:</t>
        </r>
        <r>
          <rPr>
            <sz val="9"/>
            <color indexed="81"/>
            <rFont val="Tahoma"/>
            <family val="2"/>
          </rPr>
          <t xml:space="preserve">
$598.38</t>
        </r>
      </text>
    </comment>
    <comment ref="N418" authorId="0" shapeId="0">
      <text>
        <r>
          <rPr>
            <b/>
            <sz val="9"/>
            <color indexed="81"/>
            <rFont val="Tahoma"/>
            <family val="2"/>
          </rPr>
          <t>Author:</t>
        </r>
        <r>
          <rPr>
            <sz val="9"/>
            <color indexed="81"/>
            <rFont val="Tahoma"/>
            <family val="2"/>
          </rPr>
          <t xml:space="preserve">
$4,227.22</t>
        </r>
      </text>
    </comment>
    <comment ref="O418" authorId="0" shapeId="0">
      <text>
        <r>
          <rPr>
            <b/>
            <sz val="9"/>
            <color indexed="81"/>
            <rFont val="Tahoma"/>
            <family val="2"/>
          </rPr>
          <t>Author:</t>
        </r>
        <r>
          <rPr>
            <sz val="9"/>
            <color indexed="81"/>
            <rFont val="Tahoma"/>
            <family val="2"/>
          </rPr>
          <t xml:space="preserve">
87.60 </t>
        </r>
      </text>
    </comment>
    <comment ref="Q418" authorId="0" shapeId="0">
      <text>
        <r>
          <rPr>
            <b/>
            <sz val="9"/>
            <color indexed="81"/>
            <rFont val="Tahoma"/>
            <family val="2"/>
          </rPr>
          <t>Author:</t>
        </r>
        <r>
          <rPr>
            <sz val="9"/>
            <color indexed="81"/>
            <rFont val="Tahoma"/>
            <family val="2"/>
          </rPr>
          <t xml:space="preserve">
$598.38</t>
        </r>
      </text>
    </comment>
    <comment ref="R418" authorId="0" shapeId="0">
      <text>
        <r>
          <rPr>
            <b/>
            <sz val="9"/>
            <color indexed="81"/>
            <rFont val="Tahoma"/>
            <family val="2"/>
          </rPr>
          <t>Author:</t>
        </r>
        <r>
          <rPr>
            <sz val="9"/>
            <color indexed="81"/>
            <rFont val="Tahoma"/>
            <family val="2"/>
          </rPr>
          <t xml:space="preserve">
$4227.22
</t>
        </r>
      </text>
    </comment>
    <comment ref="Y418" authorId="0" shapeId="0">
      <text>
        <r>
          <rPr>
            <b/>
            <sz val="9"/>
            <color indexed="81"/>
            <rFont val="Tahoma"/>
            <family val="2"/>
          </rPr>
          <t>Author:</t>
        </r>
        <r>
          <rPr>
            <sz val="9"/>
            <color indexed="81"/>
            <rFont val="Tahoma"/>
            <family val="2"/>
          </rPr>
          <t xml:space="preserve">
$4,227.22</t>
        </r>
      </text>
    </comment>
    <comment ref="M424" authorId="0" shapeId="0">
      <text>
        <r>
          <rPr>
            <b/>
            <sz val="9"/>
            <color indexed="81"/>
            <rFont val="Tahoma"/>
            <family val="2"/>
          </rPr>
          <t>Author:</t>
        </r>
        <r>
          <rPr>
            <sz val="9"/>
            <color indexed="81"/>
            <rFont val="Tahoma"/>
            <family val="2"/>
          </rPr>
          <t xml:space="preserve">
$2928.21</t>
        </r>
      </text>
    </comment>
    <comment ref="N424" authorId="0" shapeId="0">
      <text>
        <r>
          <rPr>
            <b/>
            <sz val="9"/>
            <color indexed="81"/>
            <rFont val="Tahoma"/>
            <family val="2"/>
          </rPr>
          <t>Author:</t>
        </r>
        <r>
          <rPr>
            <sz val="9"/>
            <color indexed="81"/>
            <rFont val="Tahoma"/>
            <family val="2"/>
          </rPr>
          <t xml:space="preserve">
$4095.83</t>
        </r>
      </text>
    </comment>
    <comment ref="Q424" authorId="0" shapeId="0">
      <text>
        <r>
          <rPr>
            <b/>
            <sz val="9"/>
            <color indexed="81"/>
            <rFont val="Tahoma"/>
            <family val="2"/>
          </rPr>
          <t>Author:</t>
        </r>
        <r>
          <rPr>
            <sz val="9"/>
            <color indexed="81"/>
            <rFont val="Tahoma"/>
            <family val="2"/>
          </rPr>
          <t xml:space="preserve">
$897.57</t>
        </r>
      </text>
    </comment>
    <comment ref="R424" authorId="0" shapeId="0">
      <text>
        <r>
          <rPr>
            <b/>
            <sz val="9"/>
            <color indexed="81"/>
            <rFont val="Tahoma"/>
            <family val="2"/>
          </rPr>
          <t>Author:</t>
        </r>
        <r>
          <rPr>
            <sz val="9"/>
            <color indexed="81"/>
            <rFont val="Tahoma"/>
            <family val="2"/>
          </rPr>
          <t xml:space="preserve">
$3966.63</t>
        </r>
      </text>
    </comment>
    <comment ref="Y424" authorId="0" shapeId="0">
      <text>
        <r>
          <rPr>
            <b/>
            <sz val="9"/>
            <color indexed="81"/>
            <rFont val="Tahoma"/>
            <family val="2"/>
          </rPr>
          <t>Author:</t>
        </r>
        <r>
          <rPr>
            <sz val="9"/>
            <color indexed="81"/>
            <rFont val="Tahoma"/>
            <family val="2"/>
          </rPr>
          <t xml:space="preserve">
$4094.11</t>
        </r>
      </text>
    </comment>
    <comment ref="E504" authorId="0" shapeId="0">
      <text>
        <r>
          <rPr>
            <b/>
            <sz val="9"/>
            <color indexed="81"/>
            <rFont val="Tahoma"/>
            <family val="2"/>
          </rPr>
          <t>Author:</t>
        </r>
        <r>
          <rPr>
            <sz val="9"/>
            <color indexed="81"/>
            <rFont val="Tahoma"/>
            <family val="2"/>
          </rPr>
          <t xml:space="preserve">
Rs391698.40</t>
        </r>
      </text>
    </comment>
    <comment ref="I504" authorId="0" shapeId="0">
      <text>
        <r>
          <rPr>
            <b/>
            <sz val="9"/>
            <color indexed="81"/>
            <rFont val="Tahoma"/>
            <family val="2"/>
          </rPr>
          <t>Author:</t>
        </r>
        <r>
          <rPr>
            <sz val="9"/>
            <color indexed="81"/>
            <rFont val="Tahoma"/>
            <family val="2"/>
          </rPr>
          <t xml:space="preserve">
$5092.08
</t>
        </r>
      </text>
    </comment>
    <comment ref="J504" authorId="0" shapeId="0">
      <text>
        <r>
          <rPr>
            <b/>
            <sz val="9"/>
            <color indexed="81"/>
            <rFont val="Tahoma"/>
            <family val="2"/>
          </rPr>
          <t>Author:</t>
        </r>
        <r>
          <rPr>
            <sz val="9"/>
            <color indexed="81"/>
            <rFont val="Tahoma"/>
            <family val="2"/>
          </rPr>
          <t xml:space="preserve">
$997.97</t>
        </r>
      </text>
    </comment>
    <comment ref="I505" authorId="0" shapeId="0">
      <text>
        <r>
          <rPr>
            <b/>
            <sz val="9"/>
            <color indexed="81"/>
            <rFont val="Tahoma"/>
            <family val="2"/>
          </rPr>
          <t>Author:</t>
        </r>
        <r>
          <rPr>
            <sz val="9"/>
            <color indexed="81"/>
            <rFont val="Tahoma"/>
            <family val="2"/>
          </rPr>
          <t xml:space="preserve">
$5092.08
</t>
        </r>
      </text>
    </comment>
    <comment ref="F511" authorId="0" shapeId="0">
      <text>
        <r>
          <rPr>
            <b/>
            <sz val="9"/>
            <color indexed="81"/>
            <rFont val="Tahoma"/>
            <family val="2"/>
          </rPr>
          <t>Author:</t>
        </r>
        <r>
          <rPr>
            <sz val="9"/>
            <color indexed="81"/>
            <rFont val="Tahoma"/>
            <family val="2"/>
          </rPr>
          <t xml:space="preserve">
Rs2540.49</t>
        </r>
      </text>
    </comment>
    <comment ref="N511" authorId="0" shapeId="0">
      <text>
        <r>
          <rPr>
            <b/>
            <sz val="9"/>
            <color indexed="81"/>
            <rFont val="Tahoma"/>
            <family val="2"/>
          </rPr>
          <t>Author:</t>
        </r>
        <r>
          <rPr>
            <sz val="9"/>
            <color indexed="81"/>
            <rFont val="Tahoma"/>
            <family val="2"/>
          </rPr>
          <t xml:space="preserve">
$33.02
</t>
        </r>
      </text>
    </comment>
    <comment ref="O511" authorId="0" shapeId="0">
      <text>
        <r>
          <rPr>
            <b/>
            <sz val="9"/>
            <color indexed="81"/>
            <rFont val="Tahoma"/>
            <family val="2"/>
          </rPr>
          <t>Author:</t>
        </r>
        <r>
          <rPr>
            <sz val="9"/>
            <color indexed="81"/>
            <rFont val="Tahoma"/>
            <family val="2"/>
          </rPr>
          <t xml:space="preserve">
46.72</t>
        </r>
      </text>
    </comment>
    <comment ref="Y511" authorId="0" shapeId="0">
      <text>
        <r>
          <rPr>
            <b/>
            <sz val="9"/>
            <color indexed="81"/>
            <rFont val="Tahoma"/>
            <family val="2"/>
          </rPr>
          <t>Author:</t>
        </r>
        <r>
          <rPr>
            <sz val="9"/>
            <color indexed="81"/>
            <rFont val="Tahoma"/>
            <family val="2"/>
          </rPr>
          <t xml:space="preserve">
$33.02</t>
        </r>
      </text>
    </comment>
    <comment ref="Z511" authorId="0" shapeId="0">
      <text>
        <r>
          <rPr>
            <b/>
            <sz val="9"/>
            <color indexed="81"/>
            <rFont val="Tahoma"/>
            <family val="2"/>
          </rPr>
          <t>Author:</t>
        </r>
        <r>
          <rPr>
            <sz val="9"/>
            <color indexed="81"/>
            <rFont val="Tahoma"/>
            <family val="2"/>
          </rPr>
          <t xml:space="preserve">
46.72</t>
        </r>
      </text>
    </comment>
    <comment ref="O512" authorId="0" shapeId="0">
      <text>
        <r>
          <rPr>
            <b/>
            <sz val="9"/>
            <color indexed="81"/>
            <rFont val="Tahoma"/>
            <family val="2"/>
          </rPr>
          <t>Author:</t>
        </r>
        <r>
          <rPr>
            <sz val="9"/>
            <color indexed="81"/>
            <rFont val="Tahoma"/>
            <family val="2"/>
          </rPr>
          <t xml:space="preserve">
47.99</t>
        </r>
      </text>
    </comment>
    <comment ref="N513" authorId="0" shapeId="0">
      <text>
        <r>
          <rPr>
            <b/>
            <sz val="9"/>
            <color indexed="81"/>
            <rFont val="Tahoma"/>
            <family val="2"/>
          </rPr>
          <t>Author:</t>
        </r>
        <r>
          <rPr>
            <sz val="9"/>
            <color indexed="81"/>
            <rFont val="Tahoma"/>
            <family val="2"/>
          </rPr>
          <t xml:space="preserve">
$4227.22</t>
        </r>
      </text>
    </comment>
    <comment ref="R513" authorId="0" shapeId="0">
      <text>
        <r>
          <rPr>
            <b/>
            <sz val="9"/>
            <color indexed="81"/>
            <rFont val="Tahoma"/>
            <family val="2"/>
          </rPr>
          <t>Author:</t>
        </r>
        <r>
          <rPr>
            <sz val="9"/>
            <color indexed="81"/>
            <rFont val="Tahoma"/>
            <family val="2"/>
          </rPr>
          <t xml:space="preserve">
Rs4227.22</t>
        </r>
      </text>
    </comment>
    <comment ref="Y513" authorId="0" shapeId="0">
      <text>
        <r>
          <rPr>
            <b/>
            <sz val="9"/>
            <color indexed="81"/>
            <rFont val="Tahoma"/>
            <family val="2"/>
          </rPr>
          <t>Author:</t>
        </r>
        <r>
          <rPr>
            <sz val="9"/>
            <color indexed="81"/>
            <rFont val="Tahoma"/>
            <family val="2"/>
          </rPr>
          <t xml:space="preserve">
$4227.22</t>
        </r>
      </text>
    </comment>
    <comment ref="C519" authorId="0" shapeId="0">
      <text>
        <r>
          <rPr>
            <b/>
            <sz val="9"/>
            <color indexed="81"/>
            <rFont val="Tahoma"/>
            <family val="2"/>
          </rPr>
          <t>Author:</t>
        </r>
        <r>
          <rPr>
            <sz val="9"/>
            <color indexed="81"/>
            <rFont val="Tahoma"/>
            <family val="2"/>
          </rPr>
          <t xml:space="preserve">
Rs540178.40</t>
        </r>
      </text>
    </comment>
    <comment ref="E519" authorId="0" shapeId="0">
      <text>
        <r>
          <rPr>
            <b/>
            <sz val="9"/>
            <color indexed="81"/>
            <rFont val="Tahoma"/>
            <family val="2"/>
          </rPr>
          <t>Author:</t>
        </r>
        <r>
          <rPr>
            <sz val="9"/>
            <color indexed="81"/>
            <rFont val="Tahoma"/>
            <family val="2"/>
          </rPr>
          <t xml:space="preserve">
Rs314934.24</t>
        </r>
      </text>
    </comment>
    <comment ref="F519" authorId="0" shapeId="0">
      <text>
        <r>
          <rPr>
            <b/>
            <sz val="9"/>
            <color indexed="81"/>
            <rFont val="Tahoma"/>
            <family val="2"/>
          </rPr>
          <t>Author:</t>
        </r>
        <r>
          <rPr>
            <sz val="9"/>
            <color indexed="81"/>
            <rFont val="Tahoma"/>
            <family val="2"/>
          </rPr>
          <t xml:space="preserve">
58.30
</t>
        </r>
      </text>
    </comment>
    <comment ref="K519" authorId="0" shapeId="0">
      <text>
        <r>
          <rPr>
            <b/>
            <sz val="9"/>
            <color indexed="81"/>
            <rFont val="Tahoma"/>
            <family val="2"/>
          </rPr>
          <t>Author:</t>
        </r>
        <r>
          <rPr>
            <sz val="9"/>
            <color indexed="81"/>
            <rFont val="Tahoma"/>
            <family val="2"/>
          </rPr>
          <t xml:space="preserve">
44.37</t>
        </r>
      </text>
    </comment>
    <comment ref="Y519" authorId="0" shapeId="0">
      <text>
        <r>
          <rPr>
            <b/>
            <sz val="9"/>
            <color indexed="81"/>
            <rFont val="Tahoma"/>
            <family val="2"/>
          </rPr>
          <t>Author:</t>
        </r>
        <r>
          <rPr>
            <sz val="9"/>
            <color indexed="81"/>
            <rFont val="Tahoma"/>
            <family val="2"/>
          </rPr>
          <t xml:space="preserve">
$4094.11</t>
        </r>
      </text>
    </comment>
    <comment ref="C525" authorId="0" shapeId="0">
      <text>
        <r>
          <rPr>
            <b/>
            <sz val="9"/>
            <color indexed="81"/>
            <rFont val="Tahoma"/>
            <family val="2"/>
          </rPr>
          <t>Author:</t>
        </r>
        <r>
          <rPr>
            <sz val="9"/>
            <color indexed="81"/>
            <rFont val="Tahoma"/>
            <family val="2"/>
          </rPr>
          <t xml:space="preserve">
Rs540178.40</t>
        </r>
      </text>
    </comment>
    <comment ref="E525" authorId="0" shapeId="0">
      <text>
        <r>
          <rPr>
            <b/>
            <sz val="9"/>
            <color indexed="81"/>
            <rFont val="Tahoma"/>
            <family val="2"/>
          </rPr>
          <t>Author:</t>
        </r>
        <r>
          <rPr>
            <sz val="9"/>
            <color indexed="81"/>
            <rFont val="Tahoma"/>
            <family val="2"/>
          </rPr>
          <t xml:space="preserve">
Rs314934.24</t>
        </r>
      </text>
    </comment>
    <comment ref="F525" authorId="0" shapeId="0">
      <text>
        <r>
          <rPr>
            <b/>
            <sz val="9"/>
            <color indexed="81"/>
            <rFont val="Tahoma"/>
            <family val="2"/>
          </rPr>
          <t>Author:</t>
        </r>
        <r>
          <rPr>
            <sz val="9"/>
            <color indexed="81"/>
            <rFont val="Tahoma"/>
            <family val="2"/>
          </rPr>
          <t xml:space="preserve">
58.30
</t>
        </r>
      </text>
    </comment>
    <comment ref="K525" authorId="0" shapeId="0">
      <text>
        <r>
          <rPr>
            <b/>
            <sz val="9"/>
            <color indexed="81"/>
            <rFont val="Tahoma"/>
            <family val="2"/>
          </rPr>
          <t>Author:</t>
        </r>
        <r>
          <rPr>
            <sz val="9"/>
            <color indexed="81"/>
            <rFont val="Tahoma"/>
            <family val="2"/>
          </rPr>
          <t xml:space="preserve">
44.37</t>
        </r>
      </text>
    </comment>
    <comment ref="B529" authorId="0" shapeId="0">
      <text>
        <r>
          <rPr>
            <b/>
            <sz val="9"/>
            <color indexed="81"/>
            <rFont val="Tahoma"/>
            <family val="2"/>
          </rPr>
          <t>Author:</t>
        </r>
        <r>
          <rPr>
            <sz val="9"/>
            <color indexed="81"/>
            <rFont val="Tahoma"/>
            <family val="2"/>
          </rPr>
          <t xml:space="preserve">
Pending For Approval </t>
        </r>
      </text>
    </comment>
    <comment ref="C529" authorId="0" shapeId="0">
      <text>
        <r>
          <rPr>
            <b/>
            <sz val="9"/>
            <color indexed="81"/>
            <rFont val="Tahoma"/>
            <family val="2"/>
          </rPr>
          <t>Author:</t>
        </r>
        <r>
          <rPr>
            <sz val="9"/>
            <color indexed="81"/>
            <rFont val="Tahoma"/>
            <family val="2"/>
          </rPr>
          <t xml:space="preserve">
Finalized</t>
        </r>
      </text>
    </comment>
  </commentList>
</comments>
</file>

<file path=xl/comments2.xml><?xml version="1.0" encoding="utf-8"?>
<comments xmlns="http://schemas.openxmlformats.org/spreadsheetml/2006/main">
  <authors>
    <author>Author</author>
  </authors>
  <commentList>
    <comment ref="K107"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111"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115"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121"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A200" authorId="0" shapeId="0">
      <text>
        <r>
          <rPr>
            <b/>
            <sz val="9"/>
            <color indexed="81"/>
            <rFont val="Tahoma"/>
            <family val="2"/>
          </rPr>
          <t>Author:</t>
        </r>
        <r>
          <rPr>
            <sz val="9"/>
            <color indexed="81"/>
            <rFont val="Tahoma"/>
            <family val="2"/>
          </rPr>
          <t xml:space="preserve">
Parameter not present in post processing algorithm,so not able to execute approval workflow for post processing price item-C1_ANNPOST</t>
        </r>
      </text>
    </comment>
    <comment ref="K214"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18"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22"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228"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287"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91"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95"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25"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329"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333"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39"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42"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46"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62"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410"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414"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418"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424" authorId="0" shapeId="0">
      <text>
        <r>
          <rPr>
            <b/>
            <sz val="9"/>
            <color indexed="81"/>
            <rFont val="Tahoma"/>
            <family val="2"/>
          </rPr>
          <t>Author:</t>
        </r>
        <r>
          <rPr>
            <sz val="9"/>
            <color indexed="81"/>
            <rFont val="Tahoma"/>
            <family val="2"/>
          </rPr>
          <t xml:space="preserve">
in the rate schedule , flat chagges added - 3000 for paraticular condition </t>
        </r>
      </text>
    </comment>
  </commentList>
</comments>
</file>

<file path=xl/sharedStrings.xml><?xml version="1.0" encoding="utf-8"?>
<sst xmlns="http://schemas.openxmlformats.org/spreadsheetml/2006/main" count="5303" uniqueCount="890">
  <si>
    <t>Division</t>
  </si>
  <si>
    <t>Person Name</t>
  </si>
  <si>
    <t>AccountID</t>
  </si>
  <si>
    <t>Customer Class</t>
  </si>
  <si>
    <t>USD</t>
  </si>
  <si>
    <t>DM-CORP</t>
  </si>
  <si>
    <t>IND</t>
  </si>
  <si>
    <t>Contract Type</t>
  </si>
  <si>
    <t>DM_BK</t>
  </si>
  <si>
    <t>Price Item</t>
  </si>
  <si>
    <t>Algorithm</t>
  </si>
  <si>
    <t>Description</t>
  </si>
  <si>
    <t xml:space="preserve">Algorithm code </t>
  </si>
  <si>
    <t>INDIA DIVISION</t>
  </si>
  <si>
    <t>VG_PRASN_IND</t>
  </si>
  <si>
    <t>Deal Management Customer Class</t>
  </si>
  <si>
    <t>RATE SCHEDULE</t>
  </si>
  <si>
    <t>Rate Schedule</t>
  </si>
  <si>
    <t>SQI</t>
  </si>
  <si>
    <t>value</t>
  </si>
  <si>
    <t>condition</t>
  </si>
  <si>
    <t>DM-RT01</t>
  </si>
  <si>
    <t>BK-NBR</t>
  </si>
  <si>
    <t>BK-VAL</t>
  </si>
  <si>
    <t>DM-RT03</t>
  </si>
  <si>
    <t>FIX-CHARGE</t>
  </si>
  <si>
    <t>only for state (MH &amp; AP)</t>
  </si>
  <si>
    <t>MH</t>
  </si>
  <si>
    <t>AP</t>
  </si>
  <si>
    <t>TN</t>
  </si>
  <si>
    <t>UC01</t>
  </si>
  <si>
    <t>CHARACTERSTIC</t>
  </si>
  <si>
    <t>Chara Type</t>
  </si>
  <si>
    <t>Characteristic Value</t>
  </si>
  <si>
    <t>Characteristic Desc</t>
  </si>
  <si>
    <t>Characteristic Entity</t>
  </si>
  <si>
    <t>VG_STATE</t>
  </si>
  <si>
    <t>VIRGIN STATE</t>
  </si>
  <si>
    <t>ANDRA PRADESH</t>
  </si>
  <si>
    <t>Person</t>
  </si>
  <si>
    <t>MAHARASHTRA</t>
  </si>
  <si>
    <t>TAMIL NADU</t>
  </si>
  <si>
    <t>PARAMETER</t>
  </si>
  <si>
    <t>Parameter</t>
  </si>
  <si>
    <t>Parameter Value</t>
  </si>
  <si>
    <t>Parameter Desc</t>
  </si>
  <si>
    <t xml:space="preserve">DESC </t>
  </si>
  <si>
    <t>Source Entity</t>
  </si>
  <si>
    <t>Transaction</t>
  </si>
  <si>
    <t>DM_CURRENCY</t>
  </si>
  <si>
    <t>INR</t>
  </si>
  <si>
    <t>DM_TYPE</t>
  </si>
  <si>
    <t>BT</t>
  </si>
  <si>
    <t>PriceList -1</t>
  </si>
  <si>
    <t>Effective Start Date</t>
  </si>
  <si>
    <t>Effective End Date</t>
  </si>
  <si>
    <t>Rate</t>
  </si>
  <si>
    <t>Customer</t>
  </si>
  <si>
    <t>Price item</t>
  </si>
  <si>
    <t>Contract</t>
  </si>
  <si>
    <t>Billable Charges Start Date</t>
  </si>
  <si>
    <t>Billable Charges End Date</t>
  </si>
  <si>
    <t xml:space="preserve"> Service Qty. Identifier</t>
  </si>
  <si>
    <t>Service Quantity</t>
  </si>
  <si>
    <t>Billable Charge ID</t>
  </si>
  <si>
    <t>sFromCurrency</t>
  </si>
  <si>
    <t>sToCurrency</t>
  </si>
  <si>
    <t>sDivision</t>
  </si>
  <si>
    <t>sConvType</t>
  </si>
  <si>
    <t>sStartDate</t>
  </si>
  <si>
    <t>sEndDate</t>
  </si>
  <si>
    <t>sExchgRate</t>
  </si>
  <si>
    <t>sSpread</t>
  </si>
  <si>
    <t>Exchange Rate ID</t>
  </si>
  <si>
    <t>No</t>
  </si>
  <si>
    <t xml:space="preserve">Create Billable Charge1 on All Accounts using first Product's Data  -  May </t>
  </si>
  <si>
    <t>contract type</t>
  </si>
  <si>
    <t>division</t>
  </si>
  <si>
    <t>CM_PPBSEG</t>
  </si>
  <si>
    <t>Generate bill seg from post-proc price assignments</t>
  </si>
  <si>
    <t>CM_RATE_STEP</t>
  </si>
  <si>
    <t>Rate Algorithm</t>
  </si>
  <si>
    <t>Algorithm Code</t>
  </si>
  <si>
    <t>Stacking Required</t>
  </si>
  <si>
    <t>CM_RATEVALUE</t>
  </si>
  <si>
    <t>DM-ANO1</t>
  </si>
  <si>
    <t>ABC_Cust1Auto,IND</t>
  </si>
  <si>
    <t>Yes</t>
  </si>
  <si>
    <t>SPM</t>
  </si>
  <si>
    <t>PRDM</t>
  </si>
  <si>
    <t>USER</t>
  </si>
  <si>
    <t xml:space="preserve">REPORTING SET UP </t>
  </si>
  <si>
    <t>FEATURE CONFIG</t>
  </si>
  <si>
    <t>C1-DEAL</t>
  </si>
  <si>
    <t>PI_021</t>
  </si>
  <si>
    <t>PI_022</t>
  </si>
  <si>
    <t>PI_023</t>
  </si>
  <si>
    <t>PI_024</t>
  </si>
  <si>
    <t>PI_025</t>
  </si>
  <si>
    <t>PI_026</t>
  </si>
  <si>
    <t>PI_027</t>
  </si>
  <si>
    <t>PI_028</t>
  </si>
  <si>
    <t>PI_029</t>
  </si>
  <si>
    <t>PI_030</t>
  </si>
  <si>
    <t>PI_031</t>
  </si>
  <si>
    <t>Acct Identifier</t>
  </si>
  <si>
    <t>RMBK1</t>
  </si>
  <si>
    <t>PMBK1</t>
  </si>
  <si>
    <t>SPMBK1</t>
  </si>
  <si>
    <t>PRDMBK1</t>
  </si>
  <si>
    <t>9.95</t>
  </si>
  <si>
    <t>Search Entity</t>
  </si>
  <si>
    <t>Search By</t>
  </si>
  <si>
    <t>Person ID</t>
  </si>
  <si>
    <t xml:space="preserve">Person Name </t>
  </si>
  <si>
    <t>SCRIPT DATA</t>
  </si>
  <si>
    <t>Customer Details</t>
  </si>
  <si>
    <t xml:space="preserve">Deal Creation </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</si>
  <si>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</si>
  <si>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</si>
  <si>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</si>
  <si>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</si>
  <si>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</si>
  <si>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</si>
  <si>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</si>
  <si>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</si>
  <si>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</si>
  <si>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</si>
  <si>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</si>
  <si>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</si>
  <si>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</si>
  <si>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</si>
  <si>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T&amp;C1</t>
  </si>
  <si>
    <t>T&amp;C3</t>
  </si>
  <si>
    <t>Yearly</t>
  </si>
  <si>
    <t>Deal ID</t>
  </si>
  <si>
    <t xml:space="preserve">Deal Information </t>
  </si>
  <si>
    <t>1573809619,ABC_Cust1Auto,IND,07-03-2021,USD,DEAL_AUTO_01,DEAL_AUTO_12101 ,(1),Contracted Deal-No</t>
  </si>
  <si>
    <t xml:space="preserve"> Deal type code for Post Processing Approval</t>
  </si>
  <si>
    <t>Deal</t>
  </si>
  <si>
    <t>Creation Date</t>
  </si>
  <si>
    <t>Review Date</t>
  </si>
  <si>
    <t>Accptance Date</t>
  </si>
  <si>
    <t>Finanlized Date</t>
  </si>
  <si>
    <t>Deal Status</t>
  </si>
  <si>
    <t>Deal Version Status</t>
  </si>
  <si>
    <t>Pending Simulation</t>
  </si>
  <si>
    <t>Price List Assignment</t>
  </si>
  <si>
    <t>Price List ID</t>
  </si>
  <si>
    <t>Priority</t>
  </si>
  <si>
    <t>Price List Inheritance</t>
  </si>
  <si>
    <t>Search</t>
  </si>
  <si>
    <t>Filter</t>
  </si>
  <si>
    <t>Customer Agreed</t>
  </si>
  <si>
    <t>Assignment Level</t>
  </si>
  <si>
    <t>Customer Pricelist</t>
  </si>
  <si>
    <t>Select All</t>
  </si>
  <si>
    <t>yes</t>
  </si>
  <si>
    <t>Expected Result</t>
  </si>
  <si>
    <t xml:space="preserve">Pricing And Commitment Screen </t>
  </si>
  <si>
    <t>Price Item Hierarhcy</t>
  </si>
  <si>
    <t>Pricing Information</t>
  </si>
  <si>
    <t>Avg Price</t>
  </si>
  <si>
    <t>Volume</t>
  </si>
  <si>
    <t>Revenue</t>
  </si>
  <si>
    <t>Varation</t>
  </si>
  <si>
    <t>Cost</t>
  </si>
  <si>
    <t>T&amp;C</t>
  </si>
  <si>
    <t>Section</t>
  </si>
  <si>
    <t>DE_AUT01,Corporate Banking</t>
  </si>
  <si>
    <t>DE_AUT02,Account Services</t>
  </si>
  <si>
    <t>DE_AUTO3,Payment Services</t>
  </si>
  <si>
    <t>DE_AUTO4,Reporting/SWIFT</t>
  </si>
  <si>
    <t>Original</t>
  </si>
  <si>
    <t>Seasonal</t>
  </si>
  <si>
    <t>Recommended</t>
  </si>
  <si>
    <t>Starte Date</t>
  </si>
  <si>
    <t>End Date</t>
  </si>
  <si>
    <t>Projected</t>
  </si>
  <si>
    <t>INR,BT</t>
  </si>
  <si>
    <t>Level</t>
  </si>
  <si>
    <t>Status</t>
  </si>
  <si>
    <t>Approver</t>
  </si>
  <si>
    <t>PriceList</t>
  </si>
  <si>
    <t>PI_033</t>
  </si>
  <si>
    <t>Tier,USD,STEP</t>
  </si>
  <si>
    <t>Tier,USD,THRS</t>
  </si>
  <si>
    <t>20.00,USD,FLAT</t>
  </si>
  <si>
    <t>12.95,12.15,11.95</t>
  </si>
  <si>
    <t>20(FLAT),10/8/6(STEP),5/4/3(THRS)</t>
  </si>
  <si>
    <t>Customer Price List</t>
  </si>
  <si>
    <t>amt5</t>
  </si>
  <si>
    <t>Revenue Varation</t>
  </si>
  <si>
    <t>Original Revenue</t>
  </si>
  <si>
    <t>Original Cost</t>
  </si>
  <si>
    <t>PENDING FOR APPROVAL</t>
  </si>
  <si>
    <t xml:space="preserve">DEAL FINANCIAL SUMMARY </t>
  </si>
  <si>
    <t>PERSON HIERARHCY SECTION</t>
  </si>
  <si>
    <t>Approval Status</t>
  </si>
  <si>
    <t>Profit</t>
  </si>
  <si>
    <t>Profit Varation</t>
  </si>
  <si>
    <t xml:space="preserve">PROJECTED </t>
  </si>
  <si>
    <t>ORIGINAL</t>
  </si>
  <si>
    <t>Projected Revenue</t>
  </si>
  <si>
    <t>Projected Cost</t>
  </si>
  <si>
    <t>Profitability(%)</t>
  </si>
  <si>
    <t>Adhoc Revenue</t>
  </si>
  <si>
    <t>Adhoc Revenue and Cost</t>
  </si>
  <si>
    <t>Sequence</t>
  </si>
  <si>
    <t>Currency</t>
  </si>
  <si>
    <t>Amount</t>
  </si>
  <si>
    <t>Revenue/cost Type</t>
  </si>
  <si>
    <t>Amount Type</t>
  </si>
  <si>
    <t>Courier Cost</t>
  </si>
  <si>
    <t>Travel Cost</t>
  </si>
  <si>
    <t>Deal Commission</t>
  </si>
  <si>
    <t>Simulated</t>
  </si>
  <si>
    <t xml:space="preserve">Simulation - 1 </t>
  </si>
  <si>
    <t>Simulation - 2 ( after Adding Adhoc Revenue)</t>
  </si>
  <si>
    <t>Seasonal Date</t>
  </si>
  <si>
    <r>
      <rPr>
        <b/>
        <sz val="11"/>
        <color theme="1"/>
        <rFont val="Calibri"/>
        <family val="2"/>
        <scheme val="minor"/>
      </rPr>
      <t>13.05</t>
    </r>
    <r>
      <rPr>
        <sz val="11"/>
        <color theme="1"/>
        <rFont val="Calibri"/>
        <family val="2"/>
        <scheme val="minor"/>
      </rPr>
      <t>,</t>
    </r>
    <r>
      <rPr>
        <b/>
        <sz val="11"/>
        <color theme="1"/>
        <rFont val="Calibri"/>
        <family val="2"/>
        <scheme val="minor"/>
      </rPr>
      <t>11.15</t>
    </r>
    <r>
      <rPr>
        <sz val="11"/>
        <color theme="1"/>
        <rFont val="Calibri"/>
        <family val="2"/>
        <scheme val="minor"/>
      </rPr>
      <t>,11.95</t>
    </r>
  </si>
  <si>
    <t>PRE-REQUISITE DATA</t>
  </si>
  <si>
    <t>CrawlingAlgorithm_Sce1</t>
  </si>
  <si>
    <t>Create Person</t>
  </si>
  <si>
    <t>PersonID</t>
  </si>
  <si>
    <t>Customer Segment</t>
  </si>
  <si>
    <t>Customer Tier</t>
  </si>
  <si>
    <t>Child Person1</t>
  </si>
  <si>
    <t>Child Person2</t>
  </si>
  <si>
    <t>Create Account</t>
  </si>
  <si>
    <t>Account_Division</t>
  </si>
  <si>
    <t>Account Set Up Date</t>
  </si>
  <si>
    <t>Invoice Currency</t>
  </si>
  <si>
    <t>Bill Cycle</t>
  </si>
  <si>
    <t xml:space="preserve">Account Identifier (External Account Identifier) </t>
  </si>
  <si>
    <t>Account Charactersitics</t>
  </si>
  <si>
    <t>01-01-2019</t>
  </si>
  <si>
    <t>Banking - End of month billing</t>
  </si>
  <si>
    <t xml:space="preserve">1) Effective Date : 01-01-2019,Characteristic Type: Account Number,Characteristic Value: Person ID
2) Effective Date : 01-01-2019,Characteristic Type: Account Type,Characteristic Value: SAVINGS
</t>
  </si>
  <si>
    <t>Create Contract</t>
  </si>
  <si>
    <t>ContractID</t>
  </si>
  <si>
    <t>Contract Start Date</t>
  </si>
  <si>
    <t>Contract End Date</t>
  </si>
  <si>
    <t>Contract Status</t>
  </si>
  <si>
    <t>Active</t>
  </si>
  <si>
    <t>Create Price Item</t>
  </si>
  <si>
    <t>Grouping</t>
  </si>
  <si>
    <t>Price Item Group</t>
  </si>
  <si>
    <t>Price Item Description</t>
  </si>
  <si>
    <t>Cost Type_1</t>
  </si>
  <si>
    <t>Cost_1</t>
  </si>
  <si>
    <t>Cost Type_2</t>
  </si>
  <si>
    <t>Cost_2</t>
  </si>
  <si>
    <t>To Do Role</t>
  </si>
  <si>
    <t>Floor</t>
  </si>
  <si>
    <t>Ceil</t>
  </si>
  <si>
    <t>PRICE ITEM MANAGER TO DO TYPE</t>
  </si>
  <si>
    <t>PRICE ITEM MANAGER TO DO ROLE</t>
  </si>
  <si>
    <t>AVERAGE PRICE FLOOR AND CEIL LIMITS</t>
  </si>
  <si>
    <t xml:space="preserve">CURRENCY </t>
  </si>
  <si>
    <t>Corporate Banking</t>
  </si>
  <si>
    <t>Account Services</t>
  </si>
  <si>
    <t>Fixed Internal</t>
  </si>
  <si>
    <t>Variable Internal</t>
  </si>
  <si>
    <t>PRDM1</t>
  </si>
  <si>
    <t>AVR</t>
  </si>
  <si>
    <t>Payment Services</t>
  </si>
  <si>
    <t>Create Pricelist</t>
  </si>
  <si>
    <t>Pricelist ID</t>
  </si>
  <si>
    <t>Price List Description</t>
  </si>
  <si>
    <t xml:space="preserve">Price List Start Date </t>
  </si>
  <si>
    <t>01-01-2015</t>
  </si>
  <si>
    <t>Mange Price item Assignments To Pricelist</t>
  </si>
  <si>
    <t>Search with Price Item</t>
  </si>
  <si>
    <t>Pricing Currency</t>
  </si>
  <si>
    <t>Apply To</t>
  </si>
  <si>
    <t>Tiering Criteria</t>
  </si>
  <si>
    <t>Tiering Range:
From</t>
  </si>
  <si>
    <t>Tiering Range:
To</t>
  </si>
  <si>
    <t>Type</t>
  </si>
  <si>
    <t>FLAT</t>
  </si>
  <si>
    <t>Regular</t>
  </si>
  <si>
    <t>POST</t>
  </si>
  <si>
    <t>DM-NBRST</t>
  </si>
  <si>
    <t>DM-NBRTH</t>
  </si>
  <si>
    <t>Price List Assignment Details</t>
  </si>
  <si>
    <t>PersonName</t>
  </si>
  <si>
    <t>Account / Customer</t>
  </si>
  <si>
    <t>Agreed Pricing</t>
  </si>
  <si>
    <t xml:space="preserve">Rate schedule </t>
  </si>
  <si>
    <t>0.25</t>
  </si>
  <si>
    <t>112.04</t>
  </si>
  <si>
    <t>0.15</t>
  </si>
  <si>
    <t>0.75</t>
  </si>
  <si>
    <t>6.67</t>
  </si>
  <si>
    <t>Parameter-1</t>
  </si>
  <si>
    <t>Parameter-2</t>
  </si>
  <si>
    <t>13.5</t>
  </si>
  <si>
    <t>Recommended Section</t>
  </si>
  <si>
    <t>Deal Approval Profile Code For Deal Level Approvers(RM,PM,SPM)</t>
  </si>
  <si>
    <t>Create Approval Profile</t>
  </si>
  <si>
    <t>Detailed Description</t>
  </si>
  <si>
    <t>DEALAPP</t>
  </si>
  <si>
    <t>Deal Approval Profile code for deal level approval</t>
  </si>
  <si>
    <t>Approval Hierarchy</t>
  </si>
  <si>
    <t>To Do Type</t>
  </si>
  <si>
    <t>Propose Price</t>
  </si>
  <si>
    <t>Submit price item for approval</t>
  </si>
  <si>
    <t>Approve Deal</t>
  </si>
  <si>
    <t xml:space="preserve">View Only Eligible price items </t>
  </si>
  <si>
    <t>Min Profitability %</t>
  </si>
  <si>
    <t>Max Profitability %</t>
  </si>
  <si>
    <t>RM1</t>
  </si>
  <si>
    <t>PM1</t>
  </si>
  <si>
    <t>SPM1</t>
  </si>
  <si>
    <t>Deal type for Deal Level Approval</t>
  </si>
  <si>
    <t>Create Deal Type</t>
  </si>
  <si>
    <t>Deal Commitment Frequency</t>
  </si>
  <si>
    <t>Price Item Approval Required</t>
  </si>
  <si>
    <t>Assign only if in range</t>
  </si>
  <si>
    <t>Division Level Approval Required</t>
  </si>
  <si>
    <t>Highest Level Approval Required</t>
  </si>
  <si>
    <t>Pre-Approve Existing Pricing</t>
  </si>
  <si>
    <t>DLAPR</t>
  </si>
  <si>
    <t xml:space="preserve">Deal type code for Approve Deal </t>
  </si>
  <si>
    <t>Monthly</t>
  </si>
  <si>
    <t>Deal Approval Profile Code</t>
  </si>
  <si>
    <t>01-01-2018</t>
  </si>
  <si>
    <t>IND
DIVISION</t>
  </si>
  <si>
    <t>Algorithms</t>
  </si>
  <si>
    <t>System Event</t>
  </si>
  <si>
    <t>Characteristics</t>
  </si>
  <si>
    <t>Effective Date</t>
  </si>
  <si>
    <t>Characteristic Type</t>
  </si>
  <si>
    <t>Users For Deal  Level</t>
  </si>
  <si>
    <t>Password</t>
  </si>
  <si>
    <t>Access Group</t>
  </si>
  <si>
    <t>rmbk1000</t>
  </si>
  <si>
    <t>Relationship Manager 1</t>
  </si>
  <si>
    <t>System Default</t>
  </si>
  <si>
    <t>pmbk1000</t>
  </si>
  <si>
    <t>Pricing Manager 1</t>
  </si>
  <si>
    <t>spmbk1000</t>
  </si>
  <si>
    <t>Senior Pricing Manager 1</t>
  </si>
  <si>
    <t>Product Manager 1</t>
  </si>
  <si>
    <t>User</t>
  </si>
  <si>
    <t>Main</t>
  </si>
  <si>
    <t>User ID</t>
  </si>
  <si>
    <t>Login ID</t>
  </si>
  <si>
    <t>Last Name</t>
  </si>
  <si>
    <t>First Name</t>
  </si>
  <si>
    <t>Language</t>
  </si>
  <si>
    <t>Display Profile ID</t>
  </si>
  <si>
    <t>Time Zone</t>
  </si>
  <si>
    <t>Email Address</t>
  </si>
  <si>
    <t>Dashboard Width</t>
  </si>
  <si>
    <t>Home Page</t>
  </si>
  <si>
    <t>Lower Age Limit for Yellow Bar</t>
  </si>
  <si>
    <t>Upper Age Limit for Yellow Bar</t>
  </si>
  <si>
    <t>Manager1</t>
  </si>
  <si>
    <t>Relationship</t>
  </si>
  <si>
    <t>English</t>
  </si>
  <si>
    <t>NORTHAM</t>
  </si>
  <si>
    <t>abc@oracle.com</t>
  </si>
  <si>
    <t>c1bk360TabMenu</t>
  </si>
  <si>
    <t>User Group</t>
  </si>
  <si>
    <t>Expiration Date</t>
  </si>
  <si>
    <t>ALL_SERVICES</t>
  </si>
  <si>
    <t>01-01-2100</t>
  </si>
  <si>
    <t>C1_BSERVICES</t>
  </si>
  <si>
    <t>To Do Roles</t>
  </si>
  <si>
    <t>Access Security</t>
  </si>
  <si>
    <t>Default Acess Group</t>
  </si>
  <si>
    <t>Data Access Role</t>
  </si>
  <si>
    <t>***</t>
  </si>
  <si>
    <t>To Do Type-Deal and Price Item Level</t>
  </si>
  <si>
    <t>To Do Type Usage</t>
  </si>
  <si>
    <t>Navigation Option</t>
  </si>
  <si>
    <t>Creation Process</t>
  </si>
  <si>
    <t>Routing Process</t>
  </si>
  <si>
    <t>Message Category</t>
  </si>
  <si>
    <t>Message Number</t>
  </si>
  <si>
    <t>Priority 10 -- Highest</t>
  </si>
  <si>
    <t>Automatic</t>
  </si>
  <si>
    <t>C1_PHRCY</t>
  </si>
  <si>
    <t xml:space="preserve">  Sequence</t>
  </si>
  <si>
    <t>Deal To Do Type</t>
  </si>
  <si>
    <t>Y</t>
  </si>
  <si>
    <t>Roles</t>
  </si>
  <si>
    <t xml:space="preserve">  To Do Type</t>
  </si>
  <si>
    <t xml:space="preserve">   To Do Role</t>
  </si>
  <si>
    <t xml:space="preserve">  Use as Default</t>
  </si>
  <si>
    <t>check</t>
  </si>
  <si>
    <t>Sort Keys</t>
  </si>
  <si>
    <t xml:space="preserve"> Use as Default</t>
  </si>
  <si>
    <t xml:space="preserve"> Sort Order</t>
  </si>
  <si>
    <t>Approval Transaction Date time</t>
  </si>
  <si>
    <t>Ascending</t>
  </si>
  <si>
    <t>Drill Keys</t>
  </si>
  <si>
    <t>Prospect Hierarchy</t>
  </si>
  <si>
    <t>Table</t>
  </si>
  <si>
    <t>Field</t>
  </si>
  <si>
    <t>C1_DEAL_APPROVAL</t>
  </si>
  <si>
    <t>MODEL_ID</t>
  </si>
  <si>
    <t>C1_DEAL</t>
  </si>
  <si>
    <t>DEAL_ID</t>
  </si>
  <si>
    <t>DealApprovalProfile</t>
  </si>
  <si>
    <t>Approval Profile Currency</t>
  </si>
  <si>
    <t>Minimum  Profit</t>
  </si>
  <si>
    <t>Maximum profit</t>
  </si>
  <si>
    <t>Minimum Profit Variation%</t>
  </si>
  <si>
    <t>Max Profit Variation</t>
  </si>
  <si>
    <t xml:space="preserve">Minimum Revenue </t>
  </si>
  <si>
    <t>Maximum Revenue</t>
  </si>
  <si>
    <t>Maximum Profit Variation%</t>
  </si>
  <si>
    <t>Minimum Profit Variation</t>
  </si>
  <si>
    <t>Product Level Approval Required</t>
  </si>
  <si>
    <t>To Do Reminder days</t>
  </si>
  <si>
    <t>To do High Priority days</t>
  </si>
  <si>
    <t>To Do type</t>
  </si>
  <si>
    <t>Questionnaire Templated</t>
  </si>
  <si>
    <t>C1-DLREM</t>
  </si>
  <si>
    <t xml:space="preserve">Deal Approval Profiles </t>
  </si>
  <si>
    <t>Approval Type</t>
  </si>
  <si>
    <t>Product</t>
  </si>
  <si>
    <t>prdmbk100</t>
  </si>
  <si>
    <t>Pricing</t>
  </si>
  <si>
    <t>Senior Pricing</t>
  </si>
  <si>
    <t>Post Processing Price Item Post Simulation</t>
  </si>
  <si>
    <t>10</t>
  </si>
  <si>
    <t>C1_ANNPOST</t>
  </si>
  <si>
    <t>Default Commitment Value</t>
  </si>
  <si>
    <t>1</t>
  </si>
  <si>
    <t xml:space="preserve"> DLPRTEXLR</t>
  </si>
  <si>
    <t>Account Limit for Online hierarchy Creation</t>
  </si>
  <si>
    <t>Character to Indicate T&amp;C in deal extract</t>
  </si>
  <si>
    <t>Deal Price item status char type</t>
  </si>
  <si>
    <t>Not found</t>
  </si>
  <si>
    <t>*</t>
  </si>
  <si>
    <t>Deal Profitability Export Report</t>
  </si>
  <si>
    <t>DLPRTEXLR</t>
  </si>
  <si>
    <t>Standard Price list Search</t>
  </si>
  <si>
    <t>4</t>
  </si>
  <si>
    <t>C1_GET_STDPL</t>
  </si>
  <si>
    <t>Preference to Assigned Pricelist for Ceil floor limit check</t>
  </si>
  <si>
    <t>Refer Volume Aggregation</t>
  </si>
  <si>
    <t>N</t>
  </si>
  <si>
    <t>C1-DLRM</t>
  </si>
  <si>
    <t>DIVISION</t>
  </si>
  <si>
    <t>DIVISION Description</t>
  </si>
  <si>
    <t>Deal Approval - To Do Type</t>
  </si>
  <si>
    <t>Used to create To Do for Hierarchy Creation, Simulation, Approval Workflow.</t>
  </si>
  <si>
    <t>C1-GENBSICPA</t>
  </si>
  <si>
    <t>Generate bill segment from post-proc price assignm</t>
  </si>
  <si>
    <t>20</t>
  </si>
  <si>
    <t>110</t>
  </si>
  <si>
    <t>115</t>
  </si>
  <si>
    <t>275</t>
  </si>
  <si>
    <t>280</t>
  </si>
  <si>
    <t>12</t>
  </si>
  <si>
    <t>15</t>
  </si>
  <si>
    <t>30</t>
  </si>
  <si>
    <t>40</t>
  </si>
  <si>
    <t>3010</t>
  </si>
  <si>
    <t>0</t>
  </si>
  <si>
    <t>5</t>
  </si>
  <si>
    <t>2</t>
  </si>
  <si>
    <t>5417730766</t>
  </si>
  <si>
    <t>Deal Profitability Export to excel</t>
  </si>
  <si>
    <t>Usage Period</t>
  </si>
  <si>
    <t>Acceptance Date</t>
  </si>
  <si>
    <t>Finalized Date</t>
  </si>
  <si>
    <t xml:space="preserve">Simulation - 3 ( To update rate - PI_022,PI_033,PI_027,PI_028,PI_031) and update commitment  - PI_022,PI_027,PI_028) and add sesasonal pricing  for price item - PI,021,PI_022,PI_033, PI_024     </t>
  </si>
  <si>
    <t>Approved</t>
  </si>
  <si>
    <t>Relationship Manager1</t>
  </si>
  <si>
    <t>Pre-Approved</t>
  </si>
  <si>
    <t>Error</t>
  </si>
  <si>
    <t>DEAL_T&amp;C3,DEAL_T&amp;C4</t>
  </si>
  <si>
    <t>DEAL_T&amp;C5,DEAL_T&amp;C6</t>
  </si>
  <si>
    <t>DEAL_T&amp;C7,DEAL_T&amp;C8</t>
  </si>
  <si>
    <t>Bug No.</t>
  </si>
  <si>
    <t xml:space="preserve"> Finalized</t>
  </si>
  <si>
    <t>Pending For Approval</t>
  </si>
  <si>
    <t>send price item to price item manger :- PI_030</t>
  </si>
  <si>
    <t>Price Item Manager 1</t>
  </si>
  <si>
    <t>Pending for Approval</t>
  </si>
  <si>
    <t xml:space="preserve">Deal To Dos </t>
  </si>
  <si>
    <t xml:space="preserve"> "Price Item Assigned to Price Item Manager Successfully"</t>
  </si>
  <si>
    <t>Deal Return to RMBK!</t>
  </si>
  <si>
    <t xml:space="preserve"> "Price Item are Returned from Price Item Manager 1 Sucessfully</t>
  </si>
  <si>
    <t>Simulation - 4 - PMBK1</t>
  </si>
  <si>
    <t>Pricing Manager1</t>
  </si>
  <si>
    <t xml:space="preserve">Deal To Do </t>
  </si>
  <si>
    <t>Deal Information</t>
  </si>
  <si>
    <t xml:space="preserve">Deal Assigned to you for Approval </t>
  </si>
  <si>
    <t>8</t>
  </si>
  <si>
    <t>1500</t>
  </si>
  <si>
    <t>Simulation - 5( Recommended Pricing )  - PI_029,PI_027 by SPMBK1</t>
  </si>
  <si>
    <t>Simulation - 6</t>
  </si>
  <si>
    <t>CurrConv_Cust1Auto,IND</t>
  </si>
  <si>
    <t>CC_021</t>
  </si>
  <si>
    <t>CC_022</t>
  </si>
  <si>
    <t>CC_024</t>
  </si>
  <si>
    <t>CC_025</t>
  </si>
  <si>
    <t>CC1-Account Opening Fee</t>
  </si>
  <si>
    <t>CC2-Monthly Acct Serv Fee</t>
  </si>
  <si>
    <t>CC3-SEPA Transfers</t>
  </si>
  <si>
    <t>CC4-Domestic Funds Transfer Fee</t>
  </si>
  <si>
    <t>From Currency</t>
  </si>
  <si>
    <t xml:space="preserve">To Currency </t>
  </si>
  <si>
    <t>Exchange Rate</t>
  </si>
  <si>
    <t>0.013</t>
  </si>
  <si>
    <t>0.40</t>
  </si>
  <si>
    <t>0.60</t>
  </si>
  <si>
    <t xml:space="preserve">Deal Currency </t>
  </si>
  <si>
    <t>Account Currency</t>
  </si>
  <si>
    <t>3058702450</t>
  </si>
  <si>
    <t>6225947218</t>
  </si>
  <si>
    <t>100</t>
  </si>
  <si>
    <t>Currency_Con_PriceList -1</t>
  </si>
  <si>
    <t>4368251923</t>
  </si>
  <si>
    <t>WEST_701</t>
  </si>
  <si>
    <t>WEST_702</t>
  </si>
  <si>
    <t>WEST_703</t>
  </si>
  <si>
    <t>WEST_704</t>
  </si>
  <si>
    <t>WEST_705</t>
  </si>
  <si>
    <t>WEST_706</t>
  </si>
  <si>
    <t>WEST_707</t>
  </si>
  <si>
    <t>WEST_708</t>
  </si>
  <si>
    <t>WEST_709</t>
  </si>
  <si>
    <t>WEST_711</t>
  </si>
  <si>
    <t>WEST_712</t>
  </si>
  <si>
    <t>V701-Account Opening Fee</t>
  </si>
  <si>
    <t>V702-Monthly Acct Serv Fee</t>
  </si>
  <si>
    <t>V703-Audit Reports</t>
  </si>
  <si>
    <t>V704_Audit Reports Currenc and saving boths acct</t>
  </si>
  <si>
    <t>V705-SEPA Transfers</t>
  </si>
  <si>
    <t>V706-Domestic Funds Transfer Fee</t>
  </si>
  <si>
    <t>V707-Electronic Credits</t>
  </si>
  <si>
    <t>V708-Direct Debit</t>
  </si>
  <si>
    <t>V709-Cheque Collections</t>
  </si>
  <si>
    <t xml:space="preserve">V710-Domestic Liquidity </t>
  </si>
  <si>
    <t>V711-Third Party Bank</t>
  </si>
  <si>
    <t>V712-Third Party Bank</t>
  </si>
  <si>
    <t>Cont_PriceList -1</t>
  </si>
  <si>
    <t>Cont_PriceList -2</t>
  </si>
  <si>
    <t>Cont_PriceList -3</t>
  </si>
  <si>
    <t>VARIABLE FLAG</t>
  </si>
  <si>
    <t>WEST_710</t>
  </si>
  <si>
    <t>4749643442</t>
  </si>
  <si>
    <t>7</t>
  </si>
  <si>
    <t>1.5</t>
  </si>
  <si>
    <t>0203670529</t>
  </si>
  <si>
    <t>5118514358</t>
  </si>
  <si>
    <t>Con_Cust1Auto,IND</t>
  </si>
  <si>
    <t>4793117996</t>
  </si>
  <si>
    <t>Con_Acct_01</t>
  </si>
  <si>
    <t>4565319680</t>
  </si>
  <si>
    <t>01-01-2021</t>
  </si>
  <si>
    <t>8.96</t>
  </si>
  <si>
    <t>7.97</t>
  </si>
  <si>
    <t xml:space="preserve">WEST_701,WEST_702,WEST_703,WEST_704
</t>
  </si>
  <si>
    <t>WEST_705,WEST_706,WEST_707,WEST_708,WEST_709,WEST_710,WEST_711,WEST_712</t>
  </si>
  <si>
    <t>DEAL_T&amp;C1</t>
  </si>
  <si>
    <t>DEAL_T&amp;C2</t>
  </si>
  <si>
    <t>PRODUCT</t>
  </si>
  <si>
    <t xml:space="preserve"> </t>
  </si>
  <si>
    <t xml:space="preserve">DEAL </t>
  </si>
  <si>
    <t xml:space="preserve">DIVISION </t>
  </si>
  <si>
    <t>INDPM</t>
  </si>
  <si>
    <t>INDSPM</t>
  </si>
  <si>
    <t xml:space="preserve">Product Details </t>
  </si>
  <si>
    <t>Product Code</t>
  </si>
  <si>
    <t>Product Des</t>
  </si>
  <si>
    <t xml:space="preserve">Product Version </t>
  </si>
  <si>
    <t>Product Version Des</t>
  </si>
  <si>
    <t>Product Service</t>
  </si>
  <si>
    <t xml:space="preserve">Pricelist </t>
  </si>
  <si>
    <t>PRODUCT_CON_01</t>
  </si>
  <si>
    <t>PRODUCT_CON_V1_01</t>
  </si>
  <si>
    <t>PRO_CON_SER_01</t>
  </si>
  <si>
    <t>PRODUCT_CON_02</t>
  </si>
  <si>
    <t>PRODUCT_CON_V1_02</t>
  </si>
  <si>
    <t>PRO_CON_SER_02</t>
  </si>
  <si>
    <t>PRODUCT_CON_03</t>
  </si>
  <si>
    <t>PRODUCT_CON_V1_03</t>
  </si>
  <si>
    <t>PRO_CON_SER_03</t>
  </si>
  <si>
    <t xml:space="preserve">CPIVFY_045                      </t>
  </si>
  <si>
    <t xml:space="preserve">CPIVFN_046                    </t>
  </si>
  <si>
    <t xml:space="preserve">CPIVFN_052                </t>
  </si>
  <si>
    <t>CPIVFN_047</t>
  </si>
  <si>
    <t>CPIVFN_048</t>
  </si>
  <si>
    <t>CPIVFY_049</t>
  </si>
  <si>
    <t>CPIVFY_050</t>
  </si>
  <si>
    <t>CPIVFY_041</t>
  </si>
  <si>
    <t>CPIVFN_042</t>
  </si>
  <si>
    <t>CPIVFN_051</t>
  </si>
  <si>
    <t>CPIVFY_045</t>
  </si>
  <si>
    <t>CPIVFN_046</t>
  </si>
  <si>
    <t>CPIVFN_052</t>
  </si>
  <si>
    <t>CPIVFN_043</t>
  </si>
  <si>
    <t>CPIVFN_044</t>
  </si>
  <si>
    <t>CPIVFN_053</t>
  </si>
  <si>
    <t>CPIVFY_054</t>
  </si>
  <si>
    <t>CPIVFN_055</t>
  </si>
  <si>
    <t xml:space="preserve">Account ID </t>
  </si>
  <si>
    <t>DIVPRD</t>
  </si>
  <si>
    <t>DEAL_CURR_01</t>
  </si>
  <si>
    <t>CUSTOMER</t>
  </si>
  <si>
    <t xml:space="preserve"> Indian Rupee</t>
  </si>
  <si>
    <t>Product Enrollment</t>
  </si>
  <si>
    <t>Enrolled Products</t>
  </si>
  <si>
    <t>Product Description</t>
  </si>
  <si>
    <t>Version Description</t>
  </si>
  <si>
    <t>Product Type</t>
  </si>
  <si>
    <t>Product Category</t>
  </si>
  <si>
    <t>Standard</t>
  </si>
  <si>
    <t>Savings</t>
  </si>
  <si>
    <t xml:space="preserve">Proposed Products </t>
  </si>
  <si>
    <t>Product Services</t>
  </si>
  <si>
    <t xml:space="preserve">Product </t>
  </si>
  <si>
    <t xml:space="preserve">Product Services </t>
  </si>
  <si>
    <t xml:space="preserve">End Date </t>
  </si>
  <si>
    <t>Inclusion</t>
  </si>
  <si>
    <t>YES</t>
  </si>
  <si>
    <t>CC_021,CC_022,CC_024,CC_025</t>
  </si>
  <si>
    <t xml:space="preserve">Default Pricelist </t>
  </si>
  <si>
    <t>CPIVFY_045,CPIVFN_046,CPIVFN_052,CPIVFN_047,CPIVFN_048,CPIVFY_049,CPIVFY_050</t>
  </si>
  <si>
    <t>44.54</t>
  </si>
  <si>
    <t>113</t>
  </si>
  <si>
    <t>DE_AUTO4,Reporting/Swift</t>
  </si>
  <si>
    <t>CPIVFN_045</t>
  </si>
  <si>
    <t>CPIVFN_049</t>
  </si>
  <si>
    <t>CPIVFN_050</t>
  </si>
  <si>
    <t>CONTRACTD_PL_17</t>
  </si>
  <si>
    <t>CONTRACTD_PL_18</t>
  </si>
  <si>
    <t>CONTRACTD_PL_19</t>
  </si>
  <si>
    <t>Releationship Manager1</t>
  </si>
  <si>
    <t>REVENUE</t>
  </si>
  <si>
    <t>COST</t>
  </si>
  <si>
    <t>PROPOSED</t>
  </si>
  <si>
    <t>DEAL CURRENCY</t>
  </si>
  <si>
    <t>Account Identifier</t>
  </si>
  <si>
    <t>External Account Identifier</t>
  </si>
  <si>
    <t xml:space="preserve">PRODUCT FINANCIAL SUMMARY ( ACCOUNT AND CUSTOMER ) LEVEL </t>
  </si>
  <si>
    <t>PRODUCT FINANCIAL SUMMARY DEAL LEVEL S</t>
  </si>
  <si>
    <t>APPROVAL STATUS</t>
  </si>
  <si>
    <t>DIVISION FINANCIAL SUMMARY</t>
  </si>
  <si>
    <t xml:space="preserve">PROPOSED </t>
  </si>
  <si>
    <t>DIVISOIN</t>
  </si>
  <si>
    <t>Customer/Division /ACCOUNT CURRENCY</t>
  </si>
  <si>
    <t>CUSTOMER/ACCOUNT CURRENCY</t>
  </si>
  <si>
    <t>DIVISION CURRENCY</t>
  </si>
  <si>
    <t xml:space="preserve">Simulation - 2 </t>
  </si>
  <si>
    <t>scenarios  - 2 ( after Adding Adhoc Revenue)</t>
  </si>
  <si>
    <t>usd to inr</t>
  </si>
  <si>
    <t>inr to usd</t>
  </si>
  <si>
    <t>Details</t>
  </si>
  <si>
    <t xml:space="preserve">Log Type </t>
  </si>
  <si>
    <t>Status Transition</t>
  </si>
  <si>
    <t>Manager1 , Relationship ( RMBK1 )</t>
  </si>
  <si>
    <t>Exchange Rate from INR to USD (IND Division) is 0.013000000000000000</t>
  </si>
  <si>
    <t>Variation</t>
  </si>
  <si>
    <t>REVENUE Variation (%)</t>
  </si>
  <si>
    <t>Revenue Variation</t>
  </si>
  <si>
    <t>Profit Variation</t>
  </si>
  <si>
    <t>Creation Date Time</t>
  </si>
  <si>
    <t>Deal Logs</t>
  </si>
  <si>
    <t>44.53</t>
  </si>
  <si>
    <t>SEQUENCE</t>
  </si>
  <si>
    <t>PROCESS</t>
  </si>
  <si>
    <t>APPROVAL TYPE</t>
  </si>
  <si>
    <t>APPROVAL LEVEL</t>
  </si>
  <si>
    <t>TO DO ROLE</t>
  </si>
  <si>
    <t>USER NAME</t>
  </si>
  <si>
    <t>ACTION TAKEN</t>
  </si>
  <si>
    <t>CREATE DATE TIME</t>
  </si>
  <si>
    <t>UPDATE DATE TIME</t>
  </si>
  <si>
    <t>Submission</t>
  </si>
  <si>
    <t>Level 0</t>
  </si>
  <si>
    <t>Manager1, Relationship</t>
  </si>
  <si>
    <t>Submitted</t>
  </si>
  <si>
    <t>12-01-2021 06:36AM</t>
  </si>
  <si>
    <t>Approval</t>
  </si>
  <si>
    <t>India Pricing Manager</t>
  </si>
  <si>
    <t>Send Deal For Approval</t>
  </si>
  <si>
    <t>12-01-2021 06:53AM</t>
  </si>
  <si>
    <t>Level 1</t>
  </si>
  <si>
    <t>India Senior Pricing Manager</t>
  </si>
  <si>
    <t>12-01-2021 06:56AM</t>
  </si>
  <si>
    <t>Unapproved</t>
  </si>
  <si>
    <t>Simulation - 3 ( recommended pricing for price item - cpivfn_046</t>
  </si>
  <si>
    <t xml:space="preserve">RECOMMENDED </t>
  </si>
  <si>
    <t>CUSTOMER/ ACCOUNT CURRENCY</t>
  </si>
  <si>
    <t>REVENUE VARATION(%)</t>
  </si>
  <si>
    <t>RECOMMENDED SUMMARY</t>
  </si>
  <si>
    <t>0.50</t>
  </si>
  <si>
    <t xml:space="preserve">Simulation - 4 ( as per recommend rate for price item  cpivfn_046 - update rate 23.22 on projected section ) at customer level </t>
  </si>
  <si>
    <t>Price Item group selection-Filter</t>
  </si>
  <si>
    <t>Deal Approval Profile Code For Division Level Approvers (INDPM,INDSPM)</t>
  </si>
  <si>
    <t>DLIND</t>
  </si>
  <si>
    <t>Deal Approval Profile code for division level approval</t>
  </si>
  <si>
    <t>Deal Approval Profile Code For Product Level Approvers (PDINDPM,PDINDSPM)</t>
  </si>
  <si>
    <t>PRDAPR</t>
  </si>
  <si>
    <t>PDINDPM</t>
  </si>
  <si>
    <t>PDINDSPM</t>
  </si>
  <si>
    <t>Deal Approval Profile Code For Parallel Level Approvers(RM1,PM1,PM2,SPM1)</t>
  </si>
  <si>
    <t>DLPARALL</t>
  </si>
  <si>
    <t>Deal Approval profile for parallel level Approval</t>
  </si>
  <si>
    <t>PM2</t>
  </si>
  <si>
    <t>Deal Approval Profile Code For Auto Approvers(RM1)</t>
  </si>
  <si>
    <t>DLAUTOAP</t>
  </si>
  <si>
    <t>Deal Approval Profile code for Auto approval</t>
  </si>
  <si>
    <t xml:space="preserve"> DLAPR</t>
  </si>
  <si>
    <t>Deal type for Division Level Approval</t>
  </si>
  <si>
    <t>Deal type code for Division Approval-IND and Product Aproval</t>
  </si>
  <si>
    <t>Deal type code for Division Approval-IND and Product Approval</t>
  </si>
  <si>
    <t>Deal type for Parallel Level Approval</t>
  </si>
  <si>
    <t>DEALPARLLEL</t>
  </si>
  <si>
    <t>Deal type for Parallel Approval</t>
  </si>
  <si>
    <t>Deal type for Product Level Approval</t>
  </si>
  <si>
    <t>DEALAPP02</t>
  </si>
  <si>
    <t>Deal type code for Product Approval</t>
  </si>
  <si>
    <t>Deal type for Auto Approval</t>
  </si>
  <si>
    <t>Deal type code for Deal Auto Approval</t>
  </si>
  <si>
    <t>PMBK2</t>
  </si>
  <si>
    <t>pmbk2000</t>
  </si>
  <si>
    <t>Pricing Manager 2</t>
  </si>
  <si>
    <t>indpm1000</t>
  </si>
  <si>
    <t>INDIA Pricing Manager</t>
  </si>
  <si>
    <t>indspm1000</t>
  </si>
  <si>
    <t>INDIA Senior Pricing Manager</t>
  </si>
  <si>
    <t>pdpm1000</t>
  </si>
  <si>
    <t>Product Pricing Manager</t>
  </si>
  <si>
    <t>pdspm1000</t>
  </si>
  <si>
    <t>Product Senior Pricing Manager</t>
  </si>
  <si>
    <t>Manager2</t>
  </si>
  <si>
    <t>Pricing Manager</t>
  </si>
  <si>
    <t>India</t>
  </si>
  <si>
    <t>Senior Pricing Manager</t>
  </si>
  <si>
    <t>Indian Rupee</t>
  </si>
  <si>
    <t>ACCT_IND_02</t>
  </si>
  <si>
    <t>United States Dollars</t>
  </si>
  <si>
    <t>Change</t>
  </si>
  <si>
    <t>AccountName</t>
  </si>
  <si>
    <t>Color</t>
  </si>
  <si>
    <t>green</t>
  </si>
  <si>
    <t>change</t>
  </si>
  <si>
    <t>Color column</t>
  </si>
  <si>
    <t xml:space="preserve"> Pending For Approval</t>
  </si>
  <si>
    <t>Finalized</t>
  </si>
  <si>
    <t>Deal status &amp; Deal Version status</t>
  </si>
  <si>
    <t>Deal status = Pending For Approval ,DEAL VERSION STATUS = Finalized</t>
  </si>
  <si>
    <t>Effective End date</t>
  </si>
  <si>
    <t xml:space="preserve">Comments </t>
  </si>
  <si>
    <t xml:space="preserve">Deal has been accepted </t>
  </si>
  <si>
    <t>Added Accepted date</t>
  </si>
  <si>
    <t>Seasonal Price</t>
  </si>
  <si>
    <t>Added Seasonal Pricing</t>
  </si>
  <si>
    <t>personName</t>
  </si>
  <si>
    <t>Pricing Manager, INDIA</t>
  </si>
  <si>
    <t>Senior Pricing Manager, INDIA</t>
  </si>
  <si>
    <t>Customer Accepted Screen</t>
  </si>
  <si>
    <t>$ 5093.8</t>
  </si>
  <si>
    <t>$ 997.97</t>
  </si>
  <si>
    <t>$ 4864.2</t>
  </si>
  <si>
    <t>$ 897.57</t>
  </si>
  <si>
    <t>Rs391830.55</t>
  </si>
  <si>
    <t>Rs76764.16</t>
  </si>
  <si>
    <t>Rs69043.20</t>
  </si>
  <si>
    <t>Rs374169.60</t>
  </si>
  <si>
    <t>Rs315066.39</t>
  </si>
  <si>
    <t>Rs305126.40</t>
  </si>
  <si>
    <t>$5093.80</t>
  </si>
  <si>
    <t>$997.97</t>
  </si>
  <si>
    <t>$4095.83</t>
  </si>
  <si>
    <t>$4864.20</t>
  </si>
  <si>
    <t>$897.57</t>
  </si>
  <si>
    <t>$3966.63</t>
  </si>
  <si>
    <t>$997.93</t>
  </si>
  <si>
    <t>$4095.86</t>
  </si>
  <si>
    <t>$897.56</t>
  </si>
  <si>
    <t>$3966.64</t>
  </si>
  <si>
    <t>Rs540310.55</t>
  </si>
  <si>
    <t>Rs225244.16</t>
  </si>
  <si>
    <t>$7024.04</t>
  </si>
  <si>
    <t>Rs5568.00</t>
  </si>
  <si>
    <t>Rs2895.36</t>
  </si>
  <si>
    <t>Rs2672.64</t>
  </si>
  <si>
    <t>48.00</t>
  </si>
  <si>
    <t>Rs0.00</t>
  </si>
  <si>
    <t>0.00</t>
  </si>
  <si>
    <t>Rs3712.00</t>
  </si>
  <si>
    <t>Rs1930.24</t>
  </si>
  <si>
    <t>Rs1781.76</t>
  </si>
  <si>
    <t>Rs371200.00</t>
  </si>
  <si>
    <t>Rs46028.80</t>
  </si>
  <si>
    <t>Rs325171.20</t>
  </si>
  <si>
    <t>87.60</t>
  </si>
  <si>
    <t>$72.38</t>
  </si>
  <si>
    <t>$0.00</t>
  </si>
  <si>
    <t>Rs5435.85</t>
  </si>
  <si>
    <t>$70.67</t>
  </si>
  <si>
    <t>$48.26</t>
  </si>
  <si>
    <t>$4825.60</t>
  </si>
  <si>
    <t>Rs2540.49</t>
  </si>
  <si>
    <t>46.74</t>
  </si>
  <si>
    <t>$23.16</t>
  </si>
  <si>
    <t>58.31</t>
  </si>
  <si>
    <t>81.55</t>
  </si>
  <si>
    <t>44.40</t>
  </si>
  <si>
    <t>58.30</t>
  </si>
  <si>
    <t>74.24</t>
  </si>
  <si>
    <t>$34.74</t>
  </si>
  <si>
    <t>$37.64</t>
  </si>
  <si>
    <t>$25.09</t>
  </si>
  <si>
    <t>$598.37</t>
  </si>
  <si>
    <t>$4227.23</t>
  </si>
  <si>
    <t>$2928.17</t>
  </si>
  <si>
    <t>Rs0</t>
  </si>
  <si>
    <t>$0</t>
  </si>
  <si>
    <t>$33.03</t>
  </si>
  <si>
    <t>Rs540178.40</t>
  </si>
  <si>
    <t>Rs314934.24</t>
  </si>
  <si>
    <t>$7022.32</t>
  </si>
  <si>
    <t>$4094.15</t>
  </si>
  <si>
    <t>540178.40</t>
  </si>
  <si>
    <t>Rs380480.00</t>
  </si>
  <si>
    <t>Rs50854.40</t>
  </si>
  <si>
    <t>4.68</t>
  </si>
  <si>
    <t>44.37</t>
  </si>
  <si>
    <t>$4094.11</t>
  </si>
  <si>
    <t>Rs538454.55</t>
  </si>
  <si>
    <t>Rs313210.39</t>
  </si>
  <si>
    <t>58.17</t>
  </si>
  <si>
    <t xml:space="preserve">Rs374,169.60 </t>
  </si>
  <si>
    <t xml:space="preserve">Rs69,043.20 </t>
  </si>
  <si>
    <t xml:space="preserve">Rs305,126.40 </t>
  </si>
  <si>
    <t xml:space="preserve">43.91
</t>
  </si>
  <si>
    <t>43.91</t>
  </si>
  <si>
    <t>$6999.91</t>
  </si>
  <si>
    <t>$4071.74</t>
  </si>
  <si>
    <t>$2928.21</t>
  </si>
  <si>
    <t xml:space="preserve">Rs3712.00 </t>
  </si>
  <si>
    <t>Rs389974.55</t>
  </si>
  <si>
    <t>$5069.67</t>
  </si>
  <si>
    <t>Rs816.64</t>
  </si>
  <si>
    <t>22.00</t>
  </si>
  <si>
    <t>$10.62</t>
  </si>
  <si>
    <t>EPER</t>
  </si>
  <si>
    <t>CUST</t>
  </si>
  <si>
    <t xml:space="preserve">Deal Creation Information </t>
  </si>
  <si>
    <t>dealEntityType</t>
  </si>
  <si>
    <t>dealEntityId</t>
  </si>
  <si>
    <t>Skip QUESTIONNAIRE</t>
  </si>
  <si>
    <t>CONTRACTED Deal</t>
  </si>
  <si>
    <t>include Hierarchy Flag</t>
  </si>
  <si>
    <t>termsAndConditionsList</t>
  </si>
  <si>
    <t>productDetailsList</t>
  </si>
  <si>
    <t>referenceDetails</t>
  </si>
  <si>
    <t>templateReferenceDetails</t>
  </si>
  <si>
    <t>T&amp;C2</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</si>
  <si>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</si>
  <si>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</si>
  <si>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</si>
  <si>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</si>
  <si>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</si>
  <si>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</si>
  <si>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</si>
  <si>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</si>
  <si>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</si>
  <si>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</si>
  <si>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</si>
  <si>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</si>
  <si>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</si>
  <si>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</si>
  <si>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</si>
  <si>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</si>
  <si>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</si>
  <si>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</si>
  <si>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</si>
  <si>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</si>
  <si>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01-01-2020</t>
  </si>
  <si>
    <t>Seasonal Pricing</t>
  </si>
  <si>
    <t>Price Item Parameter 1</t>
  </si>
  <si>
    <t>Price Item Parameter Value 1</t>
  </si>
  <si>
    <t>Price Item Parameter 2</t>
  </si>
  <si>
    <t>Price Item Parameter Value 2</t>
  </si>
  <si>
    <t>Action Flag</t>
  </si>
  <si>
    <t>UPD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</si>
</sst>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44" formatCode="_(&quot;$&quot;* #,##0.00_);_(&quot;$&quot;* \(#,##0.00\);_(&quot;$&quot;* &quot;-&quot;??_);_(@_)"/>
    <numFmt numFmtId="164" formatCode="&quot;$&quot;#,##0.00"/>
    <numFmt numFmtId="165" formatCode="[$₹-4009]\ #,##0.00"/>
    <numFmt numFmtId="166" formatCode="mm\-dd\-yyyy"/>
    <numFmt numFmtId="167" formatCode="[$$-409]#,##0.00"/>
    <numFmt numFmtId="168" formatCode="[$-409]m/d/yy\ h:mm\ AM/PM;@"/>
    <numFmt numFmtId="169" formatCode="&quot;$&quot;#,##0.00;[Red]&quot;$&quot;#,##0.00"/>
  </numFmts>
  <fonts count="22" x14ac:knownFonts="1">
    <font>
      <sz val="11"/>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
      <sz val="10"/>
      <name val="Arial"/>
      <family val="2"/>
    </font>
    <font>
      <sz val="9"/>
      <color indexed="81"/>
      <name val="Tahoma"/>
      <family val="2"/>
    </font>
    <font>
      <b/>
      <sz val="9"/>
      <color indexed="81"/>
      <name val="Tahoma"/>
      <family val="2"/>
    </font>
    <font>
      <b/>
      <sz val="11"/>
      <color rgb="FFFF0000"/>
      <name val="Calibri"/>
      <family val="2"/>
      <scheme val="minor"/>
    </font>
    <font>
      <sz val="14"/>
      <color theme="1"/>
      <name val="Calibri"/>
      <family val="2"/>
      <scheme val="minor"/>
    </font>
    <font>
      <b/>
      <sz val="8"/>
      <color theme="1"/>
      <name val="Arial"/>
      <family val="2"/>
    </font>
    <font>
      <b/>
      <sz val="16"/>
      <color theme="1"/>
      <name val="Calibri"/>
      <family val="2"/>
      <scheme val="minor"/>
    </font>
    <font>
      <sz val="16"/>
      <color theme="1"/>
      <name val="Calibri"/>
      <family val="2"/>
      <scheme val="minor"/>
    </font>
    <font>
      <sz val="12"/>
      <color theme="1"/>
      <name val="Calibri"/>
      <family val="2"/>
      <scheme val="minor"/>
    </font>
    <font>
      <u/>
      <sz val="11"/>
      <color theme="10"/>
      <name val="Calibri"/>
      <family val="2"/>
      <scheme val="minor"/>
    </font>
    <font>
      <b/>
      <sz val="14"/>
      <color rgb="FF000000"/>
      <name val="Calibri"/>
      <family val="2"/>
    </font>
    <font>
      <sz val="11"/>
      <color theme="1"/>
      <name val="Calibri"/>
      <family val="2"/>
    </font>
    <font>
      <b/>
      <sz val="12"/>
      <color rgb="FF000000"/>
      <name val="Calibri"/>
      <family val="2"/>
    </font>
    <font>
      <sz val="11"/>
      <name val="Calibri"/>
      <family val="2"/>
    </font>
    <font>
      <b/>
      <sz val="26"/>
      <color theme="1"/>
      <name val="Calibri"/>
      <family val="2"/>
      <scheme val="minor"/>
    </font>
    <font>
      <sz val="11"/>
      <color theme="1"/>
      <name val="Calibri"/>
      <family val="2"/>
      <scheme val="minor"/>
    </font>
  </fonts>
  <fills count="3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FF99"/>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9AD0E8"/>
        <bgColor indexed="64"/>
      </patternFill>
    </fill>
    <fill>
      <patternFill patternType="solid">
        <fgColor rgb="FF0070C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rgb="FFFF0000"/>
        <bgColor indexed="64"/>
      </patternFill>
    </fill>
    <fill>
      <patternFill patternType="solid">
        <fgColor theme="9"/>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rgb="FFBFBFBF"/>
        <bgColor rgb="FF000000"/>
      </patternFill>
    </fill>
    <fill>
      <patternFill patternType="solid">
        <fgColor rgb="FFD9D9D9"/>
        <bgColor rgb="FF000000"/>
      </patternFill>
    </fill>
    <fill>
      <patternFill patternType="solid">
        <fgColor rgb="FF00B0F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5" tint="0.59999389629810485"/>
        <bgColor rgb="FF000000"/>
      </patternFill>
    </fill>
    <fill>
      <patternFill patternType="solid">
        <fgColor theme="1" tint="0.499984740745262"/>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0" fontId="6" fillId="0" borderId="0"/>
    <xf numFmtId="0" fontId="15" fillId="0" borderId="0" applyNumberFormat="0" applyFill="0" applyBorder="0" applyAlignment="0" applyProtection="0"/>
    <xf numFmtId="44" fontId="21" fillId="0" borderId="0" applyFont="0" applyFill="0" applyBorder="0" applyAlignment="0" applyProtection="0"/>
  </cellStyleXfs>
  <cellXfs count="406">
    <xf numFmtId="0" fontId="0" fillId="0" borderId="0" xfId="0"/>
    <xf numFmtId="0" fontId="0" fillId="0" borderId="1" xfId="0" applyBorder="1"/>
    <xf numFmtId="49" fontId="0" fillId="5" borderId="1" xfId="0" applyNumberFormat="1" applyFill="1" applyBorder="1" applyAlignment="1">
      <alignment vertical="top"/>
    </xf>
    <xf numFmtId="0" fontId="0" fillId="5" borderId="1" xfId="0" applyFill="1" applyBorder="1"/>
    <xf numFmtId="0" fontId="4" fillId="5" borderId="1" xfId="0" applyNumberFormat="1" applyFont="1" applyFill="1" applyBorder="1" applyAlignment="1">
      <alignment vertical="top"/>
    </xf>
    <xf numFmtId="49" fontId="3" fillId="4" borderId="6" xfId="0" applyNumberFormat="1" applyFont="1" applyFill="1" applyBorder="1" applyAlignment="1">
      <alignment vertical="top"/>
    </xf>
    <xf numFmtId="49" fontId="0" fillId="5" borderId="1" xfId="0" applyNumberFormat="1" applyFill="1" applyBorder="1"/>
    <xf numFmtId="0" fontId="0" fillId="5" borderId="1" xfId="0" applyNumberFormat="1" applyFill="1" applyBorder="1" applyAlignment="1">
      <alignment horizontal="left"/>
    </xf>
    <xf numFmtId="49" fontId="0" fillId="5" borderId="1" xfId="0" applyNumberFormat="1" applyFill="1" applyBorder="1" applyAlignment="1">
      <alignment horizontal="left" vertical="top"/>
    </xf>
    <xf numFmtId="0" fontId="0" fillId="0" borderId="0" xfId="0" applyBorder="1"/>
    <xf numFmtId="15" fontId="0" fillId="5" borderId="1" xfId="0" applyNumberFormat="1" applyFill="1" applyBorder="1"/>
    <xf numFmtId="0" fontId="3" fillId="4" borderId="1" xfId="0" quotePrefix="1" applyNumberFormat="1" applyFont="1" applyFill="1" applyBorder="1" applyAlignment="1">
      <alignment vertical="top"/>
    </xf>
    <xf numFmtId="0" fontId="3" fillId="4" borderId="1" xfId="0" applyNumberFormat="1" applyFont="1" applyFill="1" applyBorder="1" applyAlignment="1">
      <alignment vertical="top"/>
    </xf>
    <xf numFmtId="0" fontId="0" fillId="0" borderId="0" xfId="0" applyFill="1" applyBorder="1"/>
    <xf numFmtId="0" fontId="0" fillId="4" borderId="1" xfId="0" applyFill="1" applyBorder="1"/>
    <xf numFmtId="0" fontId="5" fillId="4" borderId="1" xfId="0" applyFont="1" applyFill="1" applyBorder="1"/>
    <xf numFmtId="0" fontId="3" fillId="4" borderId="5" xfId="0" quotePrefix="1" applyNumberFormat="1" applyFont="1" applyFill="1" applyBorder="1" applyAlignment="1">
      <alignment vertical="top"/>
    </xf>
    <xf numFmtId="0" fontId="0" fillId="0" borderId="1" xfId="0" applyBorder="1" applyAlignment="1">
      <alignment horizontal="left"/>
    </xf>
    <xf numFmtId="49" fontId="0" fillId="5" borderId="1" xfId="0" quotePrefix="1" applyNumberFormat="1" applyFill="1" applyBorder="1"/>
    <xf numFmtId="0" fontId="0" fillId="5" borderId="1" xfId="0" applyFill="1" applyBorder="1" applyAlignment="1">
      <alignment horizontal="left"/>
    </xf>
    <xf numFmtId="49" fontId="0" fillId="5" borderId="1" xfId="0" quotePrefix="1" applyNumberFormat="1" applyFill="1" applyBorder="1" applyAlignment="1">
      <alignment horizontal="left"/>
    </xf>
    <xf numFmtId="49" fontId="0" fillId="5" borderId="1" xfId="0" applyNumberFormat="1" applyFill="1" applyBorder="1" applyAlignment="1">
      <alignment horizontal="left"/>
    </xf>
    <xf numFmtId="0" fontId="5" fillId="3" borderId="1" xfId="0" applyFont="1" applyFill="1" applyBorder="1" applyAlignment="1">
      <alignment horizontal="left"/>
    </xf>
    <xf numFmtId="0" fontId="5" fillId="3" borderId="6" xfId="0" applyFont="1" applyFill="1" applyBorder="1" applyAlignment="1">
      <alignment horizontal="left"/>
    </xf>
    <xf numFmtId="0" fontId="0" fillId="5" borderId="1" xfId="0" applyFill="1" applyBorder="1" applyAlignment="1">
      <alignment horizontal="left" wrapText="1"/>
    </xf>
    <xf numFmtId="49" fontId="0" fillId="5" borderId="1" xfId="0" quotePrefix="1" applyNumberFormat="1" applyFill="1" applyBorder="1" applyAlignment="1">
      <alignment horizontal="left" wrapText="1"/>
    </xf>
    <xf numFmtId="0" fontId="5" fillId="3" borderId="10" xfId="0" applyFont="1" applyFill="1" applyBorder="1" applyAlignment="1">
      <alignment horizontal="left"/>
    </xf>
    <xf numFmtId="0" fontId="0" fillId="12" borderId="1" xfId="0" applyFill="1" applyBorder="1"/>
    <xf numFmtId="0" fontId="0" fillId="11" borderId="1" xfId="0" applyFill="1" applyBorder="1" applyAlignment="1">
      <alignment horizontal="left" vertical="top"/>
    </xf>
    <xf numFmtId="0" fontId="0" fillId="11" borderId="1" xfId="0" applyFill="1" applyBorder="1" applyAlignment="1">
      <alignment horizontal="left" vertical="top" wrapText="1"/>
    </xf>
    <xf numFmtId="3" fontId="0" fillId="11" borderId="1" xfId="0" applyNumberFormat="1" applyFill="1" applyBorder="1" applyAlignment="1">
      <alignment horizontal="left" vertical="top"/>
    </xf>
    <xf numFmtId="0" fontId="0" fillId="12" borderId="1" xfId="0" applyFill="1" applyBorder="1" applyAlignment="1">
      <alignment horizontal="left" vertical="top"/>
    </xf>
    <xf numFmtId="3" fontId="0" fillId="12" borderId="1" xfId="0" applyNumberFormat="1" applyFill="1" applyBorder="1" applyAlignment="1">
      <alignment horizontal="left" vertical="top"/>
    </xf>
    <xf numFmtId="49" fontId="0" fillId="11" borderId="1" xfId="0" applyNumberFormat="1" applyFill="1" applyBorder="1" applyAlignment="1">
      <alignment horizontal="left" vertical="top"/>
    </xf>
    <xf numFmtId="164" fontId="0" fillId="11" borderId="1" xfId="0" applyNumberFormat="1" applyFill="1" applyBorder="1" applyAlignment="1">
      <alignment horizontal="left" vertical="top"/>
    </xf>
    <xf numFmtId="0" fontId="0" fillId="13" borderId="1" xfId="0" applyFill="1" applyBorder="1"/>
    <xf numFmtId="164" fontId="0" fillId="12" borderId="1" xfId="0" applyNumberFormat="1" applyFill="1" applyBorder="1" applyAlignment="1">
      <alignment horizontal="left" vertical="top"/>
    </xf>
    <xf numFmtId="2" fontId="0" fillId="11" borderId="1" xfId="0" applyNumberFormat="1" applyFill="1" applyBorder="1" applyAlignment="1">
      <alignment horizontal="left" vertical="top"/>
    </xf>
    <xf numFmtId="2" fontId="0" fillId="12" borderId="1" xfId="0" applyNumberFormat="1" applyFill="1" applyBorder="1" applyAlignment="1">
      <alignment horizontal="left" vertical="top"/>
    </xf>
    <xf numFmtId="0" fontId="5" fillId="3" borderId="6" xfId="0" applyFont="1" applyFill="1" applyBorder="1" applyAlignment="1">
      <alignment horizontal="left" vertical="top"/>
    </xf>
    <xf numFmtId="0" fontId="0" fillId="2" borderId="1" xfId="0" applyFill="1" applyBorder="1" applyAlignment="1">
      <alignment horizontal="left" vertical="top"/>
    </xf>
    <xf numFmtId="0" fontId="0" fillId="14" borderId="1" xfId="0" applyFill="1" applyBorder="1" applyAlignment="1">
      <alignment horizontal="left" vertical="top"/>
    </xf>
    <xf numFmtId="2" fontId="0" fillId="2" borderId="1" xfId="0" applyNumberFormat="1" applyFill="1" applyBorder="1" applyAlignment="1">
      <alignment horizontal="left" vertical="top"/>
    </xf>
    <xf numFmtId="2" fontId="0" fillId="14" borderId="1" xfId="0" applyNumberFormat="1" applyFill="1" applyBorder="1" applyAlignment="1">
      <alignment horizontal="left" vertical="top"/>
    </xf>
    <xf numFmtId="0" fontId="0" fillId="5" borderId="1" xfId="0" applyFill="1" applyBorder="1" applyAlignment="1">
      <alignment horizontal="left" vertical="top"/>
    </xf>
    <xf numFmtId="164" fontId="0" fillId="0" borderId="0" xfId="0" applyNumberFormat="1"/>
    <xf numFmtId="0" fontId="5" fillId="9" borderId="1" xfId="0" applyFont="1" applyFill="1" applyBorder="1" applyAlignment="1">
      <alignment horizontal="left" vertical="top"/>
    </xf>
    <xf numFmtId="3" fontId="5" fillId="9" borderId="1" xfId="0" applyNumberFormat="1" applyFont="1" applyFill="1" applyBorder="1" applyAlignment="1">
      <alignment horizontal="left" vertical="top"/>
    </xf>
    <xf numFmtId="164" fontId="5" fillId="9" borderId="1" xfId="0" applyNumberFormat="1" applyFont="1" applyFill="1" applyBorder="1" applyAlignment="1">
      <alignment horizontal="left" vertical="top"/>
    </xf>
    <xf numFmtId="0" fontId="5" fillId="10" borderId="1" xfId="0" applyFont="1" applyFill="1" applyBorder="1" applyAlignment="1">
      <alignment horizontal="left" vertical="top"/>
    </xf>
    <xf numFmtId="3" fontId="5" fillId="10" borderId="1" xfId="0" applyNumberFormat="1" applyFont="1" applyFill="1" applyBorder="1" applyAlignment="1">
      <alignment horizontal="left" vertical="top"/>
    </xf>
    <xf numFmtId="164" fontId="5" fillId="10" borderId="1" xfId="0" applyNumberFormat="1" applyFont="1" applyFill="1" applyBorder="1" applyAlignment="1">
      <alignment horizontal="left" vertical="top"/>
    </xf>
    <xf numFmtId="2" fontId="0" fillId="5" borderId="1" xfId="0" applyNumberFormat="1" applyFill="1" applyBorder="1" applyAlignment="1">
      <alignment horizontal="left"/>
    </xf>
    <xf numFmtId="164" fontId="0" fillId="5" borderId="1" xfId="0" applyNumberFormat="1" applyFill="1" applyBorder="1" applyAlignment="1">
      <alignment horizontal="left"/>
    </xf>
    <xf numFmtId="0" fontId="5" fillId="7" borderId="8" xfId="0" applyFont="1" applyFill="1" applyBorder="1" applyAlignment="1">
      <alignment vertical="top"/>
    </xf>
    <xf numFmtId="0" fontId="5" fillId="7" borderId="0" xfId="0" applyFont="1" applyFill="1" applyBorder="1" applyAlignment="1">
      <alignment vertical="top"/>
    </xf>
    <xf numFmtId="49" fontId="5" fillId="5" borderId="1" xfId="0" applyNumberFormat="1" applyFont="1" applyFill="1" applyBorder="1" applyAlignment="1">
      <alignment horizontal="left" vertical="top"/>
    </xf>
    <xf numFmtId="0" fontId="0" fillId="5" borderId="1" xfId="0" applyFill="1" applyBorder="1" applyAlignment="1">
      <alignment vertical="top" wrapText="1"/>
    </xf>
    <xf numFmtId="49" fontId="0" fillId="5" borderId="1" xfId="0" quotePrefix="1" applyNumberFormat="1" applyFill="1" applyBorder="1" applyAlignment="1">
      <alignment vertical="top" wrapText="1"/>
    </xf>
    <xf numFmtId="49" fontId="5" fillId="15" borderId="1" xfId="0" applyNumberFormat="1" applyFont="1" applyFill="1" applyBorder="1" applyAlignment="1">
      <alignment horizontal="left" vertical="top"/>
    </xf>
    <xf numFmtId="0" fontId="0" fillId="15" borderId="1" xfId="0" applyFill="1" applyBorder="1" applyAlignment="1">
      <alignment horizontal="left" vertical="top"/>
    </xf>
    <xf numFmtId="3" fontId="0" fillId="15" borderId="1" xfId="0" applyNumberFormat="1" applyFill="1" applyBorder="1" applyAlignment="1">
      <alignment horizontal="left" vertical="top"/>
    </xf>
    <xf numFmtId="2" fontId="0" fillId="15" borderId="1" xfId="0" applyNumberFormat="1" applyFill="1" applyBorder="1" applyAlignment="1">
      <alignment horizontal="left" vertical="top"/>
    </xf>
    <xf numFmtId="15" fontId="5" fillId="15" borderId="0" xfId="0" applyNumberFormat="1" applyFont="1" applyFill="1" applyAlignment="1">
      <alignment horizontal="left"/>
    </xf>
    <xf numFmtId="15" fontId="0" fillId="15" borderId="1" xfId="0" applyNumberFormat="1" applyFill="1" applyBorder="1" applyAlignment="1">
      <alignment horizontal="left" vertical="top"/>
    </xf>
    <xf numFmtId="164" fontId="0" fillId="15" borderId="1" xfId="0" applyNumberFormat="1" applyFill="1" applyBorder="1" applyAlignment="1">
      <alignment horizontal="left" vertical="top"/>
    </xf>
    <xf numFmtId="15" fontId="0" fillId="12" borderId="1" xfId="0" applyNumberFormat="1" applyFill="1" applyBorder="1" applyAlignment="1">
      <alignment horizontal="left" vertical="top"/>
    </xf>
    <xf numFmtId="14" fontId="0" fillId="11" borderId="1" xfId="0" applyNumberFormat="1" applyFill="1" applyBorder="1" applyAlignment="1">
      <alignment horizontal="left" vertical="top"/>
    </xf>
    <xf numFmtId="15" fontId="0" fillId="11" borderId="1" xfId="0" applyNumberFormat="1" applyFill="1" applyBorder="1" applyAlignment="1">
      <alignment horizontal="left" vertical="top"/>
    </xf>
    <xf numFmtId="0" fontId="9" fillId="15" borderId="1" xfId="0" applyFont="1" applyFill="1" applyBorder="1" applyAlignment="1">
      <alignment horizontal="left" vertical="top"/>
    </xf>
    <xf numFmtId="0" fontId="0" fillId="5" borderId="8" xfId="0" applyFill="1" applyBorder="1" applyAlignment="1">
      <alignment horizontal="left"/>
    </xf>
    <xf numFmtId="164" fontId="0" fillId="5" borderId="0" xfId="0" applyNumberFormat="1" applyFill="1" applyBorder="1" applyAlignment="1">
      <alignment horizontal="left"/>
    </xf>
    <xf numFmtId="2" fontId="0" fillId="5" borderId="0" xfId="0" applyNumberFormat="1" applyFill="1" applyBorder="1" applyAlignment="1">
      <alignment horizontal="left"/>
    </xf>
    <xf numFmtId="49" fontId="0" fillId="0" borderId="0" xfId="0" applyNumberFormat="1" applyAlignment="1">
      <alignment vertical="top"/>
    </xf>
    <xf numFmtId="49" fontId="0" fillId="0" borderId="0" xfId="0" applyNumberFormat="1" applyAlignment="1">
      <alignment vertical="top" wrapText="1"/>
    </xf>
    <xf numFmtId="49" fontId="0" fillId="16" borderId="0" xfId="0" applyNumberFormat="1" applyFill="1" applyAlignment="1">
      <alignment vertical="top"/>
    </xf>
    <xf numFmtId="49" fontId="2" fillId="2" borderId="1" xfId="0" applyNumberFormat="1" applyFont="1" applyFill="1" applyBorder="1" applyAlignment="1">
      <alignment vertical="top"/>
    </xf>
    <xf numFmtId="49" fontId="10" fillId="0" borderId="0" xfId="0" applyNumberFormat="1" applyFont="1" applyAlignment="1">
      <alignment vertical="top"/>
    </xf>
    <xf numFmtId="49" fontId="10" fillId="0" borderId="0" xfId="0" applyNumberFormat="1" applyFont="1" applyAlignment="1">
      <alignment vertical="top" wrapText="1"/>
    </xf>
    <xf numFmtId="49" fontId="10" fillId="16" borderId="0" xfId="0" applyNumberFormat="1" applyFont="1" applyFill="1" applyAlignment="1">
      <alignment vertical="top"/>
    </xf>
    <xf numFmtId="49" fontId="3" fillId="4" borderId="1" xfId="0" applyNumberFormat="1" applyFont="1" applyFill="1" applyBorder="1" applyAlignment="1">
      <alignment vertical="top"/>
    </xf>
    <xf numFmtId="49" fontId="4" fillId="5" borderId="1" xfId="0" applyNumberFormat="1" applyFont="1" applyFill="1" applyBorder="1" applyAlignment="1">
      <alignment vertical="top"/>
    </xf>
    <xf numFmtId="2" fontId="4" fillId="5" borderId="1" xfId="0" applyNumberFormat="1" applyFont="1" applyFill="1" applyBorder="1" applyAlignment="1" applyProtection="1">
      <alignment vertical="top"/>
      <protection locked="0"/>
    </xf>
    <xf numFmtId="49" fontId="3" fillId="4" borderId="5" xfId="0" applyNumberFormat="1" applyFont="1" applyFill="1" applyBorder="1" applyAlignment="1">
      <alignment vertical="top"/>
    </xf>
    <xf numFmtId="49" fontId="3" fillId="4" borderId="5" xfId="0" applyNumberFormat="1" applyFont="1" applyFill="1" applyBorder="1" applyAlignment="1">
      <alignment vertical="top" wrapText="1"/>
    </xf>
    <xf numFmtId="49" fontId="0" fillId="5" borderId="1" xfId="0" applyNumberFormat="1" applyFill="1" applyBorder="1" applyAlignment="1">
      <alignment vertical="top" wrapText="1"/>
    </xf>
    <xf numFmtId="2" fontId="0" fillId="5" borderId="1" xfId="0" applyNumberFormat="1" applyFill="1" applyBorder="1" applyAlignment="1">
      <alignment vertical="top"/>
    </xf>
    <xf numFmtId="49" fontId="3" fillId="4" borderId="1" xfId="0" applyNumberFormat="1" applyFont="1" applyFill="1" applyBorder="1" applyAlignment="1">
      <alignment horizontal="left" vertical="top"/>
    </xf>
    <xf numFmtId="49" fontId="0" fillId="5" borderId="1" xfId="0" quotePrefix="1" applyNumberFormat="1" applyFill="1" applyBorder="1" applyAlignment="1">
      <alignment vertical="top"/>
    </xf>
    <xf numFmtId="49" fontId="3" fillId="4" borderId="7" xfId="0" applyNumberFormat="1" applyFont="1" applyFill="1" applyBorder="1" applyAlignment="1">
      <alignment vertical="top"/>
    </xf>
    <xf numFmtId="49" fontId="3" fillId="4" borderId="11" xfId="0" applyNumberFormat="1" applyFont="1" applyFill="1" applyBorder="1" applyAlignment="1">
      <alignment vertical="top" wrapText="1"/>
    </xf>
    <xf numFmtId="49" fontId="3" fillId="4" borderId="11" xfId="0" applyNumberFormat="1" applyFont="1" applyFill="1" applyBorder="1" applyAlignment="1">
      <alignment vertical="top"/>
    </xf>
    <xf numFmtId="0" fontId="11" fillId="6" borderId="1" xfId="0" applyFont="1" applyFill="1" applyBorder="1" applyAlignment="1">
      <alignment horizontal="left" vertical="top" wrapText="1"/>
    </xf>
    <xf numFmtId="49" fontId="0" fillId="5" borderId="2" xfId="0" applyNumberFormat="1" applyFill="1" applyBorder="1" applyAlignment="1">
      <alignment vertical="top"/>
    </xf>
    <xf numFmtId="0" fontId="11" fillId="6" borderId="2" xfId="0" applyFont="1" applyFill="1" applyBorder="1" applyAlignment="1">
      <alignment horizontal="left" vertical="top" wrapText="1"/>
    </xf>
    <xf numFmtId="49" fontId="0" fillId="0" borderId="1" xfId="0" applyNumberFormat="1" applyBorder="1" applyAlignment="1">
      <alignment vertical="top"/>
    </xf>
    <xf numFmtId="49" fontId="0" fillId="0" borderId="1" xfId="0" applyNumberFormat="1" applyBorder="1" applyAlignment="1">
      <alignment vertical="top" wrapText="1"/>
    </xf>
    <xf numFmtId="0" fontId="0" fillId="18" borderId="1" xfId="0" applyFill="1" applyBorder="1" applyAlignment="1">
      <alignment horizontal="left" vertical="top"/>
    </xf>
    <xf numFmtId="164" fontId="0" fillId="18" borderId="1" xfId="0" applyNumberFormat="1" applyFill="1" applyBorder="1" applyAlignment="1">
      <alignment horizontal="left" vertical="top"/>
    </xf>
    <xf numFmtId="3" fontId="0" fillId="18" borderId="1" xfId="0" applyNumberFormat="1" applyFill="1" applyBorder="1" applyAlignment="1">
      <alignment horizontal="left" vertical="top"/>
    </xf>
    <xf numFmtId="2" fontId="0" fillId="18" borderId="1" xfId="0" applyNumberFormat="1" applyFill="1" applyBorder="1" applyAlignment="1">
      <alignment horizontal="left" vertical="top"/>
    </xf>
    <xf numFmtId="0" fontId="5" fillId="11" borderId="1" xfId="0" applyFont="1" applyFill="1" applyBorder="1" applyAlignment="1">
      <alignment horizontal="left"/>
    </xf>
    <xf numFmtId="0" fontId="5" fillId="12" borderId="1" xfId="0" applyFont="1" applyFill="1" applyBorder="1" applyAlignment="1">
      <alignment horizontal="left"/>
    </xf>
    <xf numFmtId="0" fontId="5" fillId="14" borderId="1" xfId="0" applyFont="1" applyFill="1" applyBorder="1" applyAlignment="1">
      <alignment horizontal="left"/>
    </xf>
    <xf numFmtId="0" fontId="9" fillId="18" borderId="1" xfId="0" applyFont="1" applyFill="1" applyBorder="1" applyAlignment="1">
      <alignment horizontal="left" vertical="top"/>
    </xf>
    <xf numFmtId="15" fontId="0" fillId="2" borderId="1" xfId="0" applyNumberFormat="1" applyFill="1" applyBorder="1" applyAlignment="1">
      <alignment horizontal="left" vertical="top"/>
    </xf>
    <xf numFmtId="164" fontId="0" fillId="2" borderId="1" xfId="0" applyNumberFormat="1" applyFill="1" applyBorder="1" applyAlignment="1">
      <alignment horizontal="left" vertical="top"/>
    </xf>
    <xf numFmtId="3" fontId="0" fillId="2" borderId="1" xfId="0" applyNumberFormat="1" applyFill="1" applyBorder="1" applyAlignment="1">
      <alignment horizontal="left" vertical="top"/>
    </xf>
    <xf numFmtId="0" fontId="9" fillId="2" borderId="1" xfId="0" applyFont="1" applyFill="1" applyBorder="1" applyAlignment="1">
      <alignment horizontal="left" vertical="top"/>
    </xf>
    <xf numFmtId="0" fontId="12" fillId="17" borderId="0" xfId="0" applyFont="1" applyFill="1"/>
    <xf numFmtId="0" fontId="13" fillId="17" borderId="0" xfId="0" applyFont="1" applyFill="1"/>
    <xf numFmtId="0" fontId="0" fillId="0" borderId="0" xfId="0" applyAlignment="1">
      <alignment wrapText="1"/>
    </xf>
    <xf numFmtId="49" fontId="0" fillId="4" borderId="5" xfId="0" applyNumberFormat="1" applyFont="1" applyFill="1" applyBorder="1" applyAlignment="1">
      <alignment vertical="top" wrapText="1"/>
    </xf>
    <xf numFmtId="49" fontId="0" fillId="4" borderId="1" xfId="0" applyNumberFormat="1" applyFont="1" applyFill="1" applyBorder="1" applyAlignment="1">
      <alignment vertical="top" wrapText="1"/>
    </xf>
    <xf numFmtId="2" fontId="0" fillId="19" borderId="1" xfId="0" applyNumberFormat="1" applyFont="1" applyFill="1" applyBorder="1" applyAlignment="1" applyProtection="1">
      <alignment vertical="top" wrapText="1"/>
      <protection locked="0"/>
    </xf>
    <xf numFmtId="49" fontId="0" fillId="19" borderId="1" xfId="0" applyNumberFormat="1" applyFont="1" applyFill="1" applyBorder="1" applyAlignment="1">
      <alignment vertical="top" wrapText="1"/>
    </xf>
    <xf numFmtId="49" fontId="0" fillId="19" borderId="1" xfId="0" applyNumberFormat="1" applyFont="1" applyFill="1" applyBorder="1" applyAlignment="1" applyProtection="1">
      <alignment vertical="top" wrapText="1"/>
      <protection locked="0"/>
    </xf>
    <xf numFmtId="49" fontId="2" fillId="3" borderId="2" xfId="0" applyNumberFormat="1" applyFont="1" applyFill="1" applyBorder="1" applyAlignment="1">
      <alignment vertical="top" wrapText="1"/>
    </xf>
    <xf numFmtId="49" fontId="2" fillId="3" borderId="3" xfId="0" applyNumberFormat="1" applyFont="1" applyFill="1" applyBorder="1" applyAlignment="1">
      <alignment vertical="top" wrapText="1"/>
    </xf>
    <xf numFmtId="2" fontId="0" fillId="19" borderId="1" xfId="0" quotePrefix="1" applyNumberFormat="1" applyFont="1" applyFill="1" applyBorder="1" applyAlignment="1" applyProtection="1">
      <alignment vertical="top" wrapText="1"/>
      <protection locked="0"/>
    </xf>
    <xf numFmtId="0" fontId="5" fillId="0" borderId="0" xfId="0" applyFont="1"/>
    <xf numFmtId="0" fontId="0" fillId="3" borderId="1" xfId="0" applyFill="1" applyBorder="1"/>
    <xf numFmtId="0" fontId="0" fillId="19" borderId="1" xfId="0" applyFill="1" applyBorder="1"/>
    <xf numFmtId="49" fontId="3" fillId="4" borderId="1" xfId="0" applyNumberFormat="1" applyFont="1" applyFill="1" applyBorder="1" applyAlignment="1">
      <alignment vertical="top" wrapText="1"/>
    </xf>
    <xf numFmtId="0" fontId="14" fillId="0" borderId="0" xfId="0" applyFont="1"/>
    <xf numFmtId="0" fontId="15" fillId="19" borderId="1" xfId="2" applyFill="1" applyBorder="1"/>
    <xf numFmtId="49" fontId="5" fillId="4" borderId="1" xfId="0" applyNumberFormat="1" applyFont="1" applyFill="1" applyBorder="1" applyAlignment="1">
      <alignment vertical="top" wrapText="1"/>
    </xf>
    <xf numFmtId="0" fontId="0" fillId="19" borderId="1" xfId="0" quotePrefix="1" applyFill="1" applyBorder="1"/>
    <xf numFmtId="49" fontId="5" fillId="4" borderId="5" xfId="0" applyNumberFormat="1" applyFont="1" applyFill="1" applyBorder="1" applyAlignment="1">
      <alignment vertical="top" wrapText="1"/>
    </xf>
    <xf numFmtId="0" fontId="0" fillId="19" borderId="1" xfId="0" applyFont="1" applyFill="1" applyBorder="1"/>
    <xf numFmtId="0" fontId="0" fillId="19" borderId="1" xfId="0" applyFont="1" applyFill="1" applyBorder="1" applyAlignment="1">
      <alignment wrapText="1"/>
    </xf>
    <xf numFmtId="0" fontId="0" fillId="0" borderId="0" xfId="0" applyFont="1"/>
    <xf numFmtId="0" fontId="0" fillId="19" borderId="1" xfId="0" applyFont="1" applyFill="1" applyBorder="1" applyAlignment="1">
      <alignment horizontal="center"/>
    </xf>
    <xf numFmtId="49" fontId="3" fillId="4" borderId="7" xfId="0" applyNumberFormat="1" applyFont="1" applyFill="1" applyBorder="1" applyAlignment="1">
      <alignment vertical="top" wrapText="1"/>
    </xf>
    <xf numFmtId="49" fontId="14" fillId="16" borderId="1" xfId="0" applyNumberFormat="1" applyFont="1" applyFill="1" applyBorder="1" applyAlignment="1">
      <alignment vertical="top" wrapText="1"/>
    </xf>
    <xf numFmtId="0" fontId="0" fillId="19" borderId="2" xfId="0" applyFont="1" applyFill="1" applyBorder="1"/>
    <xf numFmtId="0" fontId="0" fillId="16" borderId="1" xfId="0" applyFont="1" applyFill="1" applyBorder="1"/>
    <xf numFmtId="0" fontId="3" fillId="0" borderId="0" xfId="0" applyFont="1"/>
    <xf numFmtId="0" fontId="0" fillId="19" borderId="1" xfId="0" applyFill="1" applyBorder="1" applyAlignment="1">
      <alignment horizontal="center"/>
    </xf>
    <xf numFmtId="2" fontId="0" fillId="22" borderId="1" xfId="0" applyNumberFormat="1" applyFont="1" applyFill="1" applyBorder="1" applyAlignment="1" applyProtection="1">
      <alignment vertical="top" wrapText="1"/>
      <protection locked="0"/>
    </xf>
    <xf numFmtId="0" fontId="0" fillId="23" borderId="0" xfId="0" applyFill="1"/>
    <xf numFmtId="0" fontId="2" fillId="23" borderId="0" xfId="0" applyFont="1" applyFill="1"/>
    <xf numFmtId="0" fontId="12" fillId="20" borderId="0" xfId="0" applyFont="1" applyFill="1" applyAlignment="1"/>
    <xf numFmtId="0" fontId="0" fillId="2" borderId="1" xfId="0" applyFill="1" applyBorder="1"/>
    <xf numFmtId="0" fontId="0" fillId="22" borderId="1" xfId="0" applyFill="1" applyBorder="1"/>
    <xf numFmtId="0" fontId="0" fillId="22" borderId="1" xfId="0" applyFill="1" applyBorder="1" applyAlignment="1">
      <alignment horizontal="right"/>
    </xf>
    <xf numFmtId="0" fontId="0" fillId="10" borderId="1" xfId="0" applyFill="1" applyBorder="1"/>
    <xf numFmtId="0" fontId="0" fillId="10" borderId="1" xfId="0" applyFill="1" applyBorder="1" applyAlignment="1">
      <alignment horizontal="right"/>
    </xf>
    <xf numFmtId="0" fontId="0" fillId="10" borderId="0" xfId="0" applyFill="1" applyBorder="1"/>
    <xf numFmtId="0" fontId="0" fillId="5" borderId="0" xfId="0" applyFill="1" applyBorder="1"/>
    <xf numFmtId="15" fontId="0" fillId="5" borderId="1" xfId="0" quotePrefix="1" applyNumberFormat="1" applyFill="1" applyBorder="1" applyAlignment="1">
      <alignment horizontal="left" wrapText="1"/>
    </xf>
    <xf numFmtId="49" fontId="5" fillId="22" borderId="1" xfId="0" applyNumberFormat="1" applyFont="1" applyFill="1" applyBorder="1" applyAlignment="1">
      <alignment horizontal="left" vertical="top"/>
    </xf>
    <xf numFmtId="0" fontId="0" fillId="16" borderId="1" xfId="0" applyFill="1" applyBorder="1"/>
    <xf numFmtId="0" fontId="0" fillId="16" borderId="1" xfId="0" applyFill="1" applyBorder="1" applyAlignment="1">
      <alignment horizontal="left" vertical="top"/>
    </xf>
    <xf numFmtId="164" fontId="0" fillId="16" borderId="1" xfId="0" applyNumberFormat="1" applyFill="1" applyBorder="1" applyAlignment="1">
      <alignment horizontal="left" vertical="top"/>
    </xf>
    <xf numFmtId="3" fontId="0" fillId="16" borderId="1" xfId="0" applyNumberFormat="1" applyFill="1" applyBorder="1" applyAlignment="1">
      <alignment horizontal="left" vertical="top"/>
    </xf>
    <xf numFmtId="2" fontId="0" fillId="16" borderId="1" xfId="0" applyNumberFormat="1" applyFill="1" applyBorder="1" applyAlignment="1">
      <alignment horizontal="left" vertical="top"/>
    </xf>
    <xf numFmtId="0" fontId="0" fillId="0" borderId="0" xfId="0" applyAlignment="1">
      <alignment vertical="top" wrapText="1"/>
    </xf>
    <xf numFmtId="0" fontId="0" fillId="16" borderId="1" xfId="0" applyFill="1" applyBorder="1" applyAlignment="1">
      <alignment wrapText="1"/>
    </xf>
    <xf numFmtId="4" fontId="0" fillId="0" borderId="0" xfId="0" applyNumberFormat="1"/>
    <xf numFmtId="49" fontId="5" fillId="2" borderId="1" xfId="0" applyNumberFormat="1" applyFont="1" applyFill="1" applyBorder="1" applyAlignment="1">
      <alignment horizontal="left" vertical="top"/>
    </xf>
    <xf numFmtId="0" fontId="5" fillId="3" borderId="10" xfId="0" applyFont="1" applyFill="1" applyBorder="1" applyAlignment="1">
      <alignment horizontal="left" vertical="top"/>
    </xf>
    <xf numFmtId="0" fontId="5" fillId="24" borderId="10" xfId="0" applyFont="1" applyFill="1" applyBorder="1" applyAlignment="1">
      <alignment horizontal="left"/>
    </xf>
    <xf numFmtId="0" fontId="5" fillId="24" borderId="6" xfId="0" applyFont="1" applyFill="1" applyBorder="1" applyAlignment="1">
      <alignment horizontal="left"/>
    </xf>
    <xf numFmtId="0" fontId="0" fillId="24" borderId="1" xfId="0" applyFill="1" applyBorder="1"/>
    <xf numFmtId="49" fontId="0" fillId="24" borderId="1" xfId="0" applyNumberFormat="1" applyFill="1" applyBorder="1"/>
    <xf numFmtId="15" fontId="0" fillId="24" borderId="1" xfId="0" applyNumberFormat="1" applyFill="1" applyBorder="1"/>
    <xf numFmtId="0" fontId="0" fillId="11" borderId="1" xfId="0" quotePrefix="1" applyFill="1" applyBorder="1" applyAlignment="1">
      <alignment horizontal="left" vertical="top"/>
    </xf>
    <xf numFmtId="0" fontId="0" fillId="11" borderId="1" xfId="0" quotePrefix="1" applyFill="1" applyBorder="1" applyAlignment="1">
      <alignment horizontal="left" vertical="top" wrapText="1"/>
    </xf>
    <xf numFmtId="0" fontId="0" fillId="0" borderId="1" xfId="0" quotePrefix="1" applyBorder="1"/>
    <xf numFmtId="0" fontId="5" fillId="15" borderId="0" xfId="0" applyFont="1" applyFill="1" applyAlignment="1">
      <alignment horizontal="left"/>
    </xf>
    <xf numFmtId="0" fontId="5" fillId="3" borderId="1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10" xfId="0" applyFont="1" applyFill="1" applyBorder="1" applyAlignment="1">
      <alignment horizontal="left" vertical="top"/>
    </xf>
    <xf numFmtId="0" fontId="0" fillId="5" borderId="1" xfId="0" applyFill="1" applyBorder="1" applyAlignment="1">
      <alignment wrapText="1"/>
    </xf>
    <xf numFmtId="49" fontId="0" fillId="2" borderId="1" xfId="0" applyNumberFormat="1" applyFill="1" applyBorder="1" applyAlignment="1">
      <alignment vertical="top"/>
    </xf>
    <xf numFmtId="0" fontId="0" fillId="0" borderId="0" xfId="0" quotePrefix="1" applyBorder="1"/>
    <xf numFmtId="0" fontId="17" fillId="0" borderId="0" xfId="0" applyFont="1" applyFill="1" applyBorder="1"/>
    <xf numFmtId="49" fontId="17" fillId="0" borderId="0" xfId="0" applyNumberFormat="1" applyFont="1" applyFill="1" applyBorder="1" applyAlignment="1">
      <alignment vertical="top"/>
    </xf>
    <xf numFmtId="49" fontId="18" fillId="27" borderId="5" xfId="0" applyNumberFormat="1" applyFont="1" applyFill="1" applyBorder="1" applyAlignment="1">
      <alignment vertical="top"/>
    </xf>
    <xf numFmtId="49" fontId="18" fillId="27" borderId="5" xfId="0" applyNumberFormat="1" applyFont="1" applyFill="1" applyBorder="1" applyAlignment="1">
      <alignment vertical="top" wrapText="1"/>
    </xf>
    <xf numFmtId="49" fontId="18" fillId="27" borderId="1" xfId="0" applyNumberFormat="1" applyFont="1" applyFill="1" applyBorder="1" applyAlignment="1">
      <alignment vertical="top"/>
    </xf>
    <xf numFmtId="49" fontId="0" fillId="5" borderId="0" xfId="0" applyNumberFormat="1" applyFill="1" applyBorder="1" applyAlignment="1">
      <alignment vertical="top"/>
    </xf>
    <xf numFmtId="49" fontId="0" fillId="0" borderId="0" xfId="0" applyNumberFormat="1" applyBorder="1" applyAlignment="1">
      <alignment vertical="top"/>
    </xf>
    <xf numFmtId="49" fontId="0" fillId="0" borderId="0" xfId="0" applyNumberFormat="1" applyBorder="1" applyAlignment="1">
      <alignment vertical="top" wrapText="1"/>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5" fillId="3" borderId="10" xfId="0" applyFont="1" applyFill="1" applyBorder="1" applyAlignment="1">
      <alignment horizontal="left" vertical="top"/>
    </xf>
    <xf numFmtId="0" fontId="0" fillId="28" borderId="1" xfId="0" applyFill="1" applyBorder="1" applyAlignment="1">
      <alignment horizontal="left"/>
    </xf>
    <xf numFmtId="0" fontId="0" fillId="5" borderId="1" xfId="0" applyNumberFormat="1" applyFill="1" applyBorder="1"/>
    <xf numFmtId="0" fontId="0" fillId="29" borderId="1" xfId="0" applyFill="1" applyBorder="1"/>
    <xf numFmtId="166" fontId="0" fillId="29" borderId="1" xfId="0" applyNumberFormat="1" applyFill="1" applyBorder="1"/>
    <xf numFmtId="166" fontId="0" fillId="5" borderId="1" xfId="0" applyNumberFormat="1" applyFill="1" applyBorder="1"/>
    <xf numFmtId="0" fontId="0" fillId="24" borderId="1" xfId="0" applyFill="1" applyBorder="1" applyAlignment="1">
      <alignment wrapText="1"/>
    </xf>
    <xf numFmtId="0" fontId="5" fillId="30" borderId="1" xfId="0" applyFont="1" applyFill="1" applyBorder="1" applyAlignment="1">
      <alignment horizontal="left" vertical="top"/>
    </xf>
    <xf numFmtId="3" fontId="5" fillId="30" borderId="1" xfId="0" applyNumberFormat="1" applyFont="1" applyFill="1" applyBorder="1" applyAlignment="1">
      <alignment horizontal="left" vertical="top"/>
    </xf>
    <xf numFmtId="165" fontId="5" fillId="30" borderId="1" xfId="0" applyNumberFormat="1" applyFont="1" applyFill="1" applyBorder="1" applyAlignment="1">
      <alignment horizontal="left" vertical="top"/>
    </xf>
    <xf numFmtId="164" fontId="5" fillId="30" borderId="1" xfId="0" applyNumberFormat="1" applyFont="1" applyFill="1" applyBorder="1" applyAlignment="1">
      <alignment horizontal="left" vertical="top"/>
    </xf>
    <xf numFmtId="0" fontId="0" fillId="30" borderId="1" xfId="0" applyFill="1" applyBorder="1" applyAlignment="1">
      <alignment horizontal="left" vertical="top"/>
    </xf>
    <xf numFmtId="3" fontId="0" fillId="30" borderId="1" xfId="0" applyNumberFormat="1" applyFill="1" applyBorder="1" applyAlignment="1">
      <alignment horizontal="left" vertical="top"/>
    </xf>
    <xf numFmtId="165" fontId="0" fillId="30" borderId="1" xfId="0" applyNumberFormat="1" applyFill="1" applyBorder="1" applyAlignment="1">
      <alignment horizontal="left" vertical="top"/>
    </xf>
    <xf numFmtId="164" fontId="0" fillId="30" borderId="1" xfId="0" applyNumberFormat="1" applyFill="1" applyBorder="1" applyAlignment="1">
      <alignment horizontal="left" vertical="top"/>
    </xf>
    <xf numFmtId="0" fontId="5" fillId="13" borderId="1" xfId="0" applyFont="1" applyFill="1" applyBorder="1" applyAlignment="1">
      <alignment horizontal="left" vertical="top"/>
    </xf>
    <xf numFmtId="0" fontId="5" fillId="12" borderId="1" xfId="0" applyFont="1" applyFill="1" applyBorder="1" applyAlignment="1">
      <alignment horizontal="left" vertical="top"/>
    </xf>
    <xf numFmtId="3" fontId="5" fillId="12" borderId="1" xfId="0" applyNumberFormat="1" applyFont="1" applyFill="1" applyBorder="1" applyAlignment="1">
      <alignment horizontal="left" vertical="top"/>
    </xf>
    <xf numFmtId="164" fontId="5" fillId="12" borderId="1" xfId="0" applyNumberFormat="1" applyFont="1" applyFill="1" applyBorder="1" applyAlignment="1">
      <alignment horizontal="left" vertical="top"/>
    </xf>
    <xf numFmtId="0" fontId="0" fillId="12" borderId="1" xfId="0" quotePrefix="1" applyFill="1" applyBorder="1" applyAlignment="1">
      <alignment horizontal="left" vertical="top"/>
    </xf>
    <xf numFmtId="0" fontId="5" fillId="3" borderId="12" xfId="0" applyFont="1" applyFill="1" applyBorder="1" applyAlignment="1">
      <alignment horizontal="left" vertical="top"/>
    </xf>
    <xf numFmtId="0" fontId="5" fillId="3" borderId="13" xfId="0" applyFont="1" applyFill="1" applyBorder="1" applyAlignment="1">
      <alignment horizontal="left" vertical="top"/>
    </xf>
    <xf numFmtId="49" fontId="0" fillId="25" borderId="1" xfId="0" applyNumberFormat="1" applyFill="1" applyBorder="1" applyAlignment="1">
      <alignment vertical="top"/>
    </xf>
    <xf numFmtId="165" fontId="0" fillId="31" borderId="1" xfId="0" applyNumberFormat="1" applyFill="1" applyBorder="1"/>
    <xf numFmtId="167" fontId="0" fillId="12" borderId="1" xfId="0" applyNumberFormat="1" applyFill="1" applyBorder="1"/>
    <xf numFmtId="4" fontId="0" fillId="5" borderId="1" xfId="0" applyNumberFormat="1" applyFill="1" applyBorder="1"/>
    <xf numFmtId="0" fontId="0" fillId="5" borderId="0" xfId="0" applyFill="1" applyBorder="1" applyAlignment="1">
      <alignment horizontal="left"/>
    </xf>
    <xf numFmtId="49" fontId="0" fillId="5" borderId="0" xfId="0" applyNumberFormat="1" applyFill="1" applyBorder="1" applyAlignment="1">
      <alignment horizontal="left"/>
    </xf>
    <xf numFmtId="0" fontId="5" fillId="32" borderId="1" xfId="0" applyFont="1" applyFill="1" applyBorder="1" applyAlignment="1">
      <alignment horizontal="left"/>
    </xf>
    <xf numFmtId="0" fontId="5" fillId="2" borderId="1" xfId="0" applyFont="1" applyFill="1" applyBorder="1" applyAlignment="1">
      <alignment horizontal="left"/>
    </xf>
    <xf numFmtId="0" fontId="5" fillId="32" borderId="2" xfId="0" applyFont="1" applyFill="1" applyBorder="1" applyAlignment="1">
      <alignment horizontal="left"/>
    </xf>
    <xf numFmtId="0" fontId="5" fillId="32" borderId="8" xfId="0" applyFont="1" applyFill="1" applyBorder="1" applyAlignment="1">
      <alignment horizontal="left"/>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5" fillId="3" borderId="10" xfId="0" applyFont="1" applyFill="1" applyBorder="1" applyAlignment="1">
      <alignment horizontal="left" vertical="top"/>
    </xf>
    <xf numFmtId="0" fontId="5" fillId="3" borderId="12" xfId="0" applyFont="1" applyFill="1" applyBorder="1" applyAlignment="1">
      <alignment horizontal="left" vertical="top"/>
    </xf>
    <xf numFmtId="0" fontId="0" fillId="0" borderId="8" xfId="0" applyBorder="1" applyAlignment="1">
      <alignment horizontal="left"/>
    </xf>
    <xf numFmtId="0" fontId="0" fillId="0" borderId="0" xfId="0" applyBorder="1" applyAlignment="1">
      <alignment horizontal="left"/>
    </xf>
    <xf numFmtId="0" fontId="5" fillId="3" borderId="10" xfId="0" applyFont="1" applyFill="1" applyBorder="1" applyAlignment="1">
      <alignment horizontal="left" vertical="top"/>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0" fillId="5" borderId="1" xfId="0" applyFill="1" applyBorder="1" applyAlignment="1">
      <alignment horizontal="left" vertical="top"/>
    </xf>
    <xf numFmtId="0" fontId="5" fillId="3" borderId="12" xfId="0" applyFont="1" applyFill="1" applyBorder="1" applyAlignment="1">
      <alignment horizontal="left" vertical="top"/>
    </xf>
    <xf numFmtId="49" fontId="0" fillId="5" borderId="1" xfId="0" quotePrefix="1" applyNumberFormat="1" applyFill="1" applyBorder="1" applyAlignment="1">
      <alignment wrapText="1"/>
    </xf>
    <xf numFmtId="15" fontId="0" fillId="5" borderId="1" xfId="0" quotePrefix="1" applyNumberFormat="1" applyFill="1" applyBorder="1" applyAlignment="1">
      <alignment wrapText="1"/>
    </xf>
    <xf numFmtId="0" fontId="0" fillId="9" borderId="1" xfId="0" applyFill="1" applyBorder="1" applyAlignment="1">
      <alignment horizontal="left" vertical="top"/>
    </xf>
    <xf numFmtId="0" fontId="0" fillId="9" borderId="1" xfId="0" quotePrefix="1" applyFill="1" applyBorder="1" applyAlignment="1">
      <alignment horizontal="left" vertical="top" wrapText="1"/>
    </xf>
    <xf numFmtId="165" fontId="0" fillId="9" borderId="1" xfId="0" applyNumberFormat="1" applyFill="1" applyBorder="1" applyAlignment="1">
      <alignment horizontal="left" vertical="top"/>
    </xf>
    <xf numFmtId="3" fontId="0" fillId="9" borderId="1" xfId="0" applyNumberFormat="1" applyFill="1" applyBorder="1" applyAlignment="1">
      <alignment horizontal="left" vertical="top"/>
    </xf>
    <xf numFmtId="164"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5" fillId="33" borderId="1" xfId="0" applyFont="1" applyFill="1" applyBorder="1" applyAlignment="1">
      <alignment horizontal="left"/>
    </xf>
    <xf numFmtId="0" fontId="0" fillId="9" borderId="1" xfId="0" quotePrefix="1" applyFill="1" applyBorder="1" applyAlignment="1">
      <alignment horizontal="left" vertical="top"/>
    </xf>
    <xf numFmtId="166" fontId="19" fillId="34" borderId="1" xfId="0" applyNumberFormat="1" applyFont="1" applyFill="1" applyBorder="1" applyAlignment="1">
      <alignment vertical="top"/>
    </xf>
    <xf numFmtId="49" fontId="17" fillId="34" borderId="1" xfId="0" applyNumberFormat="1" applyFont="1" applyFill="1" applyBorder="1" applyAlignment="1">
      <alignment vertical="top"/>
    </xf>
    <xf numFmtId="0" fontId="17" fillId="5" borderId="1" xfId="0" applyFont="1" applyFill="1" applyBorder="1"/>
    <xf numFmtId="0" fontId="17" fillId="5" borderId="0" xfId="0" applyFont="1" applyFill="1" applyBorder="1"/>
    <xf numFmtId="49" fontId="18" fillId="34" borderId="0" xfId="0" applyNumberFormat="1" applyFont="1" applyFill="1" applyBorder="1" applyAlignment="1">
      <alignment vertical="top"/>
    </xf>
    <xf numFmtId="15" fontId="0" fillId="5" borderId="1" xfId="0" quotePrefix="1" applyNumberFormat="1" applyFill="1" applyBorder="1"/>
    <xf numFmtId="0" fontId="0" fillId="0" borderId="0" xfId="0" applyNumberFormat="1"/>
    <xf numFmtId="168" fontId="0" fillId="0" borderId="1" xfId="0" applyNumberFormat="1" applyBorder="1" applyAlignment="1">
      <alignment horizontal="left"/>
    </xf>
    <xf numFmtId="18" fontId="0" fillId="0" borderId="1" xfId="0" applyNumberFormat="1" applyBorder="1" applyAlignment="1">
      <alignment horizontal="left"/>
    </xf>
    <xf numFmtId="49" fontId="0" fillId="22" borderId="0" xfId="0" applyNumberFormat="1" applyFill="1" applyAlignment="1">
      <alignment vertical="top"/>
    </xf>
    <xf numFmtId="49" fontId="10" fillId="22" borderId="0" xfId="0" applyNumberFormat="1" applyFont="1" applyFill="1" applyAlignment="1">
      <alignment vertical="top"/>
    </xf>
    <xf numFmtId="0" fontId="0" fillId="22" borderId="0" xfId="0" applyFill="1"/>
    <xf numFmtId="49" fontId="17" fillId="22" borderId="0" xfId="0" applyNumberFormat="1" applyFont="1" applyFill="1" applyBorder="1" applyAlignment="1">
      <alignment vertical="top"/>
    </xf>
    <xf numFmtId="0" fontId="17" fillId="22" borderId="0" xfId="0" applyFont="1" applyFill="1" applyBorder="1"/>
    <xf numFmtId="0" fontId="5" fillId="7" borderId="8" xfId="0" applyNumberFormat="1" applyFont="1" applyFill="1" applyBorder="1" applyAlignment="1">
      <alignment vertical="top"/>
    </xf>
    <xf numFmtId="0" fontId="5" fillId="7" borderId="0" xfId="0" applyNumberFormat="1" applyFont="1" applyFill="1" applyBorder="1" applyAlignment="1">
      <alignment vertical="top"/>
    </xf>
    <xf numFmtId="0" fontId="5" fillId="3" borderId="1" xfId="0" applyNumberFormat="1" applyFont="1" applyFill="1" applyBorder="1" applyAlignment="1">
      <alignment horizontal="left"/>
    </xf>
    <xf numFmtId="0" fontId="0" fillId="5" borderId="1" xfId="0" quotePrefix="1" applyNumberFormat="1" applyFill="1" applyBorder="1" applyAlignment="1">
      <alignment horizontal="left" wrapText="1"/>
    </xf>
    <xf numFmtId="166" fontId="0" fillId="5" borderId="1" xfId="0" applyNumberFormat="1" applyFill="1" applyBorder="1" applyAlignment="1">
      <alignment horizontal="left"/>
    </xf>
    <xf numFmtId="0" fontId="0" fillId="24" borderId="6" xfId="0" applyFill="1" applyBorder="1"/>
    <xf numFmtId="0" fontId="5" fillId="24" borderId="8" xfId="0" applyFont="1" applyFill="1" applyBorder="1" applyAlignment="1">
      <alignment vertical="top"/>
    </xf>
    <xf numFmtId="0" fontId="5" fillId="24" borderId="0" xfId="0" applyFont="1" applyFill="1" applyBorder="1" applyAlignment="1">
      <alignment vertical="top"/>
    </xf>
    <xf numFmtId="0" fontId="0" fillId="16" borderId="8" xfId="0" applyFill="1" applyBorder="1" applyAlignment="1">
      <alignment horizontal="left" wrapText="1"/>
    </xf>
    <xf numFmtId="49" fontId="0" fillId="16" borderId="0" xfId="0" quotePrefix="1" applyNumberFormat="1" applyFill="1" applyBorder="1" applyAlignment="1">
      <alignment horizontal="left" wrapText="1"/>
    </xf>
    <xf numFmtId="15" fontId="0" fillId="16" borderId="0" xfId="0" quotePrefix="1" applyNumberFormat="1" applyFill="1" applyBorder="1" applyAlignment="1">
      <alignment horizontal="left" wrapText="1"/>
    </xf>
    <xf numFmtId="0" fontId="0" fillId="16" borderId="0" xfId="0" applyFill="1"/>
    <xf numFmtId="0" fontId="5" fillId="22" borderId="1" xfId="0" applyFont="1" applyFill="1" applyBorder="1" applyAlignment="1">
      <alignment horizontal="left" vertical="top"/>
    </xf>
    <xf numFmtId="167" fontId="0" fillId="12" borderId="0" xfId="0" applyNumberFormat="1" applyFill="1" applyBorder="1"/>
    <xf numFmtId="49" fontId="0" fillId="12" borderId="0" xfId="0" applyNumberFormat="1" applyFill="1" applyBorder="1"/>
    <xf numFmtId="0" fontId="0" fillId="31" borderId="0" xfId="0" applyNumberFormat="1" applyFill="1" applyBorder="1" applyAlignment="1">
      <alignment horizontal="left"/>
    </xf>
    <xf numFmtId="0" fontId="0" fillId="5" borderId="0" xfId="0" applyNumberFormat="1" applyFill="1" applyBorder="1" applyAlignment="1">
      <alignment horizontal="left"/>
    </xf>
    <xf numFmtId="0" fontId="0" fillId="5" borderId="1" xfId="0" applyNumberFormat="1" applyFill="1" applyBorder="1" applyAlignment="1">
      <alignment horizontal="left"/>
    </xf>
    <xf numFmtId="0" fontId="0" fillId="31" borderId="1" xfId="0" applyNumberFormat="1" applyFill="1" applyBorder="1" applyAlignment="1">
      <alignment horizontal="left"/>
    </xf>
    <xf numFmtId="8" fontId="0" fillId="12" borderId="1" xfId="0" applyNumberFormat="1" applyFill="1" applyBorder="1"/>
    <xf numFmtId="0" fontId="5" fillId="30" borderId="1" xfId="0" applyNumberFormat="1" applyFont="1" applyFill="1" applyBorder="1" applyAlignment="1">
      <alignment horizontal="left" vertical="top"/>
    </xf>
    <xf numFmtId="164" fontId="0" fillId="12" borderId="1" xfId="0" applyNumberFormat="1" applyFill="1" applyBorder="1" applyAlignment="1">
      <alignment horizontal="left"/>
    </xf>
    <xf numFmtId="169" fontId="0" fillId="12" borderId="1" xfId="0" applyNumberFormat="1" applyFill="1" applyBorder="1" applyAlignment="1">
      <alignment horizontal="left"/>
    </xf>
    <xf numFmtId="0" fontId="0" fillId="5" borderId="1" xfId="3" applyNumberFormat="1" applyFont="1" applyFill="1" applyBorder="1" applyAlignment="1">
      <alignment horizontal="left" vertical="top"/>
    </xf>
    <xf numFmtId="2" fontId="0" fillId="22" borderId="0" xfId="0" applyNumberFormat="1" applyFill="1" applyBorder="1" applyAlignment="1">
      <alignment horizontal="left"/>
    </xf>
    <xf numFmtId="49" fontId="0" fillId="22" borderId="1" xfId="0" applyNumberFormat="1" applyFill="1" applyBorder="1" applyAlignment="1">
      <alignment horizontal="left"/>
    </xf>
    <xf numFmtId="49" fontId="0" fillId="31" borderId="1" xfId="0" applyNumberFormat="1" applyFill="1" applyBorder="1" applyAlignment="1">
      <alignment horizontal="left"/>
    </xf>
    <xf numFmtId="49" fontId="0" fillId="19" borderId="1" xfId="0" applyNumberFormat="1" applyFill="1" applyBorder="1" applyAlignment="1">
      <alignment horizontal="left"/>
    </xf>
    <xf numFmtId="49" fontId="0" fillId="19" borderId="2" xfId="0" applyNumberFormat="1" applyFill="1" applyBorder="1" applyAlignment="1">
      <alignment horizontal="left"/>
    </xf>
    <xf numFmtId="49" fontId="0" fillId="0" borderId="1" xfId="0" applyNumberFormat="1" applyBorder="1"/>
    <xf numFmtId="49" fontId="0" fillId="31" borderId="1" xfId="0" applyNumberFormat="1" applyFill="1" applyBorder="1"/>
    <xf numFmtId="49" fontId="0" fillId="12" borderId="1" xfId="0" applyNumberFormat="1" applyFill="1" applyBorder="1"/>
    <xf numFmtId="49" fontId="0" fillId="33" borderId="1" xfId="0" applyNumberFormat="1" applyFill="1" applyBorder="1"/>
    <xf numFmtId="49" fontId="5" fillId="33" borderId="1" xfId="0" applyNumberFormat="1" applyFont="1" applyFill="1" applyBorder="1" applyAlignment="1">
      <alignment horizontal="left"/>
    </xf>
    <xf numFmtId="49" fontId="0" fillId="0" borderId="0" xfId="0" applyNumberFormat="1"/>
    <xf numFmtId="49" fontId="0" fillId="0" borderId="1" xfId="0" quotePrefix="1" applyNumberFormat="1" applyBorder="1"/>
    <xf numFmtId="49" fontId="0" fillId="22" borderId="1" xfId="0" applyNumberFormat="1" applyFill="1" applyBorder="1"/>
    <xf numFmtId="49" fontId="0" fillId="22" borderId="0" xfId="0" applyNumberFormat="1" applyFill="1"/>
    <xf numFmtId="0" fontId="5" fillId="33" borderId="1" xfId="0" applyNumberFormat="1" applyFont="1" applyFill="1" applyBorder="1" applyAlignment="1">
      <alignment horizontal="left"/>
    </xf>
    <xf numFmtId="49" fontId="0" fillId="30" borderId="1" xfId="0" applyNumberFormat="1" applyFill="1" applyBorder="1" applyAlignment="1">
      <alignment horizontal="left" vertical="top"/>
    </xf>
    <xf numFmtId="0" fontId="0" fillId="0" borderId="0" xfId="0" applyAlignment="1">
      <alignment horizontal="left"/>
    </xf>
    <xf numFmtId="49" fontId="0" fillId="33" borderId="1" xfId="0" applyNumberFormat="1" applyFont="1" applyFill="1" applyBorder="1" applyAlignment="1">
      <alignment horizontal="left"/>
    </xf>
    <xf numFmtId="8" fontId="0" fillId="0" borderId="0" xfId="0" applyNumberFormat="1"/>
    <xf numFmtId="49" fontId="0" fillId="22" borderId="0" xfId="0" applyNumberFormat="1" applyFill="1" applyAlignment="1">
      <alignment horizontal="left"/>
    </xf>
    <xf numFmtId="49" fontId="0" fillId="22" borderId="1" xfId="0" applyNumberFormat="1" applyFill="1" applyBorder="1" applyAlignment="1">
      <alignment horizontal="left" vertical="top"/>
    </xf>
    <xf numFmtId="0" fontId="0" fillId="22" borderId="0" xfId="0" applyNumberFormat="1" applyFill="1" applyAlignment="1">
      <alignment horizontal="left"/>
    </xf>
    <xf numFmtId="49" fontId="0" fillId="22" borderId="1" xfId="0" quotePrefix="1" applyNumberFormat="1" applyFill="1" applyBorder="1" applyAlignment="1">
      <alignment horizontal="left" wrapText="1"/>
    </xf>
    <xf numFmtId="8" fontId="0" fillId="0" borderId="0" xfId="0" applyNumberFormat="1" applyAlignment="1">
      <alignment horizontal="left"/>
    </xf>
    <xf numFmtId="0" fontId="5" fillId="35" borderId="1" xfId="0" applyFont="1" applyFill="1" applyBorder="1" applyAlignment="1">
      <alignment horizontal="left"/>
    </xf>
    <xf numFmtId="0" fontId="5" fillId="35" borderId="2" xfId="0" applyFont="1" applyFill="1" applyBorder="1" applyAlignment="1">
      <alignment horizontal="left"/>
    </xf>
    <xf numFmtId="0" fontId="5" fillId="35" borderId="3" xfId="0" applyFont="1" applyFill="1" applyBorder="1" applyAlignment="1">
      <alignment horizontal="center"/>
    </xf>
    <xf numFmtId="0" fontId="5" fillId="35" borderId="2" xfId="0" applyFont="1" applyFill="1" applyBorder="1" applyAlignment="1">
      <alignment vertical="top"/>
    </xf>
    <xf numFmtId="0" fontId="5" fillId="35" borderId="3" xfId="0" applyFont="1" applyFill="1" applyBorder="1" applyAlignment="1">
      <alignment vertical="top"/>
    </xf>
    <xf numFmtId="49" fontId="0" fillId="4" borderId="1" xfId="0" applyNumberFormat="1" applyFill="1" applyBorder="1" applyAlignment="1">
      <alignment horizontal="left" vertical="top"/>
    </xf>
    <xf numFmtId="0" fontId="5" fillId="4" borderId="1" xfId="0" applyFont="1" applyFill="1" applyBorder="1" applyAlignment="1">
      <alignment horizontal="left"/>
    </xf>
    <xf numFmtId="0" fontId="5" fillId="4" borderId="6" xfId="0" applyFont="1" applyFill="1" applyBorder="1" applyAlignment="1">
      <alignment horizontal="left"/>
    </xf>
    <xf numFmtId="0" fontId="0" fillId="36" borderId="6" xfId="0" applyFill="1" applyBorder="1"/>
    <xf numFmtId="0" fontId="5" fillId="10" borderId="6" xfId="0" applyFont="1" applyFill="1" applyBorder="1" applyAlignment="1">
      <alignment horizontal="left"/>
    </xf>
    <xf numFmtId="0" fontId="0" fillId="10" borderId="6" xfId="0" applyFill="1" applyBorder="1"/>
    <xf numFmtId="0" fontId="4" fillId="5" borderId="1" xfId="0" applyNumberFormat="1" applyFont="1" applyFill="1" applyBorder="1" applyAlignment="1">
      <alignment horizontal="left"/>
    </xf>
    <xf numFmtId="0" fontId="0" fillId="5" borderId="1" xfId="0" applyNumberFormat="1" applyFill="1" applyBorder="1" applyAlignment="1">
      <alignment vertical="top"/>
    </xf>
    <xf numFmtId="49" fontId="3" fillId="3" borderId="2" xfId="0" applyNumberFormat="1" applyFont="1" applyFill="1" applyBorder="1" applyAlignment="1">
      <alignment horizontal="left" vertical="top" wrapText="1"/>
    </xf>
    <xf numFmtId="49" fontId="2" fillId="3" borderId="3" xfId="0" applyNumberFormat="1" applyFont="1" applyFill="1" applyBorder="1" applyAlignment="1">
      <alignment horizontal="left" vertical="top" wrapText="1"/>
    </xf>
    <xf numFmtId="49" fontId="2" fillId="3" borderId="4" xfId="0" applyNumberFormat="1" applyFont="1" applyFill="1" applyBorder="1" applyAlignment="1">
      <alignment horizontal="left" vertical="top" wrapText="1"/>
    </xf>
    <xf numFmtId="49" fontId="12" fillId="21" borderId="2" xfId="0" applyNumberFormat="1" applyFont="1" applyFill="1" applyBorder="1" applyAlignment="1">
      <alignment horizontal="left" vertical="top" wrapText="1"/>
    </xf>
    <xf numFmtId="49" fontId="12" fillId="21" borderId="3" xfId="0" applyNumberFormat="1" applyFont="1" applyFill="1" applyBorder="1" applyAlignment="1">
      <alignment horizontal="left" vertical="top" wrapText="1"/>
    </xf>
    <xf numFmtId="49" fontId="12" fillId="21" borderId="4" xfId="0" applyNumberFormat="1" applyFont="1" applyFill="1" applyBorder="1" applyAlignment="1">
      <alignment horizontal="left" vertical="top" wrapText="1"/>
    </xf>
    <xf numFmtId="49" fontId="2" fillId="3" borderId="2" xfId="0" applyNumberFormat="1" applyFont="1" applyFill="1" applyBorder="1" applyAlignment="1">
      <alignment horizontal="left" vertical="top" wrapText="1"/>
    </xf>
    <xf numFmtId="0" fontId="5" fillId="33" borderId="1" xfId="0" applyFont="1" applyFill="1" applyBorder="1" applyAlignment="1">
      <alignment horizontal="center" vertical="top"/>
    </xf>
    <xf numFmtId="0" fontId="5" fillId="33" borderId="1" xfId="0" applyFont="1" applyFill="1" applyBorder="1" applyAlignment="1">
      <alignment horizontal="center"/>
    </xf>
    <xf numFmtId="0" fontId="5" fillId="7" borderId="8" xfId="0" applyFont="1" applyFill="1" applyBorder="1" applyAlignment="1">
      <alignment horizontal="left" vertical="top"/>
    </xf>
    <xf numFmtId="0" fontId="5" fillId="7" borderId="0" xfId="0" applyFont="1" applyFill="1" applyBorder="1" applyAlignment="1">
      <alignment horizontal="left" vertical="top"/>
    </xf>
    <xf numFmtId="0" fontId="5" fillId="3" borderId="8" xfId="0" applyFont="1" applyFill="1" applyBorder="1" applyAlignment="1">
      <alignment horizontal="left" vertical="top"/>
    </xf>
    <xf numFmtId="0" fontId="5" fillId="3" borderId="7" xfId="0" applyFont="1" applyFill="1" applyBorder="1" applyAlignment="1">
      <alignment horizontal="left" vertical="top"/>
    </xf>
    <xf numFmtId="0" fontId="5" fillId="3" borderId="0" xfId="0" applyFont="1" applyFill="1" applyBorder="1" applyAlignment="1">
      <alignment horizontal="left" vertical="top"/>
    </xf>
    <xf numFmtId="0" fontId="5" fillId="3" borderId="9" xfId="0" applyFont="1" applyFill="1" applyBorder="1" applyAlignment="1">
      <alignment horizontal="left" vertical="top"/>
    </xf>
    <xf numFmtId="0" fontId="5" fillId="31" borderId="9" xfId="0" applyFont="1" applyFill="1" applyBorder="1" applyAlignment="1">
      <alignment horizontal="center" vertical="top"/>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32" borderId="2" xfId="0" applyFont="1" applyFill="1" applyBorder="1" applyAlignment="1">
      <alignment horizontal="center"/>
    </xf>
    <xf numFmtId="0" fontId="5" fillId="32" borderId="3" xfId="0" applyFont="1" applyFill="1" applyBorder="1" applyAlignment="1">
      <alignment horizontal="center"/>
    </xf>
    <xf numFmtId="0" fontId="5" fillId="32" borderId="4" xfId="0" applyFont="1" applyFill="1" applyBorder="1" applyAlignment="1">
      <alignment horizontal="center"/>
    </xf>
    <xf numFmtId="0" fontId="5" fillId="3" borderId="10" xfId="0" applyFont="1" applyFill="1" applyBorder="1" applyAlignment="1">
      <alignment horizontal="left" vertical="top" wrapText="1"/>
    </xf>
    <xf numFmtId="0" fontId="5" fillId="3" borderId="6" xfId="0" applyFont="1" applyFill="1" applyBorder="1" applyAlignment="1">
      <alignment horizontal="left" vertical="top" wrapText="1"/>
    </xf>
    <xf numFmtId="0" fontId="0" fillId="5" borderId="1" xfId="0" applyFill="1" applyBorder="1" applyAlignment="1">
      <alignment horizontal="left" vertical="top"/>
    </xf>
    <xf numFmtId="0" fontId="5" fillId="31" borderId="1" xfId="0" applyFont="1" applyFill="1" applyBorder="1" applyAlignment="1">
      <alignment horizontal="center" vertical="top"/>
    </xf>
    <xf numFmtId="0" fontId="5" fillId="12" borderId="7" xfId="0" applyFont="1" applyFill="1" applyBorder="1" applyAlignment="1">
      <alignment horizontal="center" vertical="top"/>
    </xf>
    <xf numFmtId="0" fontId="5" fillId="12" borderId="9" xfId="0" applyFont="1" applyFill="1" applyBorder="1" applyAlignment="1">
      <alignment horizontal="center" vertical="top"/>
    </xf>
    <xf numFmtId="0" fontId="5" fillId="5" borderId="1" xfId="0" applyFont="1" applyFill="1" applyBorder="1" applyAlignment="1">
      <alignment horizontal="left" vertical="top"/>
    </xf>
    <xf numFmtId="0" fontId="5" fillId="2" borderId="1" xfId="0" applyFont="1" applyFill="1" applyBorder="1" applyAlignment="1">
      <alignment horizontal="center" vertical="top"/>
    </xf>
    <xf numFmtId="0" fontId="5" fillId="32" borderId="1" xfId="0" applyFont="1" applyFill="1" applyBorder="1" applyAlignment="1">
      <alignment horizontal="center" vertical="top"/>
    </xf>
    <xf numFmtId="0" fontId="5" fillId="32" borderId="2" xfId="0" applyFont="1" applyFill="1" applyBorder="1" applyAlignment="1">
      <alignment horizontal="center" vertical="top"/>
    </xf>
    <xf numFmtId="0" fontId="5" fillId="7" borderId="7" xfId="0" applyFont="1" applyFill="1" applyBorder="1" applyAlignment="1">
      <alignment horizontal="left" vertical="top"/>
    </xf>
    <xf numFmtId="0" fontId="5" fillId="7" borderId="9" xfId="0" applyFont="1" applyFill="1" applyBorder="1" applyAlignment="1">
      <alignment horizontal="left" vertical="top"/>
    </xf>
    <xf numFmtId="0" fontId="5" fillId="3" borderId="12" xfId="0" applyFont="1" applyFill="1" applyBorder="1" applyAlignment="1">
      <alignment horizontal="left" vertical="top"/>
    </xf>
    <xf numFmtId="0" fontId="5" fillId="3" borderId="14" xfId="0" applyFont="1" applyFill="1" applyBorder="1" applyAlignment="1">
      <alignment horizontal="left" vertical="top"/>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1" borderId="3" xfId="0" applyFont="1" applyFill="1" applyBorder="1" applyAlignment="1">
      <alignment horizontal="center" vertical="top"/>
    </xf>
    <xf numFmtId="0" fontId="5" fillId="7" borderId="3" xfId="0" applyFont="1" applyFill="1" applyBorder="1" applyAlignment="1">
      <alignment horizontal="center" vertical="top"/>
    </xf>
    <xf numFmtId="49" fontId="16" fillId="26" borderId="2" xfId="0" applyNumberFormat="1" applyFont="1" applyFill="1" applyBorder="1" applyAlignment="1">
      <alignment horizontal="left" vertical="top"/>
    </xf>
    <xf numFmtId="49" fontId="16" fillId="26" borderId="3" xfId="0" applyNumberFormat="1" applyFont="1" applyFill="1" applyBorder="1" applyAlignment="1">
      <alignment horizontal="left" vertical="top"/>
    </xf>
    <xf numFmtId="49" fontId="16" fillId="26" borderId="4" xfId="0" applyNumberFormat="1" applyFont="1" applyFill="1" applyBorder="1" applyAlignment="1">
      <alignment horizontal="left" vertical="top"/>
    </xf>
    <xf numFmtId="0" fontId="20" fillId="15" borderId="0" xfId="0" applyFont="1" applyFill="1" applyAlignment="1">
      <alignment horizontal="left"/>
    </xf>
    <xf numFmtId="49" fontId="1" fillId="17" borderId="1" xfId="0" applyNumberFormat="1" applyFont="1" applyFill="1" applyBorder="1" applyAlignment="1">
      <alignment horizontal="center" vertical="center"/>
    </xf>
    <xf numFmtId="49" fontId="2" fillId="3" borderId="2" xfId="0" applyNumberFormat="1" applyFont="1" applyFill="1" applyBorder="1" applyAlignment="1">
      <alignment horizontal="left" vertical="top"/>
    </xf>
    <xf numFmtId="49" fontId="2" fillId="3" borderId="3" xfId="0" applyNumberFormat="1" applyFont="1" applyFill="1" applyBorder="1" applyAlignment="1">
      <alignment horizontal="left" vertical="top"/>
    </xf>
    <xf numFmtId="49" fontId="2" fillId="3" borderId="4" xfId="0" applyNumberFormat="1" applyFont="1" applyFill="1" applyBorder="1" applyAlignment="1">
      <alignment horizontal="left" vertical="top"/>
    </xf>
    <xf numFmtId="49" fontId="2" fillId="3" borderId="1" xfId="0" applyNumberFormat="1" applyFont="1" applyFill="1" applyBorder="1" applyAlignment="1">
      <alignment horizontal="left" vertical="top"/>
    </xf>
    <xf numFmtId="49" fontId="2" fillId="3" borderId="8" xfId="0" applyNumberFormat="1" applyFont="1" applyFill="1" applyBorder="1" applyAlignment="1">
      <alignment horizontal="left" vertical="top"/>
    </xf>
    <xf numFmtId="49" fontId="2" fillId="3" borderId="0" xfId="0" applyNumberFormat="1" applyFont="1" applyFill="1" applyBorder="1" applyAlignment="1">
      <alignment horizontal="left" vertical="top"/>
    </xf>
    <xf numFmtId="0" fontId="5" fillId="7" borderId="1" xfId="0" applyFont="1" applyFill="1" applyBorder="1" applyAlignment="1">
      <alignment vertical="top"/>
    </xf>
    <xf numFmtId="0" fontId="1" fillId="8" borderId="0" xfId="0" applyFont="1" applyFill="1" applyAlignment="1">
      <alignment horizontal="left" vertical="top"/>
    </xf>
    <xf numFmtId="49" fontId="2" fillId="3" borderId="1" xfId="0" applyNumberFormat="1" applyFont="1" applyFill="1" applyBorder="1" applyAlignment="1">
      <alignment vertical="top"/>
    </xf>
    <xf numFmtId="0" fontId="5" fillId="35" borderId="2" xfId="0" applyFont="1" applyFill="1" applyBorder="1" applyAlignment="1">
      <alignment horizontal="center"/>
    </xf>
    <xf numFmtId="0" fontId="5" fillId="35" borderId="3" xfId="0" applyFont="1" applyFill="1" applyBorder="1" applyAlignment="1">
      <alignment horizontal="center"/>
    </xf>
    <xf numFmtId="0" fontId="5" fillId="35" borderId="4" xfId="0" applyFont="1" applyFill="1" applyBorder="1" applyAlignment="1">
      <alignment horizontal="center"/>
    </xf>
    <xf numFmtId="0" fontId="5" fillId="3" borderId="10" xfId="0" applyFont="1" applyFill="1" applyBorder="1" applyAlignment="1">
      <alignment horizontal="left" vertical="top"/>
    </xf>
    <xf numFmtId="0" fontId="5" fillId="3" borderId="5" xfId="0" applyFont="1" applyFill="1" applyBorder="1" applyAlignment="1">
      <alignment horizontal="left" vertical="top"/>
    </xf>
    <xf numFmtId="0" fontId="5" fillId="24" borderId="0" xfId="0" applyFont="1" applyFill="1" applyAlignment="1">
      <alignment horizontal="center"/>
    </xf>
    <xf numFmtId="0" fontId="5" fillId="15" borderId="0" xfId="0" applyFont="1" applyFill="1" applyAlignment="1">
      <alignment horizontal="left"/>
    </xf>
    <xf numFmtId="0" fontId="5" fillId="30" borderId="1" xfId="0" applyFont="1" applyFill="1" applyBorder="1" applyAlignment="1">
      <alignment horizontal="center"/>
    </xf>
    <xf numFmtId="0" fontId="5" fillId="31" borderId="2" xfId="0" applyFont="1" applyFill="1" applyBorder="1" applyAlignment="1">
      <alignment horizontal="center" vertical="top"/>
    </xf>
    <xf numFmtId="0" fontId="5" fillId="31" borderId="4" xfId="0" applyFont="1" applyFill="1" applyBorder="1" applyAlignment="1">
      <alignment horizontal="center" vertical="top"/>
    </xf>
    <xf numFmtId="0" fontId="5" fillId="12" borderId="2" xfId="0" applyFont="1" applyFill="1" applyBorder="1" applyAlignment="1">
      <alignment horizontal="center" vertical="top"/>
    </xf>
    <xf numFmtId="0" fontId="5" fillId="12" borderId="3" xfId="0" applyFont="1" applyFill="1" applyBorder="1" applyAlignment="1">
      <alignment horizontal="center" vertical="top"/>
    </xf>
    <xf numFmtId="0" fontId="5" fillId="12" borderId="4" xfId="0" applyFont="1" applyFill="1" applyBorder="1" applyAlignment="1">
      <alignment horizontal="center" vertical="top"/>
    </xf>
    <xf numFmtId="2" fontId="0" fillId="5" borderId="1" xfId="0" applyNumberFormat="1" applyFill="1" applyBorder="1" applyAlignment="1">
      <alignment horizontal="left" vertical="top" wrapText="1"/>
    </xf>
    <xf numFmtId="0" fontId="5" fillId="33" borderId="2" xfId="0" applyFont="1" applyFill="1" applyBorder="1" applyAlignment="1">
      <alignment horizontal="center"/>
    </xf>
    <xf numFmtId="0" fontId="5" fillId="33" borderId="3" xfId="0" applyFont="1" applyFill="1" applyBorder="1" applyAlignment="1">
      <alignment horizontal="center"/>
    </xf>
    <xf numFmtId="0" fontId="5" fillId="33" borderId="4" xfId="0" applyFont="1" applyFill="1" applyBorder="1" applyAlignment="1">
      <alignment horizontal="center"/>
    </xf>
    <xf numFmtId="0" fontId="5" fillId="35" borderId="2" xfId="0" applyFont="1" applyFill="1" applyBorder="1" applyAlignment="1">
      <alignment horizontal="center" vertical="top"/>
    </xf>
    <xf numFmtId="0" fontId="5" fillId="35" borderId="3" xfId="0" applyFont="1" applyFill="1" applyBorder="1" applyAlignment="1">
      <alignment horizontal="center" vertical="top"/>
    </xf>
    <xf numFmtId="0" fontId="5" fillId="35" borderId="4" xfId="0" applyFont="1" applyFill="1" applyBorder="1" applyAlignment="1">
      <alignment horizontal="center" vertical="top"/>
    </xf>
    <xf numFmtId="0" fontId="5" fillId="7" borderId="0" xfId="0" applyFont="1" applyFill="1" applyAlignment="1">
      <alignment horizontal="left"/>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11" borderId="2" xfId="0" applyFont="1" applyFill="1" applyBorder="1" applyAlignment="1">
      <alignment horizontal="center"/>
    </xf>
    <xf numFmtId="0" fontId="5" fillId="11" borderId="3" xfId="0" applyFont="1" applyFill="1" applyBorder="1" applyAlignment="1">
      <alignment horizontal="center"/>
    </xf>
    <xf numFmtId="0" fontId="5" fillId="11" borderId="4" xfId="0" applyFont="1" applyFill="1" applyBorder="1" applyAlignment="1">
      <alignment horizontal="center"/>
    </xf>
    <xf numFmtId="0" fontId="5" fillId="12" borderId="2" xfId="0" applyFont="1" applyFill="1" applyBorder="1" applyAlignment="1">
      <alignment horizontal="center"/>
    </xf>
    <xf numFmtId="0" fontId="5" fillId="12" borderId="3" xfId="0" applyFont="1" applyFill="1" applyBorder="1" applyAlignment="1">
      <alignment horizontal="center"/>
    </xf>
    <xf numFmtId="0" fontId="5" fillId="12" borderId="4" xfId="0" applyFont="1" applyFill="1" applyBorder="1" applyAlignment="1">
      <alignment horizontal="center"/>
    </xf>
    <xf numFmtId="0" fontId="5" fillId="14" borderId="2" xfId="0" applyFont="1" applyFill="1" applyBorder="1" applyAlignment="1">
      <alignment horizontal="center" vertical="center"/>
    </xf>
    <xf numFmtId="0" fontId="5" fillId="14" borderId="3" xfId="0" applyFont="1" applyFill="1" applyBorder="1" applyAlignment="1">
      <alignment horizontal="center" vertical="center"/>
    </xf>
    <xf numFmtId="0" fontId="5" fillId="14" borderId="4" xfId="0" applyFont="1" applyFill="1" applyBorder="1" applyAlignment="1">
      <alignment horizontal="center" vertical="center"/>
    </xf>
    <xf numFmtId="0" fontId="5" fillId="3" borderId="2" xfId="0" applyFont="1" applyFill="1" applyBorder="1" applyAlignment="1">
      <alignment horizontal="left" vertical="top"/>
    </xf>
    <xf numFmtId="0" fontId="5" fillId="3" borderId="3" xfId="0" applyFont="1" applyFill="1" applyBorder="1" applyAlignment="1">
      <alignment horizontal="left" vertical="top"/>
    </xf>
    <xf numFmtId="0" fontId="5" fillId="3" borderId="4" xfId="0" applyFont="1" applyFill="1" applyBorder="1" applyAlignment="1">
      <alignment horizontal="left" vertical="top"/>
    </xf>
  </cellXfs>
  <cellStyles count="4">
    <cellStyle name="Currency" xfId="3" builtinId="4"/>
    <cellStyle name="Hyperlink" xfId="2" builtinId="8"/>
    <cellStyle name="Normal" xfId="0" builtinId="0"/>
    <cellStyle name="Normal 2" xfId="1"/>
  </cellStyles>
  <dxfs count="0"/>
  <tableStyles count="0" defaultTableStyle="TableStyleMedium2" defaultPivotStyle="PivotStyleLight16"/>
  <colors>
    <mruColors>
      <color rgb="FFFFFF66"/>
      <color rgb="FFFFFF99"/>
      <color rgb="FF9AD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nju.k.kumari@oracle.com" TargetMode="External"/><Relationship Id="rId3" Type="http://schemas.openxmlformats.org/officeDocument/2006/relationships/hyperlink" Target="mailto:anju.k.kumari@oracle.com" TargetMode="External"/><Relationship Id="rId7" Type="http://schemas.openxmlformats.org/officeDocument/2006/relationships/hyperlink" Target="mailto:anju.k.kumari@oracle.com" TargetMode="External"/><Relationship Id="rId2" Type="http://schemas.openxmlformats.org/officeDocument/2006/relationships/hyperlink" Target="mailto:anju.k.kumari@oracle.com" TargetMode="External"/><Relationship Id="rId1" Type="http://schemas.openxmlformats.org/officeDocument/2006/relationships/hyperlink" Target="mailto:anju.k.kumari@oracle.com" TargetMode="External"/><Relationship Id="rId6" Type="http://schemas.openxmlformats.org/officeDocument/2006/relationships/hyperlink" Target="mailto:anju.k.kumari@oracle.com" TargetMode="External"/><Relationship Id="rId5" Type="http://schemas.openxmlformats.org/officeDocument/2006/relationships/hyperlink" Target="mailto:anju.k.kumari@oracle.com" TargetMode="External"/><Relationship Id="rId10" Type="http://schemas.openxmlformats.org/officeDocument/2006/relationships/printerSettings" Target="../printerSettings/printerSettings1.bin"/><Relationship Id="rId4" Type="http://schemas.openxmlformats.org/officeDocument/2006/relationships/hyperlink" Target="mailto:anju.k.kumari@oracle.com" TargetMode="External"/><Relationship Id="rId9" Type="http://schemas.openxmlformats.org/officeDocument/2006/relationships/hyperlink" Target="mailto:anju.k.kumari@oracle.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2"/>
  <sheetViews>
    <sheetView topLeftCell="A64" workbookViewId="0">
      <selection activeCell="C59" sqref="C59"/>
    </sheetView>
  </sheetViews>
  <sheetFormatPr defaultRowHeight="15" x14ac:dyDescent="0.25"/>
  <cols>
    <col min="1" max="1" width="20.140625" bestFit="1" customWidth="1" collapsed="1"/>
    <col min="2" max="2" width="29.140625" bestFit="1" customWidth="1" collapsed="1"/>
    <col min="3" max="3" width="25.85546875" bestFit="1" customWidth="1" collapsed="1"/>
    <col min="4" max="4" width="42.85546875" bestFit="1" customWidth="1" collapsed="1"/>
    <col min="5" max="5" width="17.5703125" bestFit="1" customWidth="1" collapsed="1"/>
    <col min="6" max="6" width="12.85546875" bestFit="1" customWidth="1" collapsed="1"/>
    <col min="7" max="7" width="11.42578125" bestFit="1" customWidth="1" collapsed="1"/>
    <col min="8" max="8" width="9.5703125" customWidth="1" collapsed="1"/>
    <col min="9" max="9" width="17.140625" bestFit="1" customWidth="1" collapsed="1"/>
    <col min="17" max="17" width="13.42578125" bestFit="1" customWidth="1" collapsed="1"/>
  </cols>
  <sheetData>
    <row r="1" spans="1:5" x14ac:dyDescent="0.25">
      <c r="A1" s="14" t="s">
        <v>10</v>
      </c>
      <c r="B1" s="9"/>
      <c r="C1" s="9"/>
      <c r="D1" s="9"/>
      <c r="E1" s="9"/>
    </row>
    <row r="2" spans="1:5" x14ac:dyDescent="0.25">
      <c r="A2" s="3" t="s">
        <v>14</v>
      </c>
      <c r="B2" s="9"/>
      <c r="C2" s="9"/>
      <c r="D2" s="9"/>
    </row>
    <row r="3" spans="1:5" x14ac:dyDescent="0.25">
      <c r="A3" s="14" t="s">
        <v>0</v>
      </c>
      <c r="B3" s="14" t="s">
        <v>11</v>
      </c>
      <c r="C3" s="14" t="s">
        <v>12</v>
      </c>
    </row>
    <row r="4" spans="1:5" x14ac:dyDescent="0.25">
      <c r="A4" s="3" t="s">
        <v>6</v>
      </c>
      <c r="B4" s="3" t="s">
        <v>13</v>
      </c>
      <c r="C4" s="3" t="s">
        <v>14</v>
      </c>
      <c r="D4" s="3"/>
    </row>
    <row r="5" spans="1:5" ht="15.75" x14ac:dyDescent="0.25">
      <c r="A5" s="16" t="s">
        <v>7</v>
      </c>
    </row>
    <row r="6" spans="1:5" x14ac:dyDescent="0.25">
      <c r="A6" s="14" t="s">
        <v>76</v>
      </c>
      <c r="B6" s="14" t="s">
        <v>77</v>
      </c>
      <c r="C6" s="14" t="s">
        <v>12</v>
      </c>
      <c r="D6" s="1"/>
    </row>
    <row r="7" spans="1:5" x14ac:dyDescent="0.25">
      <c r="A7" s="3" t="s">
        <v>8</v>
      </c>
      <c r="B7" s="3" t="s">
        <v>13</v>
      </c>
      <c r="C7" s="3" t="s">
        <v>78</v>
      </c>
      <c r="D7" s="3" t="s">
        <v>79</v>
      </c>
    </row>
    <row r="8" spans="1:5" x14ac:dyDescent="0.25">
      <c r="A8" s="3"/>
      <c r="B8" s="149"/>
      <c r="C8" s="149" t="s">
        <v>452</v>
      </c>
      <c r="D8" s="149" t="s">
        <v>453</v>
      </c>
    </row>
    <row r="9" spans="1:5" ht="15.75" x14ac:dyDescent="0.25">
      <c r="A9" s="11" t="s">
        <v>3</v>
      </c>
    </row>
    <row r="10" spans="1:5" x14ac:dyDescent="0.25">
      <c r="A10" s="3" t="s">
        <v>5</v>
      </c>
      <c r="B10" s="3" t="s">
        <v>15</v>
      </c>
    </row>
    <row r="12" spans="1:5" ht="15.75" x14ac:dyDescent="0.25">
      <c r="A12" s="11" t="s">
        <v>16</v>
      </c>
    </row>
    <row r="13" spans="1:5" x14ac:dyDescent="0.25">
      <c r="A13" s="14" t="s">
        <v>17</v>
      </c>
      <c r="B13" s="14" t="s">
        <v>18</v>
      </c>
      <c r="C13" s="14" t="s">
        <v>19</v>
      </c>
      <c r="D13" s="14" t="s">
        <v>20</v>
      </c>
    </row>
    <row r="14" spans="1:5" x14ac:dyDescent="0.25">
      <c r="A14" s="3" t="s">
        <v>21</v>
      </c>
      <c r="B14" s="3" t="s">
        <v>22</v>
      </c>
      <c r="C14" s="3"/>
      <c r="D14" s="3"/>
    </row>
    <row r="15" spans="1:5" x14ac:dyDescent="0.25">
      <c r="A15" s="3" t="s">
        <v>24</v>
      </c>
      <c r="B15" s="3" t="s">
        <v>22</v>
      </c>
      <c r="C15" s="3"/>
      <c r="D15" s="3"/>
    </row>
    <row r="16" spans="1:5" x14ac:dyDescent="0.25">
      <c r="A16" s="3"/>
      <c r="B16" s="3" t="s">
        <v>23</v>
      </c>
      <c r="C16" s="3"/>
      <c r="D16" s="3"/>
    </row>
    <row r="17" spans="1:9" x14ac:dyDescent="0.25">
      <c r="A17" s="3"/>
      <c r="B17" s="3" t="s">
        <v>25</v>
      </c>
      <c r="C17" s="3">
        <v>3000</v>
      </c>
      <c r="D17" s="3" t="s">
        <v>26</v>
      </c>
    </row>
    <row r="18" spans="1:9" x14ac:dyDescent="0.25">
      <c r="A18" s="3" t="s">
        <v>85</v>
      </c>
      <c r="B18" s="3"/>
      <c r="C18" s="3"/>
      <c r="D18" s="3"/>
    </row>
    <row r="19" spans="1:9" x14ac:dyDescent="0.25">
      <c r="A19" s="3" t="s">
        <v>30</v>
      </c>
      <c r="B19" s="3"/>
      <c r="C19" s="3"/>
      <c r="D19" s="3"/>
    </row>
    <row r="20" spans="1:9" x14ac:dyDescent="0.25">
      <c r="A20" s="3" t="s">
        <v>283</v>
      </c>
      <c r="B20" s="3" t="s">
        <v>22</v>
      </c>
      <c r="C20" s="149"/>
      <c r="D20" s="149"/>
    </row>
    <row r="21" spans="1:9" x14ac:dyDescent="0.25">
      <c r="A21" s="3" t="s">
        <v>284</v>
      </c>
      <c r="B21" s="3" t="s">
        <v>22</v>
      </c>
      <c r="C21" s="149"/>
      <c r="D21" s="149"/>
    </row>
    <row r="22" spans="1:9" ht="15.75" x14ac:dyDescent="0.25">
      <c r="A22" s="11" t="s">
        <v>81</v>
      </c>
      <c r="B22" s="9"/>
      <c r="C22" s="9"/>
      <c r="D22" s="9"/>
    </row>
    <row r="23" spans="1:9" x14ac:dyDescent="0.25">
      <c r="A23" s="15" t="s">
        <v>82</v>
      </c>
      <c r="B23" s="14" t="s">
        <v>83</v>
      </c>
      <c r="C23" s="9"/>
      <c r="D23" s="9"/>
    </row>
    <row r="24" spans="1:9" x14ac:dyDescent="0.25">
      <c r="A24" s="143" t="s">
        <v>80</v>
      </c>
      <c r="B24" s="3" t="s">
        <v>74</v>
      </c>
      <c r="C24" s="9"/>
      <c r="D24" s="9"/>
    </row>
    <row r="25" spans="1:9" x14ac:dyDescent="0.25">
      <c r="A25" s="143" t="s">
        <v>84</v>
      </c>
      <c r="B25" s="3" t="s">
        <v>74</v>
      </c>
    </row>
    <row r="26" spans="1:9" x14ac:dyDescent="0.25">
      <c r="A26" s="9"/>
      <c r="B26" s="13"/>
    </row>
    <row r="27" spans="1:9" ht="15.75" x14ac:dyDescent="0.25">
      <c r="A27" s="11" t="s">
        <v>65</v>
      </c>
      <c r="B27" s="11" t="s">
        <v>66</v>
      </c>
      <c r="C27" s="11" t="s">
        <v>67</v>
      </c>
      <c r="D27" s="12" t="s">
        <v>68</v>
      </c>
      <c r="E27" s="12" t="s">
        <v>69</v>
      </c>
      <c r="F27" s="12" t="s">
        <v>70</v>
      </c>
      <c r="G27" s="12" t="s">
        <v>71</v>
      </c>
      <c r="H27" s="12" t="s">
        <v>72</v>
      </c>
      <c r="I27" s="12" t="s">
        <v>73</v>
      </c>
    </row>
    <row r="28" spans="1:9" x14ac:dyDescent="0.25">
      <c r="A28" s="4" t="s">
        <v>4</v>
      </c>
      <c r="B28" s="4" t="s">
        <v>50</v>
      </c>
      <c r="C28" s="4" t="s">
        <v>6</v>
      </c>
      <c r="D28" s="4"/>
      <c r="E28" s="10">
        <v>43831</v>
      </c>
      <c r="F28" s="4"/>
      <c r="G28" s="4">
        <v>70</v>
      </c>
      <c r="H28" s="4"/>
      <c r="I28" s="4">
        <v>5253365589</v>
      </c>
    </row>
    <row r="30" spans="1:9" ht="15.75" x14ac:dyDescent="0.25">
      <c r="A30" s="11" t="s">
        <v>31</v>
      </c>
    </row>
    <row r="31" spans="1:9" ht="15.75" x14ac:dyDescent="0.25">
      <c r="A31" s="11" t="s">
        <v>32</v>
      </c>
      <c r="B31" s="11" t="s">
        <v>11</v>
      </c>
      <c r="C31" s="11" t="s">
        <v>33</v>
      </c>
      <c r="D31" s="12" t="s">
        <v>34</v>
      </c>
      <c r="E31" s="12" t="s">
        <v>35</v>
      </c>
    </row>
    <row r="32" spans="1:9" x14ac:dyDescent="0.25">
      <c r="A32" s="3" t="s">
        <v>36</v>
      </c>
      <c r="B32" s="3" t="s">
        <v>37</v>
      </c>
      <c r="C32" s="3" t="s">
        <v>28</v>
      </c>
      <c r="D32" s="3" t="s">
        <v>38</v>
      </c>
      <c r="E32" s="3" t="s">
        <v>39</v>
      </c>
    </row>
    <row r="33" spans="1:5" x14ac:dyDescent="0.25">
      <c r="A33" s="3"/>
      <c r="B33" s="3"/>
      <c r="C33" s="3" t="s">
        <v>27</v>
      </c>
      <c r="D33" s="3" t="s">
        <v>40</v>
      </c>
      <c r="E33" s="3"/>
    </row>
    <row r="34" spans="1:5" x14ac:dyDescent="0.25">
      <c r="A34" s="3"/>
      <c r="B34" s="3"/>
      <c r="C34" s="3" t="s">
        <v>29</v>
      </c>
      <c r="D34" s="3" t="s">
        <v>41</v>
      </c>
      <c r="E34" s="3"/>
    </row>
    <row r="39" spans="1:5" ht="15.75" x14ac:dyDescent="0.25">
      <c r="A39" s="11" t="s">
        <v>42</v>
      </c>
    </row>
    <row r="40" spans="1:5" ht="15.75" x14ac:dyDescent="0.25">
      <c r="A40" s="11" t="s">
        <v>43</v>
      </c>
      <c r="B40" s="11" t="s">
        <v>44</v>
      </c>
      <c r="C40" s="11" t="s">
        <v>45</v>
      </c>
      <c r="D40" s="12" t="s">
        <v>46</v>
      </c>
      <c r="E40" s="12" t="s">
        <v>47</v>
      </c>
    </row>
    <row r="41" spans="1:5" x14ac:dyDescent="0.25">
      <c r="A41" s="3" t="s">
        <v>49</v>
      </c>
      <c r="B41" s="3" t="s">
        <v>50</v>
      </c>
      <c r="C41" s="3" t="s">
        <v>50</v>
      </c>
      <c r="D41" s="3"/>
      <c r="E41" s="3" t="s">
        <v>48</v>
      </c>
    </row>
    <row r="42" spans="1:5" x14ac:dyDescent="0.25">
      <c r="A42" s="3"/>
      <c r="B42" s="3" t="s">
        <v>4</v>
      </c>
      <c r="C42" s="3" t="s">
        <v>4</v>
      </c>
      <c r="D42" s="3" t="s">
        <v>49</v>
      </c>
      <c r="E42" s="3" t="s">
        <v>48</v>
      </c>
    </row>
    <row r="43" spans="1:5" x14ac:dyDescent="0.25">
      <c r="A43" s="3" t="s">
        <v>51</v>
      </c>
      <c r="B43" s="3" t="s">
        <v>52</v>
      </c>
      <c r="C43" s="3" t="s">
        <v>52</v>
      </c>
      <c r="D43" s="3" t="s">
        <v>49</v>
      </c>
      <c r="E43" s="3" t="s">
        <v>48</v>
      </c>
    </row>
    <row r="46" spans="1:5" x14ac:dyDescent="0.25">
      <c r="A46" s="143" t="s">
        <v>91</v>
      </c>
      <c r="B46" s="143"/>
      <c r="C46" s="143"/>
      <c r="D46" s="143"/>
    </row>
    <row r="47" spans="1:5" x14ac:dyDescent="0.25">
      <c r="A47" s="144" t="s">
        <v>433</v>
      </c>
      <c r="B47" s="143" t="s">
        <v>468</v>
      </c>
      <c r="C47" s="143"/>
      <c r="D47" s="143"/>
    </row>
    <row r="49" spans="1:17" x14ac:dyDescent="0.25">
      <c r="A49" s="143" t="s">
        <v>92</v>
      </c>
      <c r="B49" s="143"/>
      <c r="C49" s="143"/>
      <c r="D49" s="143"/>
    </row>
    <row r="50" spans="1:17" x14ac:dyDescent="0.25">
      <c r="A50" s="143" t="s">
        <v>93</v>
      </c>
      <c r="B50" s="143"/>
      <c r="C50" s="143"/>
      <c r="D50" s="143"/>
    </row>
    <row r="51" spans="1:17" x14ac:dyDescent="0.25">
      <c r="A51" s="146" t="s">
        <v>434</v>
      </c>
      <c r="B51" s="146">
        <v>5000</v>
      </c>
      <c r="C51" s="146"/>
      <c r="D51" s="146"/>
    </row>
    <row r="52" spans="1:17" x14ac:dyDescent="0.25">
      <c r="A52" s="146" t="s">
        <v>435</v>
      </c>
      <c r="B52" s="146">
        <v>2</v>
      </c>
      <c r="C52" s="146" t="s">
        <v>438</v>
      </c>
      <c r="D52" s="146"/>
    </row>
    <row r="53" spans="1:17" x14ac:dyDescent="0.25">
      <c r="A53" s="146" t="s">
        <v>436</v>
      </c>
      <c r="B53" s="147" t="s">
        <v>437</v>
      </c>
      <c r="C53" s="146"/>
      <c r="D53" s="146"/>
    </row>
    <row r="54" spans="1:17" x14ac:dyDescent="0.25">
      <c r="A54" s="146" t="s">
        <v>439</v>
      </c>
      <c r="B54" s="147" t="s">
        <v>440</v>
      </c>
      <c r="C54" s="146"/>
      <c r="D54" s="146"/>
    </row>
    <row r="55" spans="1:17" x14ac:dyDescent="0.25">
      <c r="A55" s="146" t="s">
        <v>444</v>
      </c>
      <c r="B55" s="146"/>
      <c r="C55" s="146"/>
      <c r="D55" s="146"/>
    </row>
    <row r="56" spans="1:17" x14ac:dyDescent="0.25">
      <c r="A56" s="144" t="s">
        <v>445</v>
      </c>
      <c r="B56" s="145" t="s">
        <v>446</v>
      </c>
      <c r="C56" s="146"/>
      <c r="D56" s="146"/>
    </row>
    <row r="58" spans="1:17" x14ac:dyDescent="0.25">
      <c r="A58" s="146" t="s">
        <v>448</v>
      </c>
      <c r="B58" s="146" t="s">
        <v>449</v>
      </c>
    </row>
    <row r="59" spans="1:17" x14ac:dyDescent="0.25">
      <c r="A59" s="148" t="s">
        <v>6</v>
      </c>
      <c r="B59" t="s">
        <v>13</v>
      </c>
    </row>
    <row r="62" spans="1:17" s="110" customFormat="1" ht="21" x14ac:dyDescent="0.35">
      <c r="A62" s="109" t="s">
        <v>299</v>
      </c>
      <c r="B62" s="109"/>
    </row>
    <row r="64" spans="1:17" ht="18.75" x14ac:dyDescent="0.25">
      <c r="A64" s="321" t="s">
        <v>300</v>
      </c>
      <c r="B64" s="316"/>
      <c r="C64" s="316"/>
      <c r="D64" s="317"/>
      <c r="E64" s="111"/>
      <c r="F64" s="111"/>
      <c r="G64" s="111"/>
      <c r="H64" s="111"/>
      <c r="I64" s="111"/>
      <c r="J64" s="111"/>
      <c r="K64" s="111"/>
      <c r="L64" s="111"/>
      <c r="M64" s="111"/>
      <c r="N64" s="111"/>
      <c r="O64" s="111"/>
      <c r="P64" s="111"/>
      <c r="Q64" s="111"/>
    </row>
    <row r="65" spans="1:17" x14ac:dyDescent="0.25">
      <c r="A65" s="112" t="s">
        <v>406</v>
      </c>
      <c r="B65" s="112" t="s">
        <v>11</v>
      </c>
      <c r="C65" s="112" t="s">
        <v>301</v>
      </c>
      <c r="D65" s="113" t="s">
        <v>407</v>
      </c>
      <c r="E65" s="113" t="s">
        <v>181</v>
      </c>
      <c r="F65" s="111"/>
      <c r="G65" s="111"/>
      <c r="H65" s="111"/>
      <c r="I65" s="111"/>
      <c r="J65" s="111"/>
      <c r="K65" s="111"/>
      <c r="L65" s="111"/>
      <c r="M65" s="111"/>
      <c r="N65" s="111"/>
      <c r="O65" s="111"/>
      <c r="P65" s="111"/>
      <c r="Q65" s="111"/>
    </row>
    <row r="66" spans="1:17" ht="63" customHeight="1" x14ac:dyDescent="0.25">
      <c r="A66" s="114" t="s">
        <v>302</v>
      </c>
      <c r="B66" s="114" t="s">
        <v>303</v>
      </c>
      <c r="C66" s="115" t="s">
        <v>303</v>
      </c>
      <c r="D66" s="115" t="s">
        <v>4</v>
      </c>
      <c r="E66" s="115" t="s">
        <v>244</v>
      </c>
      <c r="F66" s="111"/>
      <c r="G66" s="111"/>
      <c r="H66" s="111"/>
      <c r="I66" s="111"/>
      <c r="J66" s="111"/>
      <c r="K66" s="111"/>
      <c r="L66" s="111"/>
      <c r="M66" s="111"/>
      <c r="N66" s="111"/>
      <c r="O66" s="111"/>
      <c r="P66" s="111"/>
      <c r="Q66" s="111"/>
    </row>
    <row r="67" spans="1:17" x14ac:dyDescent="0.25">
      <c r="A67" s="111"/>
      <c r="B67" s="111"/>
      <c r="C67" s="111"/>
      <c r="D67" s="111"/>
      <c r="E67" s="111"/>
      <c r="F67" s="111"/>
      <c r="G67" s="111"/>
      <c r="H67" s="111"/>
      <c r="I67" s="111"/>
      <c r="J67" s="111"/>
      <c r="K67" s="111"/>
      <c r="L67" s="111"/>
      <c r="M67" s="111"/>
      <c r="N67" s="111"/>
      <c r="O67" s="111"/>
      <c r="P67" s="111"/>
      <c r="Q67" s="111"/>
    </row>
    <row r="68" spans="1:17" ht="18.75" x14ac:dyDescent="0.25">
      <c r="A68" s="321" t="s">
        <v>304</v>
      </c>
      <c r="B68" s="316"/>
      <c r="C68" s="316"/>
      <c r="D68" s="317"/>
      <c r="E68" s="111"/>
      <c r="F68" s="111"/>
      <c r="G68" s="111"/>
      <c r="H68" s="111"/>
      <c r="I68" s="111"/>
      <c r="J68" s="111"/>
      <c r="K68" s="111"/>
      <c r="L68" s="111"/>
      <c r="M68" s="111"/>
      <c r="N68" s="111"/>
      <c r="O68" s="111"/>
      <c r="P68" s="111"/>
      <c r="Q68" s="111"/>
    </row>
    <row r="69" spans="1:17" ht="60" x14ac:dyDescent="0.25">
      <c r="A69" s="112" t="s">
        <v>180</v>
      </c>
      <c r="B69" s="112" t="s">
        <v>305</v>
      </c>
      <c r="C69" s="112" t="s">
        <v>253</v>
      </c>
      <c r="D69" s="112" t="s">
        <v>306</v>
      </c>
      <c r="E69" s="112" t="s">
        <v>307</v>
      </c>
      <c r="F69" s="112" t="s">
        <v>308</v>
      </c>
      <c r="G69" s="112" t="s">
        <v>309</v>
      </c>
      <c r="H69" s="112" t="s">
        <v>310</v>
      </c>
      <c r="I69" s="112" t="s">
        <v>311</v>
      </c>
      <c r="J69" s="112" t="s">
        <v>408</v>
      </c>
      <c r="K69" s="112" t="s">
        <v>409</v>
      </c>
      <c r="L69" s="112" t="s">
        <v>410</v>
      </c>
      <c r="M69" s="112" t="s">
        <v>414</v>
      </c>
      <c r="N69" s="112" t="s">
        <v>415</v>
      </c>
      <c r="O69" s="112" t="s">
        <v>411</v>
      </c>
      <c r="P69" s="112" t="s">
        <v>412</v>
      </c>
      <c r="Q69" s="112" t="s">
        <v>413</v>
      </c>
    </row>
    <row r="70" spans="1:17" x14ac:dyDescent="0.25">
      <c r="A70" s="116">
        <v>0</v>
      </c>
      <c r="B70" s="114" t="s">
        <v>447</v>
      </c>
      <c r="C70" s="114" t="s">
        <v>312</v>
      </c>
      <c r="D70" s="114" t="s">
        <v>74</v>
      </c>
      <c r="E70" s="114" t="s">
        <v>87</v>
      </c>
      <c r="F70" s="114" t="s">
        <v>87</v>
      </c>
      <c r="G70" s="114" t="s">
        <v>74</v>
      </c>
      <c r="H70" s="114">
        <v>0</v>
      </c>
      <c r="I70" s="114">
        <v>100</v>
      </c>
      <c r="J70" s="114"/>
      <c r="K70" s="114"/>
      <c r="L70" s="114">
        <v>0</v>
      </c>
      <c r="M70" s="114">
        <v>100</v>
      </c>
      <c r="N70" s="114"/>
      <c r="O70" s="114"/>
      <c r="P70" s="114">
        <v>0</v>
      </c>
      <c r="Q70" s="114">
        <v>4000000000</v>
      </c>
    </row>
    <row r="71" spans="1:17" x14ac:dyDescent="0.25">
      <c r="A71" s="116">
        <v>1</v>
      </c>
      <c r="B71" s="114" t="s">
        <v>447</v>
      </c>
      <c r="C71" s="114" t="s">
        <v>313</v>
      </c>
      <c r="D71" s="114" t="s">
        <v>74</v>
      </c>
      <c r="E71" s="114" t="s">
        <v>87</v>
      </c>
      <c r="F71" s="114" t="s">
        <v>87</v>
      </c>
      <c r="G71" s="114" t="s">
        <v>87</v>
      </c>
      <c r="H71" s="114">
        <v>0</v>
      </c>
      <c r="I71" s="114">
        <v>100</v>
      </c>
      <c r="J71" s="114"/>
      <c r="K71" s="114"/>
      <c r="L71" s="114">
        <v>0</v>
      </c>
      <c r="M71" s="114">
        <v>100</v>
      </c>
      <c r="N71" s="114"/>
      <c r="O71" s="114"/>
      <c r="P71" s="114">
        <v>0</v>
      </c>
      <c r="Q71" s="114">
        <v>6000000000</v>
      </c>
    </row>
    <row r="72" spans="1:17" x14ac:dyDescent="0.25">
      <c r="A72" s="116">
        <v>2</v>
      </c>
      <c r="B72" s="114" t="s">
        <v>447</v>
      </c>
      <c r="C72" s="114" t="s">
        <v>314</v>
      </c>
      <c r="D72" s="114" t="s">
        <v>74</v>
      </c>
      <c r="E72" s="114" t="s">
        <v>87</v>
      </c>
      <c r="F72" s="114" t="s">
        <v>87</v>
      </c>
      <c r="G72" s="114" t="s">
        <v>87</v>
      </c>
      <c r="H72" s="114">
        <v>0</v>
      </c>
      <c r="I72" s="114">
        <v>100</v>
      </c>
      <c r="J72" s="114"/>
      <c r="K72" s="114"/>
      <c r="L72" s="114">
        <v>0</v>
      </c>
      <c r="M72" s="114">
        <v>100</v>
      </c>
      <c r="N72" s="114"/>
      <c r="O72" s="114"/>
      <c r="P72" s="114">
        <v>0</v>
      </c>
      <c r="Q72" s="114">
        <v>7000000000</v>
      </c>
    </row>
    <row r="74" spans="1:17" s="110" customFormat="1" ht="21" x14ac:dyDescent="0.35">
      <c r="A74" s="109" t="s">
        <v>699</v>
      </c>
      <c r="B74" s="109"/>
    </row>
    <row r="76" spans="1:17" ht="18.75" x14ac:dyDescent="0.25">
      <c r="A76" s="321" t="s">
        <v>300</v>
      </c>
      <c r="B76" s="316"/>
      <c r="C76" s="316"/>
      <c r="D76" s="317"/>
      <c r="E76" s="111"/>
      <c r="F76" s="111"/>
      <c r="G76" s="111"/>
      <c r="H76" s="111"/>
      <c r="I76" s="111"/>
      <c r="J76" s="111"/>
      <c r="K76" s="111"/>
      <c r="L76" s="111"/>
      <c r="M76" s="111"/>
      <c r="N76" s="111"/>
      <c r="O76" s="111"/>
      <c r="P76" s="111"/>
      <c r="Q76" s="111"/>
    </row>
    <row r="77" spans="1:17" x14ac:dyDescent="0.25">
      <c r="A77" s="112" t="s">
        <v>406</v>
      </c>
      <c r="B77" s="112" t="s">
        <v>11</v>
      </c>
      <c r="C77" s="112" t="s">
        <v>301</v>
      </c>
      <c r="D77" s="113" t="s">
        <v>407</v>
      </c>
      <c r="E77" s="113" t="s">
        <v>181</v>
      </c>
      <c r="F77" s="111"/>
      <c r="G77" s="111"/>
      <c r="H77" s="111"/>
      <c r="I77" s="111"/>
      <c r="J77" s="111"/>
      <c r="K77" s="111"/>
      <c r="L77" s="111"/>
      <c r="M77" s="111"/>
      <c r="N77" s="111"/>
      <c r="O77" s="111"/>
      <c r="P77" s="111"/>
      <c r="Q77" s="111"/>
    </row>
    <row r="78" spans="1:17" ht="63" customHeight="1" x14ac:dyDescent="0.25">
      <c r="A78" s="114" t="s">
        <v>700</v>
      </c>
      <c r="B78" s="114" t="s">
        <v>701</v>
      </c>
      <c r="C78" s="115" t="s">
        <v>701</v>
      </c>
      <c r="D78" s="115" t="s">
        <v>4</v>
      </c>
      <c r="E78" s="115" t="s">
        <v>244</v>
      </c>
      <c r="F78" s="111"/>
      <c r="G78" s="111"/>
      <c r="H78" s="111"/>
      <c r="I78" s="111"/>
      <c r="J78" s="111"/>
      <c r="K78" s="111"/>
      <c r="L78" s="111"/>
      <c r="M78" s="111"/>
      <c r="N78" s="111"/>
      <c r="O78" s="111"/>
      <c r="P78" s="111"/>
      <c r="Q78" s="111"/>
    </row>
    <row r="79" spans="1:17" x14ac:dyDescent="0.25">
      <c r="A79" s="111"/>
      <c r="B79" s="111"/>
      <c r="C79" s="111"/>
      <c r="D79" s="111"/>
      <c r="E79" s="111"/>
      <c r="F79" s="111"/>
      <c r="G79" s="111"/>
      <c r="H79" s="111"/>
      <c r="I79" s="111"/>
      <c r="J79" s="111"/>
      <c r="K79" s="111"/>
      <c r="L79" s="111"/>
      <c r="M79" s="111"/>
      <c r="N79" s="111"/>
      <c r="O79" s="111"/>
      <c r="P79" s="111"/>
      <c r="Q79" s="111"/>
    </row>
    <row r="80" spans="1:17" ht="18.75" x14ac:dyDescent="0.25">
      <c r="A80" s="321" t="s">
        <v>304</v>
      </c>
      <c r="B80" s="316"/>
      <c r="C80" s="316"/>
      <c r="D80" s="317"/>
      <c r="E80" s="111"/>
      <c r="F80" s="111"/>
      <c r="G80" s="111"/>
      <c r="H80" s="111"/>
      <c r="I80" s="111"/>
      <c r="J80" s="111"/>
      <c r="K80" s="111"/>
      <c r="L80" s="111"/>
      <c r="M80" s="111"/>
      <c r="N80" s="111"/>
      <c r="O80" s="111"/>
      <c r="P80" s="111"/>
      <c r="Q80" s="111"/>
    </row>
    <row r="81" spans="1:17" ht="60" x14ac:dyDescent="0.25">
      <c r="A81" s="112" t="s">
        <v>180</v>
      </c>
      <c r="B81" s="112" t="s">
        <v>305</v>
      </c>
      <c r="C81" s="112" t="s">
        <v>253</v>
      </c>
      <c r="D81" s="112" t="s">
        <v>306</v>
      </c>
      <c r="E81" s="112" t="s">
        <v>307</v>
      </c>
      <c r="F81" s="112" t="s">
        <v>308</v>
      </c>
      <c r="G81" s="112" t="s">
        <v>309</v>
      </c>
      <c r="H81" s="112" t="s">
        <v>310</v>
      </c>
      <c r="I81" s="112" t="s">
        <v>311</v>
      </c>
      <c r="J81" s="112" t="s">
        <v>408</v>
      </c>
      <c r="K81" s="112" t="s">
        <v>409</v>
      </c>
      <c r="L81" s="112" t="s">
        <v>410</v>
      </c>
      <c r="M81" s="112" t="s">
        <v>414</v>
      </c>
      <c r="N81" s="112" t="s">
        <v>415</v>
      </c>
      <c r="O81" s="112" t="s">
        <v>411</v>
      </c>
      <c r="P81" s="112" t="s">
        <v>412</v>
      </c>
      <c r="Q81" s="112" t="s">
        <v>413</v>
      </c>
    </row>
    <row r="82" spans="1:17" x14ac:dyDescent="0.25">
      <c r="A82" s="116">
        <v>0</v>
      </c>
      <c r="B82" s="114" t="s">
        <v>447</v>
      </c>
      <c r="C82" s="114" t="s">
        <v>569</v>
      </c>
      <c r="D82" s="114" t="s">
        <v>74</v>
      </c>
      <c r="E82" s="114" t="s">
        <v>74</v>
      </c>
      <c r="F82" s="114" t="s">
        <v>87</v>
      </c>
      <c r="G82" s="114" t="s">
        <v>74</v>
      </c>
      <c r="H82" s="114">
        <v>0</v>
      </c>
      <c r="I82" s="114">
        <v>100</v>
      </c>
      <c r="J82" s="114"/>
      <c r="K82" s="114"/>
      <c r="L82" s="114">
        <v>0</v>
      </c>
      <c r="M82" s="114">
        <v>100</v>
      </c>
      <c r="N82" s="114"/>
      <c r="O82" s="114"/>
      <c r="P82" s="114">
        <v>0</v>
      </c>
      <c r="Q82" s="114">
        <v>4000000000</v>
      </c>
    </row>
    <row r="83" spans="1:17" x14ac:dyDescent="0.25">
      <c r="A83" s="116">
        <v>1</v>
      </c>
      <c r="B83" s="114" t="s">
        <v>447</v>
      </c>
      <c r="C83" s="114" t="s">
        <v>570</v>
      </c>
      <c r="D83" s="114" t="s">
        <v>74</v>
      </c>
      <c r="E83" s="114" t="s">
        <v>74</v>
      </c>
      <c r="F83" s="114" t="s">
        <v>87</v>
      </c>
      <c r="G83" s="114" t="s">
        <v>87</v>
      </c>
      <c r="H83" s="114">
        <v>0</v>
      </c>
      <c r="I83" s="114">
        <v>100</v>
      </c>
      <c r="J83" s="114"/>
      <c r="K83" s="114"/>
      <c r="L83" s="114">
        <v>0</v>
      </c>
      <c r="M83" s="114">
        <v>100</v>
      </c>
      <c r="N83" s="114"/>
      <c r="O83" s="114"/>
      <c r="P83" s="114">
        <v>0</v>
      </c>
      <c r="Q83" s="114">
        <v>6000000000</v>
      </c>
    </row>
    <row r="85" spans="1:17" s="110" customFormat="1" ht="21" x14ac:dyDescent="0.35">
      <c r="A85" s="109" t="s">
        <v>702</v>
      </c>
      <c r="B85" s="109"/>
    </row>
    <row r="87" spans="1:17" ht="18.75" x14ac:dyDescent="0.25">
      <c r="A87" s="321" t="s">
        <v>300</v>
      </c>
      <c r="B87" s="316"/>
      <c r="C87" s="316"/>
      <c r="D87" s="317"/>
      <c r="E87" s="111"/>
      <c r="F87" s="111"/>
      <c r="G87" s="111"/>
      <c r="H87" s="111"/>
      <c r="I87" s="111"/>
      <c r="J87" s="111"/>
      <c r="K87" s="111"/>
      <c r="L87" s="111"/>
      <c r="M87" s="111"/>
      <c r="N87" s="111"/>
      <c r="O87" s="111"/>
      <c r="P87" s="111"/>
      <c r="Q87" s="111"/>
    </row>
    <row r="88" spans="1:17" x14ac:dyDescent="0.25">
      <c r="A88" s="112" t="s">
        <v>406</v>
      </c>
      <c r="B88" s="112" t="s">
        <v>11</v>
      </c>
      <c r="C88" s="112" t="s">
        <v>301</v>
      </c>
      <c r="D88" s="113" t="s">
        <v>407</v>
      </c>
      <c r="E88" s="113" t="s">
        <v>181</v>
      </c>
      <c r="F88" s="111"/>
      <c r="G88" s="111"/>
      <c r="H88" s="111"/>
      <c r="I88" s="111"/>
      <c r="J88" s="111"/>
      <c r="K88" s="111"/>
      <c r="L88" s="111"/>
      <c r="M88" s="111"/>
      <c r="N88" s="111"/>
      <c r="O88" s="111"/>
      <c r="P88" s="111"/>
      <c r="Q88" s="111"/>
    </row>
    <row r="89" spans="1:17" ht="63" customHeight="1" x14ac:dyDescent="0.25">
      <c r="A89" s="114" t="s">
        <v>703</v>
      </c>
      <c r="B89" s="114" t="s">
        <v>701</v>
      </c>
      <c r="C89" s="115" t="s">
        <v>701</v>
      </c>
      <c r="D89" s="115" t="s">
        <v>4</v>
      </c>
      <c r="E89" s="115" t="s">
        <v>244</v>
      </c>
      <c r="F89" s="111"/>
      <c r="G89" s="111"/>
      <c r="H89" s="111"/>
      <c r="I89" s="111"/>
      <c r="J89" s="111"/>
      <c r="K89" s="111"/>
      <c r="L89" s="111"/>
      <c r="M89" s="111"/>
      <c r="N89" s="111"/>
      <c r="O89" s="111"/>
      <c r="P89" s="111"/>
      <c r="Q89" s="111"/>
    </row>
    <row r="90" spans="1:17" x14ac:dyDescent="0.25">
      <c r="A90" s="111"/>
      <c r="B90" s="111"/>
      <c r="C90" s="111"/>
      <c r="D90" s="111"/>
      <c r="E90" s="111"/>
      <c r="F90" s="111"/>
      <c r="G90" s="111"/>
      <c r="H90" s="111"/>
      <c r="I90" s="111"/>
      <c r="J90" s="111"/>
      <c r="K90" s="111"/>
      <c r="L90" s="111"/>
      <c r="M90" s="111"/>
      <c r="N90" s="111"/>
      <c r="O90" s="111"/>
      <c r="P90" s="111"/>
      <c r="Q90" s="111"/>
    </row>
    <row r="91" spans="1:17" ht="18.75" x14ac:dyDescent="0.25">
      <c r="A91" s="321" t="s">
        <v>304</v>
      </c>
      <c r="B91" s="316"/>
      <c r="C91" s="316"/>
      <c r="D91" s="317"/>
      <c r="E91" s="111"/>
      <c r="F91" s="111"/>
      <c r="G91" s="111"/>
      <c r="H91" s="111"/>
      <c r="I91" s="111"/>
      <c r="J91" s="111"/>
      <c r="K91" s="111"/>
      <c r="L91" s="111"/>
      <c r="M91" s="111"/>
      <c r="N91" s="111"/>
      <c r="O91" s="111"/>
      <c r="P91" s="111"/>
      <c r="Q91" s="111"/>
    </row>
    <row r="92" spans="1:17" ht="60" x14ac:dyDescent="0.25">
      <c r="A92" s="112" t="s">
        <v>180</v>
      </c>
      <c r="B92" s="112" t="s">
        <v>305</v>
      </c>
      <c r="C92" s="112" t="s">
        <v>253</v>
      </c>
      <c r="D92" s="112" t="s">
        <v>306</v>
      </c>
      <c r="E92" s="112" t="s">
        <v>307</v>
      </c>
      <c r="F92" s="112" t="s">
        <v>308</v>
      </c>
      <c r="G92" s="112" t="s">
        <v>309</v>
      </c>
      <c r="H92" s="112" t="s">
        <v>310</v>
      </c>
      <c r="I92" s="112" t="s">
        <v>311</v>
      </c>
      <c r="J92" s="112" t="s">
        <v>408</v>
      </c>
      <c r="K92" s="112" t="s">
        <v>409</v>
      </c>
      <c r="L92" s="112" t="s">
        <v>410</v>
      </c>
      <c r="M92" s="112" t="s">
        <v>414</v>
      </c>
      <c r="N92" s="112" t="s">
        <v>415</v>
      </c>
      <c r="O92" s="112" t="s">
        <v>411</v>
      </c>
      <c r="P92" s="112" t="s">
        <v>412</v>
      </c>
      <c r="Q92" s="112" t="s">
        <v>413</v>
      </c>
    </row>
    <row r="93" spans="1:17" x14ac:dyDescent="0.25">
      <c r="A93" s="116">
        <v>0</v>
      </c>
      <c r="B93" s="114" t="s">
        <v>447</v>
      </c>
      <c r="C93" s="114" t="s">
        <v>704</v>
      </c>
      <c r="D93" s="114" t="s">
        <v>74</v>
      </c>
      <c r="E93" s="114" t="s">
        <v>74</v>
      </c>
      <c r="F93" s="114" t="s">
        <v>87</v>
      </c>
      <c r="G93" s="114" t="s">
        <v>74</v>
      </c>
      <c r="H93" s="114">
        <v>0</v>
      </c>
      <c r="I93" s="114">
        <v>100</v>
      </c>
      <c r="J93" s="114"/>
      <c r="K93" s="114"/>
      <c r="L93" s="114">
        <v>0</v>
      </c>
      <c r="M93" s="114">
        <v>100</v>
      </c>
      <c r="N93" s="114"/>
      <c r="O93" s="114"/>
      <c r="P93" s="114">
        <v>0</v>
      </c>
      <c r="Q93" s="114">
        <v>4000000000</v>
      </c>
    </row>
    <row r="94" spans="1:17" x14ac:dyDescent="0.25">
      <c r="A94" s="116">
        <v>1</v>
      </c>
      <c r="B94" s="114" t="s">
        <v>447</v>
      </c>
      <c r="C94" s="114" t="s">
        <v>705</v>
      </c>
      <c r="D94" s="114" t="s">
        <v>74</v>
      </c>
      <c r="E94" s="114" t="s">
        <v>74</v>
      </c>
      <c r="F94" s="114" t="s">
        <v>87</v>
      </c>
      <c r="G94" s="114" t="s">
        <v>87</v>
      </c>
      <c r="H94" s="114">
        <v>0</v>
      </c>
      <c r="I94" s="114">
        <v>100</v>
      </c>
      <c r="J94" s="114"/>
      <c r="K94" s="114"/>
      <c r="L94" s="114">
        <v>0</v>
      </c>
      <c r="M94" s="114">
        <v>100</v>
      </c>
      <c r="N94" s="114"/>
      <c r="O94" s="114"/>
      <c r="P94" s="114">
        <v>0</v>
      </c>
      <c r="Q94" s="114">
        <v>6000000000</v>
      </c>
    </row>
    <row r="96" spans="1:17" s="110" customFormat="1" ht="21" x14ac:dyDescent="0.35">
      <c r="A96" s="109" t="s">
        <v>706</v>
      </c>
      <c r="B96" s="109"/>
    </row>
    <row r="98" spans="1:17" ht="18.75" x14ac:dyDescent="0.25">
      <c r="A98" s="321" t="s">
        <v>300</v>
      </c>
      <c r="B98" s="316"/>
      <c r="C98" s="316"/>
      <c r="D98" s="317"/>
      <c r="E98" s="111"/>
      <c r="F98" s="111"/>
      <c r="G98" s="111"/>
      <c r="H98" s="111"/>
      <c r="I98" s="111"/>
      <c r="J98" s="111"/>
      <c r="K98" s="111"/>
      <c r="L98" s="111"/>
      <c r="M98" s="111"/>
      <c r="N98" s="111"/>
      <c r="O98" s="111"/>
      <c r="P98" s="111"/>
      <c r="Q98" s="111"/>
    </row>
    <row r="99" spans="1:17" x14ac:dyDescent="0.25">
      <c r="A99" s="112" t="s">
        <v>406</v>
      </c>
      <c r="B99" s="112" t="s">
        <v>11</v>
      </c>
      <c r="C99" s="112" t="s">
        <v>301</v>
      </c>
      <c r="D99" s="113" t="s">
        <v>407</v>
      </c>
      <c r="E99" s="113" t="s">
        <v>181</v>
      </c>
      <c r="F99" s="111"/>
      <c r="G99" s="111"/>
      <c r="H99" s="111"/>
      <c r="I99" s="111"/>
      <c r="J99" s="111"/>
      <c r="K99" s="111"/>
      <c r="L99" s="111"/>
      <c r="M99" s="111"/>
      <c r="N99" s="111"/>
      <c r="O99" s="111"/>
      <c r="P99" s="111"/>
      <c r="Q99" s="111"/>
    </row>
    <row r="100" spans="1:17" ht="63" customHeight="1" x14ac:dyDescent="0.25">
      <c r="A100" s="114" t="s">
        <v>707</v>
      </c>
      <c r="B100" s="114" t="s">
        <v>708</v>
      </c>
      <c r="C100" s="115" t="s">
        <v>708</v>
      </c>
      <c r="D100" s="115" t="s">
        <v>4</v>
      </c>
      <c r="E100" s="115" t="s">
        <v>244</v>
      </c>
      <c r="F100" s="111"/>
      <c r="G100" s="111"/>
      <c r="H100" s="111"/>
      <c r="I100" s="111"/>
      <c r="J100" s="111"/>
      <c r="K100" s="111"/>
      <c r="L100" s="111"/>
      <c r="M100" s="111"/>
      <c r="N100" s="111"/>
      <c r="O100" s="111"/>
      <c r="P100" s="111"/>
      <c r="Q100" s="111"/>
    </row>
    <row r="101" spans="1:17" x14ac:dyDescent="0.25">
      <c r="A101" s="111"/>
      <c r="B101" s="111"/>
      <c r="C101" s="111"/>
      <c r="D101" s="111"/>
      <c r="E101" s="111"/>
      <c r="F101" s="111"/>
      <c r="G101" s="111"/>
      <c r="H101" s="111"/>
      <c r="I101" s="111"/>
      <c r="J101" s="111"/>
      <c r="K101" s="111"/>
      <c r="L101" s="111"/>
      <c r="M101" s="111"/>
      <c r="N101" s="111"/>
      <c r="O101" s="111"/>
      <c r="P101" s="111"/>
      <c r="Q101" s="111"/>
    </row>
    <row r="102" spans="1:17" ht="18.75" x14ac:dyDescent="0.25">
      <c r="A102" s="321" t="s">
        <v>304</v>
      </c>
      <c r="B102" s="316"/>
      <c r="C102" s="316"/>
      <c r="D102" s="317"/>
      <c r="E102" s="111"/>
      <c r="F102" s="111"/>
      <c r="G102" s="111"/>
      <c r="H102" s="111"/>
      <c r="I102" s="111"/>
      <c r="J102" s="111"/>
      <c r="K102" s="111"/>
      <c r="L102" s="111"/>
      <c r="M102" s="111"/>
      <c r="N102" s="111"/>
      <c r="O102" s="111"/>
      <c r="P102" s="111"/>
      <c r="Q102" s="111"/>
    </row>
    <row r="103" spans="1:17" ht="60" x14ac:dyDescent="0.25">
      <c r="A103" s="112" t="s">
        <v>180</v>
      </c>
      <c r="B103" s="112" t="s">
        <v>305</v>
      </c>
      <c r="C103" s="112" t="s">
        <v>253</v>
      </c>
      <c r="D103" s="112" t="s">
        <v>306</v>
      </c>
      <c r="E103" s="112" t="s">
        <v>307</v>
      </c>
      <c r="F103" s="112" t="s">
        <v>308</v>
      </c>
      <c r="G103" s="112" t="s">
        <v>309</v>
      </c>
      <c r="H103" s="112" t="s">
        <v>310</v>
      </c>
      <c r="I103" s="112" t="s">
        <v>311</v>
      </c>
      <c r="J103" s="112" t="s">
        <v>408</v>
      </c>
      <c r="K103" s="112" t="s">
        <v>409</v>
      </c>
      <c r="L103" s="112" t="s">
        <v>410</v>
      </c>
      <c r="M103" s="112" t="s">
        <v>414</v>
      </c>
      <c r="N103" s="112" t="s">
        <v>415</v>
      </c>
      <c r="O103" s="112" t="s">
        <v>411</v>
      </c>
      <c r="P103" s="112" t="s">
        <v>412</v>
      </c>
      <c r="Q103" s="112" t="s">
        <v>413</v>
      </c>
    </row>
    <row r="104" spans="1:17" x14ac:dyDescent="0.25">
      <c r="A104" s="116">
        <v>0</v>
      </c>
      <c r="B104" s="114" t="s">
        <v>447</v>
      </c>
      <c r="C104" s="114" t="s">
        <v>312</v>
      </c>
      <c r="D104" s="114" t="s">
        <v>74</v>
      </c>
      <c r="E104" s="114" t="s">
        <v>87</v>
      </c>
      <c r="F104" s="114" t="s">
        <v>87</v>
      </c>
      <c r="G104" s="114" t="s">
        <v>74</v>
      </c>
      <c r="H104" s="114">
        <v>0</v>
      </c>
      <c r="I104" s="114">
        <v>100</v>
      </c>
      <c r="J104" s="114"/>
      <c r="K104" s="114"/>
      <c r="L104" s="114">
        <v>0</v>
      </c>
      <c r="M104" s="114">
        <v>100</v>
      </c>
      <c r="N104" s="114"/>
      <c r="O104" s="114"/>
      <c r="P104" s="114">
        <v>0</v>
      </c>
      <c r="Q104" s="114">
        <v>4000000000</v>
      </c>
    </row>
    <row r="105" spans="1:17" x14ac:dyDescent="0.25">
      <c r="A105" s="116">
        <v>1</v>
      </c>
      <c r="B105" s="114" t="s">
        <v>447</v>
      </c>
      <c r="C105" s="114" t="s">
        <v>313</v>
      </c>
      <c r="D105" s="114" t="s">
        <v>74</v>
      </c>
      <c r="E105" s="114" t="s">
        <v>87</v>
      </c>
      <c r="F105" s="114" t="s">
        <v>87</v>
      </c>
      <c r="G105" s="114" t="s">
        <v>87</v>
      </c>
      <c r="H105" s="114">
        <v>0</v>
      </c>
      <c r="I105" s="114">
        <v>100</v>
      </c>
      <c r="J105" s="114"/>
      <c r="K105" s="114"/>
      <c r="L105" s="114">
        <v>0</v>
      </c>
      <c r="M105" s="114">
        <v>100</v>
      </c>
      <c r="N105" s="114"/>
      <c r="O105" s="114"/>
      <c r="P105" s="114">
        <v>0</v>
      </c>
      <c r="Q105" s="114">
        <v>6000000000</v>
      </c>
    </row>
    <row r="106" spans="1:17" x14ac:dyDescent="0.25">
      <c r="A106" s="116" t="s">
        <v>432</v>
      </c>
      <c r="B106" s="114" t="s">
        <v>447</v>
      </c>
      <c r="C106" s="114" t="s">
        <v>709</v>
      </c>
      <c r="D106" s="114" t="s">
        <v>74</v>
      </c>
      <c r="E106" s="114" t="s">
        <v>87</v>
      </c>
      <c r="F106" s="114" t="s">
        <v>87</v>
      </c>
      <c r="G106" s="114" t="s">
        <v>87</v>
      </c>
      <c r="H106" s="114">
        <v>0</v>
      </c>
      <c r="I106" s="114">
        <v>100</v>
      </c>
      <c r="J106" s="114"/>
      <c r="K106" s="114"/>
      <c r="L106" s="114">
        <v>0</v>
      </c>
      <c r="M106" s="114">
        <v>100</v>
      </c>
      <c r="N106" s="114"/>
      <c r="O106" s="114"/>
      <c r="P106" s="114">
        <v>0</v>
      </c>
      <c r="Q106" s="114">
        <v>7000000000</v>
      </c>
    </row>
    <row r="107" spans="1:17" x14ac:dyDescent="0.25">
      <c r="A107" s="116">
        <v>2</v>
      </c>
      <c r="B107" s="114" t="s">
        <v>447</v>
      </c>
      <c r="C107" s="114" t="s">
        <v>314</v>
      </c>
      <c r="D107" s="114" t="s">
        <v>74</v>
      </c>
      <c r="E107" s="114" t="s">
        <v>87</v>
      </c>
      <c r="F107" s="114" t="s">
        <v>87</v>
      </c>
      <c r="G107" s="114" t="s">
        <v>87</v>
      </c>
      <c r="H107" s="114">
        <v>0</v>
      </c>
      <c r="I107" s="114">
        <v>100</v>
      </c>
      <c r="J107" s="114"/>
      <c r="K107" s="114"/>
      <c r="L107" s="114">
        <v>0</v>
      </c>
      <c r="M107" s="114">
        <v>100</v>
      </c>
      <c r="N107" s="114"/>
      <c r="O107" s="114"/>
      <c r="P107" s="114">
        <v>0</v>
      </c>
      <c r="Q107" s="114">
        <v>8000000000</v>
      </c>
    </row>
    <row r="109" spans="1:17" s="110" customFormat="1" ht="21" x14ac:dyDescent="0.35">
      <c r="A109" s="109" t="s">
        <v>710</v>
      </c>
      <c r="B109" s="109"/>
    </row>
    <row r="111" spans="1:17" ht="18.75" x14ac:dyDescent="0.25">
      <c r="A111" s="321" t="s">
        <v>300</v>
      </c>
      <c r="B111" s="316"/>
      <c r="C111" s="316"/>
      <c r="D111" s="317"/>
      <c r="E111" s="111"/>
      <c r="F111" s="111"/>
      <c r="G111" s="111"/>
      <c r="H111" s="111"/>
      <c r="I111" s="111"/>
      <c r="J111" s="111"/>
      <c r="K111" s="111"/>
      <c r="L111" s="111"/>
      <c r="M111" s="111"/>
      <c r="N111" s="111"/>
      <c r="O111" s="111"/>
      <c r="P111" s="111"/>
      <c r="Q111" s="111"/>
    </row>
    <row r="112" spans="1:17" x14ac:dyDescent="0.25">
      <c r="A112" s="112" t="s">
        <v>406</v>
      </c>
      <c r="B112" s="112" t="s">
        <v>11</v>
      </c>
      <c r="C112" s="112" t="s">
        <v>301</v>
      </c>
      <c r="D112" s="113" t="s">
        <v>407</v>
      </c>
      <c r="E112" s="113" t="s">
        <v>181</v>
      </c>
      <c r="F112" s="111"/>
      <c r="G112" s="111"/>
      <c r="H112" s="111"/>
      <c r="I112" s="111"/>
      <c r="J112" s="111"/>
      <c r="K112" s="111"/>
      <c r="L112" s="111"/>
      <c r="M112" s="111"/>
      <c r="N112" s="111"/>
      <c r="O112" s="111"/>
      <c r="P112" s="111"/>
      <c r="Q112" s="111"/>
    </row>
    <row r="113" spans="1:17" ht="63" customHeight="1" x14ac:dyDescent="0.25">
      <c r="A113" s="114" t="s">
        <v>711</v>
      </c>
      <c r="B113" s="114" t="s">
        <v>712</v>
      </c>
      <c r="C113" s="115" t="s">
        <v>712</v>
      </c>
      <c r="D113" s="115" t="s">
        <v>4</v>
      </c>
      <c r="E113" s="115" t="s">
        <v>244</v>
      </c>
      <c r="F113" s="111"/>
      <c r="G113" s="111"/>
      <c r="H113" s="111"/>
      <c r="I113" s="111"/>
      <c r="J113" s="111"/>
      <c r="K113" s="111"/>
      <c r="L113" s="111"/>
      <c r="M113" s="111"/>
      <c r="N113" s="111"/>
      <c r="O113" s="111"/>
      <c r="P113" s="111"/>
      <c r="Q113" s="111"/>
    </row>
    <row r="114" spans="1:17" x14ac:dyDescent="0.25">
      <c r="A114" s="111"/>
      <c r="B114" s="111"/>
      <c r="C114" s="111"/>
      <c r="D114" s="111"/>
      <c r="E114" s="111"/>
      <c r="F114" s="111"/>
      <c r="G114" s="111"/>
      <c r="H114" s="111"/>
      <c r="I114" s="111"/>
      <c r="J114" s="111"/>
      <c r="K114" s="111"/>
      <c r="L114" s="111"/>
      <c r="M114" s="111"/>
      <c r="N114" s="111"/>
      <c r="O114" s="111"/>
      <c r="P114" s="111"/>
      <c r="Q114" s="111"/>
    </row>
    <row r="115" spans="1:17" ht="18.75" x14ac:dyDescent="0.25">
      <c r="A115" s="321" t="s">
        <v>304</v>
      </c>
      <c r="B115" s="316"/>
      <c r="C115" s="316"/>
      <c r="D115" s="317"/>
      <c r="E115" s="111"/>
      <c r="F115" s="111"/>
      <c r="G115" s="111"/>
      <c r="H115" s="111"/>
      <c r="I115" s="111"/>
      <c r="J115" s="111"/>
      <c r="K115" s="111"/>
      <c r="L115" s="111"/>
      <c r="M115" s="111"/>
      <c r="N115" s="111"/>
      <c r="O115" s="111"/>
      <c r="P115" s="111"/>
      <c r="Q115" s="111"/>
    </row>
    <row r="116" spans="1:17" ht="60" x14ac:dyDescent="0.25">
      <c r="A116" s="112" t="s">
        <v>180</v>
      </c>
      <c r="B116" s="112" t="s">
        <v>305</v>
      </c>
      <c r="C116" s="112" t="s">
        <v>253</v>
      </c>
      <c r="D116" s="112" t="s">
        <v>306</v>
      </c>
      <c r="E116" s="112" t="s">
        <v>307</v>
      </c>
      <c r="F116" s="112" t="s">
        <v>308</v>
      </c>
      <c r="G116" s="112" t="s">
        <v>309</v>
      </c>
      <c r="H116" s="112" t="s">
        <v>310</v>
      </c>
      <c r="I116" s="112" t="s">
        <v>311</v>
      </c>
      <c r="J116" s="112" t="s">
        <v>408</v>
      </c>
      <c r="K116" s="112" t="s">
        <v>409</v>
      </c>
      <c r="L116" s="112" t="s">
        <v>410</v>
      </c>
      <c r="M116" s="112" t="s">
        <v>414</v>
      </c>
      <c r="N116" s="112" t="s">
        <v>415</v>
      </c>
      <c r="O116" s="112" t="s">
        <v>411</v>
      </c>
      <c r="P116" s="112" t="s">
        <v>412</v>
      </c>
      <c r="Q116" s="112" t="s">
        <v>413</v>
      </c>
    </row>
    <row r="117" spans="1:17" x14ac:dyDescent="0.25">
      <c r="A117" s="116">
        <v>0</v>
      </c>
      <c r="B117" s="114" t="s">
        <v>447</v>
      </c>
      <c r="C117" s="114" t="s">
        <v>312</v>
      </c>
      <c r="D117" s="114" t="s">
        <v>74</v>
      </c>
      <c r="E117" s="114" t="s">
        <v>87</v>
      </c>
      <c r="F117" s="114" t="s">
        <v>87</v>
      </c>
      <c r="G117" s="114" t="s">
        <v>74</v>
      </c>
      <c r="H117" s="114">
        <v>0</v>
      </c>
      <c r="I117" s="114">
        <v>0</v>
      </c>
      <c r="J117" s="114"/>
      <c r="K117" s="114"/>
      <c r="L117" s="114">
        <v>0</v>
      </c>
      <c r="M117" s="114">
        <v>0</v>
      </c>
      <c r="N117" s="114"/>
      <c r="O117" s="114"/>
      <c r="P117" s="114">
        <v>0</v>
      </c>
      <c r="Q117" s="114">
        <v>0</v>
      </c>
    </row>
    <row r="120" spans="1:17" s="110" customFormat="1" ht="21" x14ac:dyDescent="0.35">
      <c r="A120" s="109" t="s">
        <v>315</v>
      </c>
      <c r="B120" s="109"/>
    </row>
    <row r="122" spans="1:17" ht="18.75" x14ac:dyDescent="0.25">
      <c r="A122" s="321" t="s">
        <v>316</v>
      </c>
      <c r="B122" s="316"/>
      <c r="C122" s="316"/>
      <c r="D122" s="317"/>
      <c r="E122" s="111"/>
      <c r="F122" s="111"/>
      <c r="G122" s="111"/>
      <c r="H122" s="111"/>
      <c r="I122" s="111"/>
      <c r="J122" s="111"/>
    </row>
    <row r="123" spans="1:17" ht="61.5" customHeight="1" x14ac:dyDescent="0.25">
      <c r="A123" s="112" t="s">
        <v>119</v>
      </c>
      <c r="B123" s="112" t="s">
        <v>11</v>
      </c>
      <c r="C123" s="112" t="s">
        <v>301</v>
      </c>
      <c r="D123" s="112" t="s">
        <v>317</v>
      </c>
      <c r="E123" s="112" t="s">
        <v>318</v>
      </c>
      <c r="F123" s="112" t="s">
        <v>319</v>
      </c>
      <c r="G123" s="112" t="s">
        <v>416</v>
      </c>
      <c r="H123" s="112" t="s">
        <v>320</v>
      </c>
      <c r="I123" s="112" t="s">
        <v>321</v>
      </c>
      <c r="J123" s="112" t="s">
        <v>181</v>
      </c>
      <c r="K123" s="112" t="s">
        <v>322</v>
      </c>
      <c r="L123" s="112" t="s">
        <v>417</v>
      </c>
      <c r="M123" s="112" t="s">
        <v>418</v>
      </c>
      <c r="N123" s="112" t="s">
        <v>419</v>
      </c>
      <c r="O123" s="112" t="s">
        <v>420</v>
      </c>
    </row>
    <row r="124" spans="1:17" ht="51.95" customHeight="1" x14ac:dyDescent="0.25">
      <c r="A124" s="114" t="s">
        <v>323</v>
      </c>
      <c r="B124" s="114" t="s">
        <v>324</v>
      </c>
      <c r="C124" s="114" t="s">
        <v>324</v>
      </c>
      <c r="D124" s="114" t="s">
        <v>325</v>
      </c>
      <c r="E124" s="114" t="s">
        <v>87</v>
      </c>
      <c r="F124" s="114" t="s">
        <v>74</v>
      </c>
      <c r="G124" s="114" t="s">
        <v>74</v>
      </c>
      <c r="H124" s="114" t="s">
        <v>74</v>
      </c>
      <c r="I124" s="114" t="s">
        <v>87</v>
      </c>
      <c r="J124" s="114" t="s">
        <v>244</v>
      </c>
      <c r="K124" s="114" t="s">
        <v>74</v>
      </c>
      <c r="L124" s="114" t="s">
        <v>74</v>
      </c>
      <c r="M124" s="114" t="s">
        <v>74</v>
      </c>
      <c r="N124" s="139" t="s">
        <v>421</v>
      </c>
      <c r="O124" s="114" t="s">
        <v>74</v>
      </c>
    </row>
    <row r="126" spans="1:17" ht="18.75" x14ac:dyDescent="0.25">
      <c r="A126" s="321" t="s">
        <v>422</v>
      </c>
      <c r="B126" s="316"/>
      <c r="C126" s="316"/>
      <c r="D126" s="317"/>
      <c r="E126" s="111"/>
      <c r="F126" s="111"/>
      <c r="G126" s="111"/>
    </row>
    <row r="127" spans="1:17" ht="60" x14ac:dyDescent="0.25">
      <c r="A127" s="112" t="s">
        <v>54</v>
      </c>
      <c r="B127" s="112" t="s">
        <v>55</v>
      </c>
      <c r="C127" s="112" t="s">
        <v>423</v>
      </c>
      <c r="D127" s="112" t="s">
        <v>0</v>
      </c>
      <c r="E127" s="112" t="s">
        <v>225</v>
      </c>
      <c r="F127" s="112" t="s">
        <v>226</v>
      </c>
      <c r="G127" s="112" t="s">
        <v>424</v>
      </c>
      <c r="H127" s="112" t="s">
        <v>326</v>
      </c>
    </row>
    <row r="128" spans="1:17" ht="15.6" customHeight="1" x14ac:dyDescent="0.25">
      <c r="A128" s="116" t="s">
        <v>327</v>
      </c>
      <c r="B128" s="114"/>
      <c r="C128" s="114" t="s">
        <v>139</v>
      </c>
      <c r="D128" s="116" t="s">
        <v>328</v>
      </c>
      <c r="E128" s="114"/>
      <c r="F128" s="114"/>
      <c r="G128" s="114"/>
      <c r="H128" s="114" t="s">
        <v>713</v>
      </c>
    </row>
    <row r="130" spans="1:15" ht="18.75" x14ac:dyDescent="0.25">
      <c r="A130" s="117" t="s">
        <v>329</v>
      </c>
      <c r="B130" s="118"/>
      <c r="C130" s="118"/>
    </row>
    <row r="131" spans="1:15" x14ac:dyDescent="0.25">
      <c r="A131" s="112" t="s">
        <v>330</v>
      </c>
      <c r="B131" s="112" t="s">
        <v>208</v>
      </c>
      <c r="C131" s="112" t="s">
        <v>10</v>
      </c>
    </row>
    <row r="132" spans="1:15" ht="18" customHeight="1" x14ac:dyDescent="0.25">
      <c r="A132" s="114" t="s">
        <v>428</v>
      </c>
      <c r="B132" s="116" t="s">
        <v>429</v>
      </c>
      <c r="C132" s="114" t="s">
        <v>430</v>
      </c>
    </row>
    <row r="133" spans="1:15" ht="18" customHeight="1" x14ac:dyDescent="0.25">
      <c r="A133" s="114" t="s">
        <v>441</v>
      </c>
      <c r="B133" s="116" t="s">
        <v>442</v>
      </c>
      <c r="C133" s="114" t="s">
        <v>443</v>
      </c>
    </row>
    <row r="135" spans="1:15" ht="18.600000000000001" customHeight="1" x14ac:dyDescent="0.25">
      <c r="A135" s="117" t="s">
        <v>331</v>
      </c>
      <c r="B135" s="118"/>
      <c r="C135" s="118"/>
    </row>
    <row r="136" spans="1:15" x14ac:dyDescent="0.25">
      <c r="A136" s="112" t="s">
        <v>332</v>
      </c>
      <c r="B136" s="112" t="s">
        <v>333</v>
      </c>
      <c r="C136" s="112" t="s">
        <v>33</v>
      </c>
    </row>
    <row r="137" spans="1:15" x14ac:dyDescent="0.25">
      <c r="A137" s="119" t="s">
        <v>271</v>
      </c>
      <c r="B137" s="114" t="s">
        <v>431</v>
      </c>
      <c r="C137" s="119" t="s">
        <v>432</v>
      </c>
    </row>
    <row r="139" spans="1:15" s="110" customFormat="1" ht="21" x14ac:dyDescent="0.35">
      <c r="A139" s="109" t="s">
        <v>714</v>
      </c>
      <c r="B139" s="109"/>
    </row>
    <row r="141" spans="1:15" ht="18.75" x14ac:dyDescent="0.25">
      <c r="A141" s="321" t="s">
        <v>316</v>
      </c>
      <c r="B141" s="316"/>
      <c r="C141" s="316"/>
      <c r="D141" s="317"/>
      <c r="E141" s="111"/>
      <c r="F141" s="111"/>
      <c r="G141" s="111"/>
      <c r="H141" s="111"/>
      <c r="I141" s="111"/>
      <c r="J141" s="111"/>
    </row>
    <row r="142" spans="1:15" ht="61.5" customHeight="1" x14ac:dyDescent="0.25">
      <c r="A142" s="112" t="s">
        <v>119</v>
      </c>
      <c r="B142" s="112" t="s">
        <v>11</v>
      </c>
      <c r="C142" s="112" t="s">
        <v>301</v>
      </c>
      <c r="D142" s="112" t="s">
        <v>317</v>
      </c>
      <c r="E142" s="112" t="s">
        <v>318</v>
      </c>
      <c r="F142" s="112" t="s">
        <v>319</v>
      </c>
      <c r="G142" s="112" t="s">
        <v>416</v>
      </c>
      <c r="H142" s="112" t="s">
        <v>320</v>
      </c>
      <c r="I142" s="112" t="s">
        <v>321</v>
      </c>
      <c r="J142" s="112" t="s">
        <v>181</v>
      </c>
      <c r="K142" s="112" t="s">
        <v>322</v>
      </c>
      <c r="L142" s="112" t="s">
        <v>417</v>
      </c>
      <c r="M142" s="112" t="s">
        <v>418</v>
      </c>
      <c r="N142" s="112" t="s">
        <v>419</v>
      </c>
      <c r="O142" s="112" t="s">
        <v>420</v>
      </c>
    </row>
    <row r="143" spans="1:15" ht="51.95" customHeight="1" x14ac:dyDescent="0.25">
      <c r="A143" s="114" t="s">
        <v>606</v>
      </c>
      <c r="B143" s="114" t="s">
        <v>715</v>
      </c>
      <c r="C143" s="114" t="s">
        <v>716</v>
      </c>
      <c r="D143" s="114" t="s">
        <v>325</v>
      </c>
      <c r="E143" s="114" t="s">
        <v>87</v>
      </c>
      <c r="F143" s="114" t="s">
        <v>74</v>
      </c>
      <c r="G143" s="114" t="s">
        <v>87</v>
      </c>
      <c r="H143" s="114" t="s">
        <v>87</v>
      </c>
      <c r="I143" s="114" t="s">
        <v>87</v>
      </c>
      <c r="J143" s="114" t="s">
        <v>244</v>
      </c>
      <c r="K143" s="114" t="s">
        <v>74</v>
      </c>
      <c r="L143" s="114" t="s">
        <v>74</v>
      </c>
      <c r="M143" s="114" t="s">
        <v>74</v>
      </c>
      <c r="N143" s="139" t="s">
        <v>421</v>
      </c>
      <c r="O143" s="114" t="s">
        <v>74</v>
      </c>
    </row>
    <row r="145" spans="1:8" ht="18.75" x14ac:dyDescent="0.25">
      <c r="A145" s="321" t="s">
        <v>422</v>
      </c>
      <c r="B145" s="316"/>
      <c r="C145" s="316"/>
      <c r="D145" s="317"/>
      <c r="E145" s="111"/>
      <c r="F145" s="111"/>
      <c r="G145" s="111"/>
    </row>
    <row r="146" spans="1:8" ht="60" x14ac:dyDescent="0.25">
      <c r="A146" s="112" t="s">
        <v>54</v>
      </c>
      <c r="B146" s="112" t="s">
        <v>55</v>
      </c>
      <c r="C146" s="112" t="s">
        <v>423</v>
      </c>
      <c r="D146" s="112" t="s">
        <v>0</v>
      </c>
      <c r="E146" s="112" t="s">
        <v>225</v>
      </c>
      <c r="F146" s="112" t="s">
        <v>226</v>
      </c>
      <c r="G146" s="112" t="s">
        <v>424</v>
      </c>
      <c r="H146" s="112" t="s">
        <v>326</v>
      </c>
    </row>
    <row r="147" spans="1:8" ht="15.6" customHeight="1" x14ac:dyDescent="0.25">
      <c r="A147" s="116" t="s">
        <v>327</v>
      </c>
      <c r="B147" s="114"/>
      <c r="C147" s="114" t="s">
        <v>139</v>
      </c>
      <c r="D147" s="116" t="s">
        <v>328</v>
      </c>
      <c r="E147" s="114"/>
      <c r="F147" s="114"/>
      <c r="G147" s="114"/>
      <c r="H147" s="114" t="s">
        <v>713</v>
      </c>
    </row>
    <row r="148" spans="1:8" ht="15.6" customHeight="1" x14ac:dyDescent="0.25">
      <c r="A148" s="116" t="s">
        <v>327</v>
      </c>
      <c r="B148" s="114"/>
      <c r="C148" s="114" t="s">
        <v>0</v>
      </c>
      <c r="D148" s="116" t="s">
        <v>328</v>
      </c>
      <c r="E148" s="114"/>
      <c r="F148" s="114"/>
      <c r="G148" s="114"/>
      <c r="H148" s="114" t="s">
        <v>700</v>
      </c>
    </row>
    <row r="150" spans="1:8" ht="18.75" x14ac:dyDescent="0.25">
      <c r="A150" s="117" t="s">
        <v>329</v>
      </c>
      <c r="B150" s="118"/>
      <c r="C150" s="118"/>
    </row>
    <row r="151" spans="1:8" x14ac:dyDescent="0.25">
      <c r="A151" s="112" t="s">
        <v>330</v>
      </c>
      <c r="B151" s="112" t="s">
        <v>208</v>
      </c>
      <c r="C151" s="112" t="s">
        <v>10</v>
      </c>
    </row>
    <row r="152" spans="1:8" ht="18" customHeight="1" x14ac:dyDescent="0.25">
      <c r="A152" s="114" t="s">
        <v>428</v>
      </c>
      <c r="B152" s="116" t="s">
        <v>429</v>
      </c>
      <c r="C152" s="114" t="s">
        <v>430</v>
      </c>
    </row>
    <row r="153" spans="1:8" ht="18" customHeight="1" x14ac:dyDescent="0.25">
      <c r="A153" s="114" t="s">
        <v>441</v>
      </c>
      <c r="B153" s="116" t="s">
        <v>442</v>
      </c>
      <c r="C153" s="114" t="s">
        <v>443</v>
      </c>
    </row>
    <row r="155" spans="1:8" ht="18.600000000000001" customHeight="1" x14ac:dyDescent="0.25">
      <c r="A155" s="117" t="s">
        <v>331</v>
      </c>
      <c r="B155" s="118"/>
      <c r="C155" s="118"/>
    </row>
    <row r="156" spans="1:8" x14ac:dyDescent="0.25">
      <c r="A156" s="112" t="s">
        <v>332</v>
      </c>
      <c r="B156" s="112" t="s">
        <v>333</v>
      </c>
      <c r="C156" s="112" t="s">
        <v>33</v>
      </c>
    </row>
    <row r="157" spans="1:8" x14ac:dyDescent="0.25">
      <c r="A157" s="119" t="s">
        <v>271</v>
      </c>
      <c r="B157" s="114" t="s">
        <v>431</v>
      </c>
      <c r="C157" s="119" t="s">
        <v>432</v>
      </c>
    </row>
    <row r="159" spans="1:8" s="110" customFormat="1" ht="21" x14ac:dyDescent="0.35">
      <c r="A159" s="109" t="s">
        <v>717</v>
      </c>
      <c r="B159" s="109"/>
    </row>
    <row r="161" spans="1:15" ht="18.75" x14ac:dyDescent="0.25">
      <c r="A161" s="321" t="s">
        <v>316</v>
      </c>
      <c r="B161" s="316"/>
      <c r="C161" s="316"/>
      <c r="D161" s="317"/>
      <c r="E161" s="111"/>
      <c r="F161" s="111"/>
      <c r="G161" s="111"/>
      <c r="H161" s="111"/>
      <c r="I161" s="111"/>
      <c r="J161" s="111"/>
    </row>
    <row r="162" spans="1:15" ht="61.5" customHeight="1" x14ac:dyDescent="0.25">
      <c r="A162" s="112" t="s">
        <v>119</v>
      </c>
      <c r="B162" s="112" t="s">
        <v>11</v>
      </c>
      <c r="C162" s="112" t="s">
        <v>301</v>
      </c>
      <c r="D162" s="112" t="s">
        <v>317</v>
      </c>
      <c r="E162" s="112" t="s">
        <v>318</v>
      </c>
      <c r="F162" s="112" t="s">
        <v>319</v>
      </c>
      <c r="G162" s="112" t="s">
        <v>416</v>
      </c>
      <c r="H162" s="112" t="s">
        <v>320</v>
      </c>
      <c r="I162" s="112" t="s">
        <v>321</v>
      </c>
      <c r="J162" s="112" t="s">
        <v>181</v>
      </c>
      <c r="K162" s="112" t="s">
        <v>322</v>
      </c>
      <c r="L162" s="112" t="s">
        <v>417</v>
      </c>
      <c r="M162" s="112" t="s">
        <v>418</v>
      </c>
      <c r="N162" s="112" t="s">
        <v>419</v>
      </c>
      <c r="O162" s="112" t="s">
        <v>420</v>
      </c>
    </row>
    <row r="163" spans="1:15" ht="51.95" customHeight="1" x14ac:dyDescent="0.25">
      <c r="A163" s="114" t="s">
        <v>718</v>
      </c>
      <c r="B163" s="114" t="s">
        <v>719</v>
      </c>
      <c r="C163" s="114" t="s">
        <v>719</v>
      </c>
      <c r="D163" s="114" t="s">
        <v>325</v>
      </c>
      <c r="E163" s="114" t="s">
        <v>87</v>
      </c>
      <c r="F163" s="114" t="s">
        <v>74</v>
      </c>
      <c r="G163" s="114" t="s">
        <v>87</v>
      </c>
      <c r="H163" s="114" t="s">
        <v>87</v>
      </c>
      <c r="I163" s="114" t="s">
        <v>87</v>
      </c>
      <c r="J163" s="114" t="s">
        <v>244</v>
      </c>
      <c r="K163" s="114" t="s">
        <v>74</v>
      </c>
      <c r="L163" s="114" t="s">
        <v>74</v>
      </c>
      <c r="M163" s="114" t="s">
        <v>74</v>
      </c>
      <c r="N163" s="139" t="s">
        <v>421</v>
      </c>
      <c r="O163" s="114" t="s">
        <v>74</v>
      </c>
    </row>
    <row r="165" spans="1:15" ht="18.75" x14ac:dyDescent="0.25">
      <c r="A165" s="321" t="s">
        <v>422</v>
      </c>
      <c r="B165" s="316"/>
      <c r="C165" s="316"/>
      <c r="D165" s="317"/>
      <c r="E165" s="111"/>
      <c r="F165" s="111"/>
      <c r="G165" s="111"/>
    </row>
    <row r="166" spans="1:15" ht="60" x14ac:dyDescent="0.25">
      <c r="A166" s="112" t="s">
        <v>54</v>
      </c>
      <c r="B166" s="112" t="s">
        <v>55</v>
      </c>
      <c r="C166" s="112" t="s">
        <v>423</v>
      </c>
      <c r="D166" s="112" t="s">
        <v>0</v>
      </c>
      <c r="E166" s="112" t="s">
        <v>225</v>
      </c>
      <c r="F166" s="112" t="s">
        <v>226</v>
      </c>
      <c r="G166" s="112" t="s">
        <v>424</v>
      </c>
      <c r="H166" s="112" t="s">
        <v>326</v>
      </c>
    </row>
    <row r="167" spans="1:15" ht="15.6" customHeight="1" x14ac:dyDescent="0.25">
      <c r="A167" s="116" t="s">
        <v>327</v>
      </c>
      <c r="B167" s="114"/>
      <c r="C167" s="114" t="s">
        <v>139</v>
      </c>
      <c r="D167" s="116" t="s">
        <v>328</v>
      </c>
      <c r="E167" s="114"/>
      <c r="F167" s="114"/>
      <c r="G167" s="114"/>
      <c r="H167" s="114" t="s">
        <v>707</v>
      </c>
    </row>
    <row r="169" spans="1:15" ht="18.75" x14ac:dyDescent="0.25">
      <c r="A169" s="117" t="s">
        <v>329</v>
      </c>
      <c r="B169" s="118"/>
      <c r="C169" s="118"/>
    </row>
    <row r="170" spans="1:15" x14ac:dyDescent="0.25">
      <c r="A170" s="112" t="s">
        <v>330</v>
      </c>
      <c r="B170" s="112" t="s">
        <v>208</v>
      </c>
      <c r="C170" s="112" t="s">
        <v>10</v>
      </c>
    </row>
    <row r="171" spans="1:15" ht="18" customHeight="1" x14ac:dyDescent="0.25">
      <c r="A171" s="114" t="s">
        <v>428</v>
      </c>
      <c r="B171" s="116" t="s">
        <v>429</v>
      </c>
      <c r="C171" s="114" t="s">
        <v>430</v>
      </c>
    </row>
    <row r="172" spans="1:15" ht="18" customHeight="1" x14ac:dyDescent="0.25">
      <c r="A172" s="114" t="s">
        <v>441</v>
      </c>
      <c r="B172" s="116" t="s">
        <v>442</v>
      </c>
      <c r="C172" s="114" t="s">
        <v>443</v>
      </c>
    </row>
    <row r="174" spans="1:15" ht="18.600000000000001" customHeight="1" x14ac:dyDescent="0.25">
      <c r="A174" s="117" t="s">
        <v>331</v>
      </c>
      <c r="B174" s="118"/>
      <c r="C174" s="118"/>
    </row>
    <row r="175" spans="1:15" x14ac:dyDescent="0.25">
      <c r="A175" s="112" t="s">
        <v>332</v>
      </c>
      <c r="B175" s="112" t="s">
        <v>333</v>
      </c>
      <c r="C175" s="112" t="s">
        <v>33</v>
      </c>
    </row>
    <row r="176" spans="1:15" x14ac:dyDescent="0.25">
      <c r="A176" s="119" t="s">
        <v>271</v>
      </c>
      <c r="B176" s="114" t="s">
        <v>431</v>
      </c>
      <c r="C176" s="119" t="s">
        <v>432</v>
      </c>
    </row>
    <row r="178" spans="1:15" s="110" customFormat="1" ht="21" x14ac:dyDescent="0.35">
      <c r="A178" s="109" t="s">
        <v>720</v>
      </c>
      <c r="B178" s="109"/>
    </row>
    <row r="180" spans="1:15" ht="18.75" x14ac:dyDescent="0.25">
      <c r="A180" s="321" t="s">
        <v>316</v>
      </c>
      <c r="B180" s="316"/>
      <c r="C180" s="316"/>
      <c r="D180" s="317"/>
      <c r="E180" s="111"/>
      <c r="F180" s="111"/>
      <c r="G180" s="111"/>
      <c r="H180" s="111"/>
      <c r="I180" s="111"/>
      <c r="J180" s="111"/>
    </row>
    <row r="181" spans="1:15" ht="61.5" customHeight="1" x14ac:dyDescent="0.25">
      <c r="A181" s="112" t="s">
        <v>119</v>
      </c>
      <c r="B181" s="112" t="s">
        <v>11</v>
      </c>
      <c r="C181" s="112" t="s">
        <v>301</v>
      </c>
      <c r="D181" s="112" t="s">
        <v>317</v>
      </c>
      <c r="E181" s="112" t="s">
        <v>318</v>
      </c>
      <c r="F181" s="112" t="s">
        <v>319</v>
      </c>
      <c r="G181" s="112" t="s">
        <v>416</v>
      </c>
      <c r="H181" s="112" t="s">
        <v>320</v>
      </c>
      <c r="I181" s="112" t="s">
        <v>321</v>
      </c>
      <c r="J181" s="112" t="s">
        <v>181</v>
      </c>
      <c r="K181" s="112" t="s">
        <v>322</v>
      </c>
      <c r="L181" s="112" t="s">
        <v>417</v>
      </c>
      <c r="M181" s="112" t="s">
        <v>418</v>
      </c>
      <c r="N181" s="112" t="s">
        <v>419</v>
      </c>
      <c r="O181" s="112" t="s">
        <v>420</v>
      </c>
    </row>
    <row r="182" spans="1:15" ht="51.95" customHeight="1" x14ac:dyDescent="0.25">
      <c r="A182" s="114" t="s">
        <v>721</v>
      </c>
      <c r="B182" s="114" t="s">
        <v>722</v>
      </c>
      <c r="C182" s="114" t="s">
        <v>722</v>
      </c>
      <c r="D182" s="114" t="s">
        <v>325</v>
      </c>
      <c r="E182" s="114" t="s">
        <v>87</v>
      </c>
      <c r="F182" s="114" t="s">
        <v>74</v>
      </c>
      <c r="G182" s="114" t="s">
        <v>87</v>
      </c>
      <c r="H182" s="114" t="s">
        <v>74</v>
      </c>
      <c r="I182" s="114" t="s">
        <v>87</v>
      </c>
      <c r="J182" s="114" t="s">
        <v>244</v>
      </c>
      <c r="K182" s="114" t="s">
        <v>74</v>
      </c>
      <c r="L182" s="114" t="s">
        <v>74</v>
      </c>
      <c r="M182" s="114" t="s">
        <v>74</v>
      </c>
      <c r="N182" s="139" t="s">
        <v>421</v>
      </c>
      <c r="O182" s="114" t="s">
        <v>74</v>
      </c>
    </row>
    <row r="184" spans="1:15" ht="18.75" x14ac:dyDescent="0.25">
      <c r="A184" s="321" t="s">
        <v>422</v>
      </c>
      <c r="B184" s="316"/>
      <c r="C184" s="316"/>
      <c r="D184" s="317"/>
      <c r="E184" s="111"/>
      <c r="F184" s="111"/>
      <c r="G184" s="111"/>
    </row>
    <row r="185" spans="1:15" ht="60" x14ac:dyDescent="0.25">
      <c r="A185" s="112" t="s">
        <v>54</v>
      </c>
      <c r="B185" s="112" t="s">
        <v>55</v>
      </c>
      <c r="C185" s="112" t="s">
        <v>423</v>
      </c>
      <c r="D185" s="112" t="s">
        <v>0</v>
      </c>
      <c r="E185" s="112" t="s">
        <v>225</v>
      </c>
      <c r="F185" s="112" t="s">
        <v>226</v>
      </c>
      <c r="G185" s="112" t="s">
        <v>424</v>
      </c>
      <c r="H185" s="112" t="s">
        <v>326</v>
      </c>
    </row>
    <row r="186" spans="1:15" ht="15.6" customHeight="1" x14ac:dyDescent="0.25">
      <c r="A186" s="116" t="s">
        <v>327</v>
      </c>
      <c r="B186" s="114"/>
      <c r="C186" s="114" t="s">
        <v>139</v>
      </c>
      <c r="D186" s="116" t="s">
        <v>328</v>
      </c>
      <c r="E186" s="114"/>
      <c r="F186" s="114"/>
      <c r="G186" s="114"/>
      <c r="H186" s="114" t="s">
        <v>707</v>
      </c>
    </row>
    <row r="187" spans="1:15" ht="15.6" customHeight="1" x14ac:dyDescent="0.25">
      <c r="A187" s="116" t="s">
        <v>327</v>
      </c>
      <c r="B187" s="114"/>
      <c r="C187" s="114" t="s">
        <v>424</v>
      </c>
      <c r="D187" s="116" t="s">
        <v>328</v>
      </c>
      <c r="E187" s="114"/>
      <c r="F187" s="114"/>
      <c r="G187" s="114"/>
      <c r="H187" s="114" t="s">
        <v>703</v>
      </c>
    </row>
    <row r="189" spans="1:15" ht="18.75" x14ac:dyDescent="0.25">
      <c r="A189" s="117" t="s">
        <v>329</v>
      </c>
      <c r="B189" s="118"/>
      <c r="C189" s="118"/>
    </row>
    <row r="190" spans="1:15" x14ac:dyDescent="0.25">
      <c r="A190" s="112" t="s">
        <v>330</v>
      </c>
      <c r="B190" s="112" t="s">
        <v>208</v>
      </c>
      <c r="C190" s="112" t="s">
        <v>10</v>
      </c>
    </row>
    <row r="191" spans="1:15" ht="18" customHeight="1" x14ac:dyDescent="0.25">
      <c r="A191" s="114" t="s">
        <v>428</v>
      </c>
      <c r="B191" s="116" t="s">
        <v>429</v>
      </c>
      <c r="C191" s="114" t="s">
        <v>430</v>
      </c>
    </row>
    <row r="192" spans="1:15" ht="18" customHeight="1" x14ac:dyDescent="0.25">
      <c r="A192" s="114" t="s">
        <v>441</v>
      </c>
      <c r="B192" s="116" t="s">
        <v>442</v>
      </c>
      <c r="C192" s="114" t="s">
        <v>443</v>
      </c>
    </row>
    <row r="194" spans="1:15" ht="18.600000000000001" customHeight="1" x14ac:dyDescent="0.25">
      <c r="A194" s="117" t="s">
        <v>331</v>
      </c>
      <c r="B194" s="118"/>
      <c r="C194" s="118"/>
    </row>
    <row r="195" spans="1:15" x14ac:dyDescent="0.25">
      <c r="A195" s="112" t="s">
        <v>332</v>
      </c>
      <c r="B195" s="112" t="s">
        <v>333</v>
      </c>
      <c r="C195" s="112" t="s">
        <v>33</v>
      </c>
    </row>
    <row r="196" spans="1:15" x14ac:dyDescent="0.25">
      <c r="A196" s="119" t="s">
        <v>271</v>
      </c>
      <c r="B196" s="114" t="s">
        <v>431</v>
      </c>
      <c r="C196" s="119" t="s">
        <v>432</v>
      </c>
    </row>
    <row r="198" spans="1:15" s="110" customFormat="1" ht="21" x14ac:dyDescent="0.35">
      <c r="A198" s="109" t="s">
        <v>723</v>
      </c>
      <c r="B198" s="109"/>
    </row>
    <row r="200" spans="1:15" ht="18.75" x14ac:dyDescent="0.25">
      <c r="A200" s="321" t="s">
        <v>316</v>
      </c>
      <c r="B200" s="316"/>
      <c r="C200" s="316"/>
      <c r="D200" s="317"/>
      <c r="E200" s="111"/>
      <c r="F200" s="111"/>
      <c r="G200" s="111"/>
      <c r="H200" s="111"/>
      <c r="I200" s="111"/>
      <c r="J200" s="111"/>
    </row>
    <row r="201" spans="1:15" ht="61.5" customHeight="1" x14ac:dyDescent="0.25">
      <c r="A201" s="112" t="s">
        <v>119</v>
      </c>
      <c r="B201" s="112" t="s">
        <v>11</v>
      </c>
      <c r="C201" s="112" t="s">
        <v>301</v>
      </c>
      <c r="D201" s="112" t="s">
        <v>317</v>
      </c>
      <c r="E201" s="112" t="s">
        <v>318</v>
      </c>
      <c r="F201" s="112" t="s">
        <v>319</v>
      </c>
      <c r="G201" s="112" t="s">
        <v>416</v>
      </c>
      <c r="H201" s="112" t="s">
        <v>320</v>
      </c>
      <c r="I201" s="112" t="s">
        <v>321</v>
      </c>
      <c r="J201" s="112" t="s">
        <v>181</v>
      </c>
      <c r="K201" s="112" t="s">
        <v>322</v>
      </c>
      <c r="L201" s="112" t="s">
        <v>417</v>
      </c>
      <c r="M201" s="112" t="s">
        <v>418</v>
      </c>
      <c r="N201" s="112" t="s">
        <v>419</v>
      </c>
      <c r="O201" s="112" t="s">
        <v>420</v>
      </c>
    </row>
    <row r="202" spans="1:15" ht="51.95" customHeight="1" x14ac:dyDescent="0.25">
      <c r="A202" s="114" t="s">
        <v>711</v>
      </c>
      <c r="B202" s="114" t="s">
        <v>724</v>
      </c>
      <c r="C202" s="114" t="s">
        <v>724</v>
      </c>
      <c r="D202" s="114" t="s">
        <v>325</v>
      </c>
      <c r="E202" s="114" t="s">
        <v>74</v>
      </c>
      <c r="F202" s="114" t="s">
        <v>74</v>
      </c>
      <c r="G202" s="114" t="s">
        <v>74</v>
      </c>
      <c r="H202" s="114" t="s">
        <v>74</v>
      </c>
      <c r="I202" s="114" t="s">
        <v>87</v>
      </c>
      <c r="J202" s="114" t="s">
        <v>244</v>
      </c>
      <c r="K202" s="114" t="s">
        <v>74</v>
      </c>
      <c r="L202" s="114" t="s">
        <v>74</v>
      </c>
      <c r="M202" s="114" t="s">
        <v>74</v>
      </c>
      <c r="N202" s="139" t="s">
        <v>421</v>
      </c>
      <c r="O202" s="114" t="s">
        <v>74</v>
      </c>
    </row>
    <row r="204" spans="1:15" ht="18.75" x14ac:dyDescent="0.25">
      <c r="A204" s="321" t="s">
        <v>422</v>
      </c>
      <c r="B204" s="316"/>
      <c r="C204" s="316"/>
      <c r="D204" s="317"/>
      <c r="E204" s="111"/>
      <c r="F204" s="111"/>
      <c r="G204" s="111"/>
    </row>
    <row r="205" spans="1:15" ht="60" x14ac:dyDescent="0.25">
      <c r="A205" s="112" t="s">
        <v>54</v>
      </c>
      <c r="B205" s="112" t="s">
        <v>55</v>
      </c>
      <c r="C205" s="112" t="s">
        <v>423</v>
      </c>
      <c r="D205" s="112" t="s">
        <v>0</v>
      </c>
      <c r="E205" s="112" t="s">
        <v>225</v>
      </c>
      <c r="F205" s="112" t="s">
        <v>226</v>
      </c>
      <c r="G205" s="112" t="s">
        <v>424</v>
      </c>
      <c r="H205" s="112" t="s">
        <v>326</v>
      </c>
    </row>
    <row r="206" spans="1:15" ht="15.6" customHeight="1" x14ac:dyDescent="0.25">
      <c r="A206" s="116" t="s">
        <v>327</v>
      </c>
      <c r="B206" s="114"/>
      <c r="C206" s="114" t="s">
        <v>139</v>
      </c>
      <c r="D206" s="116" t="s">
        <v>328</v>
      </c>
      <c r="E206" s="114"/>
      <c r="F206" s="114"/>
      <c r="G206" s="114"/>
      <c r="H206" s="114" t="s">
        <v>711</v>
      </c>
    </row>
    <row r="208" spans="1:15" ht="18.75" x14ac:dyDescent="0.25">
      <c r="A208" s="117" t="s">
        <v>329</v>
      </c>
      <c r="B208" s="118"/>
      <c r="C208" s="118"/>
    </row>
    <row r="209" spans="1:4" x14ac:dyDescent="0.25">
      <c r="A209" s="112" t="s">
        <v>330</v>
      </c>
      <c r="B209" s="112" t="s">
        <v>208</v>
      </c>
      <c r="C209" s="112" t="s">
        <v>10</v>
      </c>
    </row>
    <row r="210" spans="1:4" ht="18" customHeight="1" x14ac:dyDescent="0.25">
      <c r="A210" s="114" t="s">
        <v>428</v>
      </c>
      <c r="B210" s="116" t="s">
        <v>429</v>
      </c>
      <c r="C210" s="114" t="s">
        <v>430</v>
      </c>
    </row>
    <row r="211" spans="1:4" ht="18" customHeight="1" x14ac:dyDescent="0.25">
      <c r="A211" s="114" t="s">
        <v>441</v>
      </c>
      <c r="B211" s="116" t="s">
        <v>442</v>
      </c>
      <c r="C211" s="114" t="s">
        <v>443</v>
      </c>
    </row>
    <row r="213" spans="1:4" ht="18.600000000000001" customHeight="1" x14ac:dyDescent="0.25">
      <c r="A213" s="117" t="s">
        <v>331</v>
      </c>
      <c r="B213" s="118"/>
      <c r="C213" s="118"/>
    </row>
    <row r="214" spans="1:4" x14ac:dyDescent="0.25">
      <c r="A214" s="112" t="s">
        <v>332</v>
      </c>
      <c r="B214" s="112" t="s">
        <v>333</v>
      </c>
      <c r="C214" s="112" t="s">
        <v>33</v>
      </c>
    </row>
    <row r="215" spans="1:4" x14ac:dyDescent="0.25">
      <c r="A215" s="119" t="s">
        <v>271</v>
      </c>
      <c r="B215" s="114" t="s">
        <v>431</v>
      </c>
      <c r="C215" s="119" t="s">
        <v>432</v>
      </c>
    </row>
    <row r="218" spans="1:4" ht="21" x14ac:dyDescent="0.35">
      <c r="A218" s="142" t="s">
        <v>334</v>
      </c>
      <c r="B218" s="142"/>
      <c r="C218" s="142"/>
      <c r="D218" s="142"/>
    </row>
    <row r="219" spans="1:4" x14ac:dyDescent="0.25">
      <c r="A219" s="120"/>
    </row>
    <row r="220" spans="1:4" x14ac:dyDescent="0.25">
      <c r="A220" s="121" t="s">
        <v>90</v>
      </c>
      <c r="B220" s="121" t="s">
        <v>335</v>
      </c>
      <c r="C220" s="121" t="s">
        <v>11</v>
      </c>
      <c r="D220" s="121" t="s">
        <v>336</v>
      </c>
    </row>
    <row r="221" spans="1:4" x14ac:dyDescent="0.25">
      <c r="A221" s="122" t="s">
        <v>106</v>
      </c>
      <c r="B221" s="122" t="s">
        <v>337</v>
      </c>
      <c r="C221" s="122" t="s">
        <v>338</v>
      </c>
      <c r="D221" s="122" t="s">
        <v>339</v>
      </c>
    </row>
    <row r="222" spans="1:4" x14ac:dyDescent="0.25">
      <c r="A222" s="122" t="s">
        <v>107</v>
      </c>
      <c r="B222" s="122" t="s">
        <v>340</v>
      </c>
      <c r="C222" s="122" t="s">
        <v>341</v>
      </c>
      <c r="D222" s="122" t="s">
        <v>339</v>
      </c>
    </row>
    <row r="223" spans="1:4" x14ac:dyDescent="0.25">
      <c r="A223" s="122" t="s">
        <v>725</v>
      </c>
      <c r="B223" s="122" t="s">
        <v>726</v>
      </c>
      <c r="C223" s="122" t="s">
        <v>727</v>
      </c>
      <c r="D223" s="122" t="s">
        <v>339</v>
      </c>
    </row>
    <row r="224" spans="1:4" x14ac:dyDescent="0.25">
      <c r="A224" s="122" t="s">
        <v>108</v>
      </c>
      <c r="B224" s="122" t="s">
        <v>342</v>
      </c>
      <c r="C224" s="122" t="s">
        <v>343</v>
      </c>
      <c r="D224" s="122" t="s">
        <v>339</v>
      </c>
    </row>
    <row r="225" spans="1:12" x14ac:dyDescent="0.25">
      <c r="A225" s="122" t="s">
        <v>109</v>
      </c>
      <c r="B225" s="122" t="s">
        <v>425</v>
      </c>
      <c r="C225" s="122" t="s">
        <v>344</v>
      </c>
      <c r="D225" s="122" t="s">
        <v>339</v>
      </c>
    </row>
    <row r="226" spans="1:12" x14ac:dyDescent="0.25">
      <c r="A226" s="122" t="s">
        <v>569</v>
      </c>
      <c r="B226" s="122" t="s">
        <v>728</v>
      </c>
      <c r="C226" s="122" t="s">
        <v>729</v>
      </c>
      <c r="D226" s="122" t="s">
        <v>339</v>
      </c>
    </row>
    <row r="227" spans="1:12" x14ac:dyDescent="0.25">
      <c r="A227" s="122" t="s">
        <v>570</v>
      </c>
      <c r="B227" s="122" t="s">
        <v>730</v>
      </c>
      <c r="C227" s="122" t="s">
        <v>731</v>
      </c>
      <c r="D227" s="122" t="s">
        <v>339</v>
      </c>
    </row>
    <row r="228" spans="1:12" x14ac:dyDescent="0.25">
      <c r="A228" s="122" t="s">
        <v>704</v>
      </c>
      <c r="B228" s="122" t="s">
        <v>732</v>
      </c>
      <c r="C228" s="122" t="s">
        <v>733</v>
      </c>
      <c r="D228" s="122" t="s">
        <v>339</v>
      </c>
    </row>
    <row r="229" spans="1:12" x14ac:dyDescent="0.25">
      <c r="A229" s="122" t="s">
        <v>705</v>
      </c>
      <c r="B229" s="122" t="s">
        <v>734</v>
      </c>
      <c r="C229" s="122" t="s">
        <v>735</v>
      </c>
      <c r="D229" s="122" t="s">
        <v>339</v>
      </c>
    </row>
    <row r="231" spans="1:12" ht="18.75" x14ac:dyDescent="0.25">
      <c r="A231" s="321" t="s">
        <v>345</v>
      </c>
      <c r="B231" s="316"/>
      <c r="C231" s="316"/>
      <c r="D231" s="317"/>
    </row>
    <row r="233" spans="1:12" s="140" customFormat="1" ht="18.75" x14ac:dyDescent="0.3">
      <c r="A233" s="141" t="s">
        <v>106</v>
      </c>
    </row>
    <row r="234" spans="1:12" ht="18.75" x14ac:dyDescent="0.25">
      <c r="A234" s="321" t="s">
        <v>346</v>
      </c>
      <c r="B234" s="316"/>
      <c r="C234" s="316"/>
      <c r="D234" s="317"/>
    </row>
    <row r="235" spans="1:12" s="124" customFormat="1" ht="35.1" customHeight="1" x14ac:dyDescent="0.25">
      <c r="A235" s="84" t="s">
        <v>347</v>
      </c>
      <c r="B235" s="84" t="s">
        <v>348</v>
      </c>
      <c r="C235" s="84" t="s">
        <v>349</v>
      </c>
      <c r="D235" s="123" t="s">
        <v>350</v>
      </c>
      <c r="E235" s="123" t="s">
        <v>351</v>
      </c>
      <c r="F235" s="123" t="s">
        <v>352</v>
      </c>
      <c r="G235" s="123" t="s">
        <v>353</v>
      </c>
      <c r="H235" s="123" t="s">
        <v>354</v>
      </c>
      <c r="I235" s="123" t="s">
        <v>355</v>
      </c>
      <c r="J235" s="123" t="s">
        <v>356</v>
      </c>
      <c r="K235" s="123" t="s">
        <v>357</v>
      </c>
      <c r="L235" s="123" t="s">
        <v>358</v>
      </c>
    </row>
    <row r="236" spans="1:12" x14ac:dyDescent="0.25">
      <c r="A236" s="122" t="s">
        <v>106</v>
      </c>
      <c r="B236" s="122" t="s">
        <v>106</v>
      </c>
      <c r="C236" s="122" t="s">
        <v>359</v>
      </c>
      <c r="D236" s="122" t="s">
        <v>360</v>
      </c>
      <c r="E236" s="122" t="s">
        <v>361</v>
      </c>
      <c r="F236" s="122" t="s">
        <v>362</v>
      </c>
      <c r="G236" s="122"/>
      <c r="H236" s="125" t="s">
        <v>363</v>
      </c>
      <c r="I236" s="122">
        <v>200</v>
      </c>
      <c r="J236" s="122" t="s">
        <v>364</v>
      </c>
      <c r="K236" s="122">
        <v>50</v>
      </c>
      <c r="L236" s="122">
        <v>100</v>
      </c>
    </row>
    <row r="238" spans="1:12" x14ac:dyDescent="0.25">
      <c r="A238" s="126" t="s">
        <v>365</v>
      </c>
      <c r="B238" s="126" t="s">
        <v>366</v>
      </c>
    </row>
    <row r="239" spans="1:12" x14ac:dyDescent="0.25">
      <c r="A239" s="122" t="s">
        <v>367</v>
      </c>
      <c r="B239" s="127" t="s">
        <v>368</v>
      </c>
    </row>
    <row r="240" spans="1:12" x14ac:dyDescent="0.25">
      <c r="A240" s="122" t="s">
        <v>369</v>
      </c>
      <c r="B240" s="127" t="s">
        <v>368</v>
      </c>
    </row>
    <row r="242" spans="1:12" s="140" customFormat="1" ht="18.75" x14ac:dyDescent="0.3">
      <c r="A242" s="141" t="s">
        <v>107</v>
      </c>
    </row>
    <row r="243" spans="1:12" ht="18.75" x14ac:dyDescent="0.25">
      <c r="A243" s="321" t="s">
        <v>346</v>
      </c>
      <c r="B243" s="316"/>
      <c r="C243" s="316"/>
      <c r="D243" s="317"/>
    </row>
    <row r="244" spans="1:12" s="124" customFormat="1" ht="35.1" customHeight="1" x14ac:dyDescent="0.25">
      <c r="A244" s="84" t="s">
        <v>347</v>
      </c>
      <c r="B244" s="84" t="s">
        <v>348</v>
      </c>
      <c r="C244" s="84" t="s">
        <v>349</v>
      </c>
      <c r="D244" s="123" t="s">
        <v>350</v>
      </c>
      <c r="E244" s="123" t="s">
        <v>351</v>
      </c>
      <c r="F244" s="123" t="s">
        <v>352</v>
      </c>
      <c r="G244" s="123" t="s">
        <v>353</v>
      </c>
      <c r="H244" s="123" t="s">
        <v>354</v>
      </c>
      <c r="I244" s="123" t="s">
        <v>355</v>
      </c>
      <c r="J244" s="123" t="s">
        <v>356</v>
      </c>
      <c r="K244" s="123" t="s">
        <v>357</v>
      </c>
      <c r="L244" s="123" t="s">
        <v>358</v>
      </c>
    </row>
    <row r="245" spans="1:12" x14ac:dyDescent="0.25">
      <c r="A245" s="122" t="s">
        <v>107</v>
      </c>
      <c r="B245" s="122" t="s">
        <v>107</v>
      </c>
      <c r="C245" s="122" t="s">
        <v>359</v>
      </c>
      <c r="D245" s="122" t="s">
        <v>426</v>
      </c>
      <c r="E245" s="122" t="s">
        <v>361</v>
      </c>
      <c r="F245" s="122" t="s">
        <v>362</v>
      </c>
      <c r="G245" s="122"/>
      <c r="H245" s="125" t="s">
        <v>363</v>
      </c>
      <c r="I245" s="122">
        <v>200</v>
      </c>
      <c r="J245" s="122" t="s">
        <v>364</v>
      </c>
      <c r="K245" s="122">
        <v>50</v>
      </c>
      <c r="L245" s="122">
        <v>100</v>
      </c>
    </row>
    <row r="247" spans="1:12" x14ac:dyDescent="0.25">
      <c r="A247" s="126" t="s">
        <v>365</v>
      </c>
      <c r="B247" s="126" t="s">
        <v>366</v>
      </c>
    </row>
    <row r="248" spans="1:12" x14ac:dyDescent="0.25">
      <c r="A248" s="122" t="s">
        <v>367</v>
      </c>
      <c r="B248" s="127" t="s">
        <v>368</v>
      </c>
    </row>
    <row r="249" spans="1:12" x14ac:dyDescent="0.25">
      <c r="A249" s="122" t="s">
        <v>369</v>
      </c>
      <c r="B249" s="127" t="s">
        <v>368</v>
      </c>
    </row>
    <row r="251" spans="1:12" s="140" customFormat="1" ht="18.75" x14ac:dyDescent="0.3">
      <c r="A251" s="141" t="s">
        <v>108</v>
      </c>
    </row>
    <row r="252" spans="1:12" ht="18.75" x14ac:dyDescent="0.25">
      <c r="A252" s="321" t="s">
        <v>346</v>
      </c>
      <c r="B252" s="316"/>
      <c r="C252" s="316"/>
      <c r="D252" s="317"/>
    </row>
    <row r="253" spans="1:12" s="124" customFormat="1" ht="35.1" customHeight="1" x14ac:dyDescent="0.25">
      <c r="A253" s="84" t="s">
        <v>347</v>
      </c>
      <c r="B253" s="84" t="s">
        <v>348</v>
      </c>
      <c r="C253" s="84" t="s">
        <v>349</v>
      </c>
      <c r="D253" s="123" t="s">
        <v>350</v>
      </c>
      <c r="E253" s="123" t="s">
        <v>351</v>
      </c>
      <c r="F253" s="123" t="s">
        <v>352</v>
      </c>
      <c r="G253" s="123" t="s">
        <v>353</v>
      </c>
      <c r="H253" s="123" t="s">
        <v>354</v>
      </c>
      <c r="I253" s="123" t="s">
        <v>355</v>
      </c>
      <c r="J253" s="123" t="s">
        <v>356</v>
      </c>
      <c r="K253" s="123" t="s">
        <v>357</v>
      </c>
      <c r="L253" s="123" t="s">
        <v>358</v>
      </c>
    </row>
    <row r="254" spans="1:12" x14ac:dyDescent="0.25">
      <c r="A254" s="122" t="s">
        <v>108</v>
      </c>
      <c r="B254" s="122" t="s">
        <v>108</v>
      </c>
      <c r="C254" s="122" t="s">
        <v>359</v>
      </c>
      <c r="D254" s="122" t="s">
        <v>427</v>
      </c>
      <c r="E254" s="122" t="s">
        <v>361</v>
      </c>
      <c r="F254" s="122" t="s">
        <v>362</v>
      </c>
      <c r="G254" s="122"/>
      <c r="H254" s="125" t="s">
        <v>363</v>
      </c>
      <c r="I254" s="122">
        <v>200</v>
      </c>
      <c r="J254" s="122" t="s">
        <v>364</v>
      </c>
      <c r="K254" s="122">
        <v>50</v>
      </c>
      <c r="L254" s="122">
        <v>100</v>
      </c>
    </row>
    <row r="256" spans="1:12" x14ac:dyDescent="0.25">
      <c r="A256" s="126" t="s">
        <v>365</v>
      </c>
      <c r="B256" s="126" t="s">
        <v>366</v>
      </c>
    </row>
    <row r="257" spans="1:12" x14ac:dyDescent="0.25">
      <c r="A257" s="122" t="s">
        <v>367</v>
      </c>
      <c r="B257" s="127" t="s">
        <v>368</v>
      </c>
    </row>
    <row r="258" spans="1:12" x14ac:dyDescent="0.25">
      <c r="A258" s="122" t="s">
        <v>369</v>
      </c>
      <c r="B258" s="127" t="s">
        <v>368</v>
      </c>
    </row>
    <row r="260" spans="1:12" s="140" customFormat="1" ht="18.75" x14ac:dyDescent="0.3">
      <c r="A260" s="141" t="s">
        <v>109</v>
      </c>
    </row>
    <row r="261" spans="1:12" ht="18.75" x14ac:dyDescent="0.25">
      <c r="A261" s="321" t="s">
        <v>346</v>
      </c>
      <c r="B261" s="316"/>
      <c r="C261" s="316"/>
      <c r="D261" s="317"/>
    </row>
    <row r="262" spans="1:12" s="124" customFormat="1" ht="35.1" customHeight="1" x14ac:dyDescent="0.25">
      <c r="A262" s="84" t="s">
        <v>347</v>
      </c>
      <c r="B262" s="84" t="s">
        <v>348</v>
      </c>
      <c r="C262" s="84" t="s">
        <v>349</v>
      </c>
      <c r="D262" s="123" t="s">
        <v>350</v>
      </c>
      <c r="E262" s="123" t="s">
        <v>351</v>
      </c>
      <c r="F262" s="123" t="s">
        <v>352</v>
      </c>
      <c r="G262" s="123" t="s">
        <v>353</v>
      </c>
      <c r="H262" s="123" t="s">
        <v>354</v>
      </c>
      <c r="I262" s="123" t="s">
        <v>355</v>
      </c>
      <c r="J262" s="123" t="s">
        <v>356</v>
      </c>
      <c r="K262" s="123" t="s">
        <v>357</v>
      </c>
      <c r="L262" s="123" t="s">
        <v>358</v>
      </c>
    </row>
    <row r="263" spans="1:12" x14ac:dyDescent="0.25">
      <c r="A263" s="122" t="s">
        <v>109</v>
      </c>
      <c r="B263" s="122" t="s">
        <v>109</v>
      </c>
      <c r="C263" s="122" t="s">
        <v>359</v>
      </c>
      <c r="D263" s="122" t="s">
        <v>9</v>
      </c>
      <c r="E263" s="122" t="s">
        <v>361</v>
      </c>
      <c r="F263" s="122" t="s">
        <v>362</v>
      </c>
      <c r="G263" s="122"/>
      <c r="H263" s="125" t="s">
        <v>363</v>
      </c>
      <c r="I263" s="122">
        <v>200</v>
      </c>
      <c r="J263" s="122" t="s">
        <v>364</v>
      </c>
      <c r="K263" s="122">
        <v>50</v>
      </c>
      <c r="L263" s="122">
        <v>100</v>
      </c>
    </row>
    <row r="265" spans="1:12" x14ac:dyDescent="0.25">
      <c r="A265" s="126" t="s">
        <v>365</v>
      </c>
      <c r="B265" s="126" t="s">
        <v>366</v>
      </c>
    </row>
    <row r="266" spans="1:12" x14ac:dyDescent="0.25">
      <c r="A266" s="122" t="s">
        <v>367</v>
      </c>
      <c r="B266" s="127" t="s">
        <v>368</v>
      </c>
    </row>
    <row r="267" spans="1:12" x14ac:dyDescent="0.25">
      <c r="A267" s="122" t="s">
        <v>369</v>
      </c>
      <c r="B267" s="127" t="s">
        <v>368</v>
      </c>
    </row>
    <row r="269" spans="1:12" s="140" customFormat="1" ht="18.75" x14ac:dyDescent="0.3">
      <c r="A269" s="141" t="s">
        <v>725</v>
      </c>
    </row>
    <row r="270" spans="1:12" ht="18.75" x14ac:dyDescent="0.25">
      <c r="A270" s="321" t="s">
        <v>346</v>
      </c>
      <c r="B270" s="316"/>
      <c r="C270" s="316"/>
      <c r="D270" s="317"/>
    </row>
    <row r="271" spans="1:12" s="124" customFormat="1" ht="35.1" customHeight="1" x14ac:dyDescent="0.25">
      <c r="A271" s="84" t="s">
        <v>347</v>
      </c>
      <c r="B271" s="84" t="s">
        <v>348</v>
      </c>
      <c r="C271" s="84" t="s">
        <v>349</v>
      </c>
      <c r="D271" s="123" t="s">
        <v>350</v>
      </c>
      <c r="E271" s="123" t="s">
        <v>351</v>
      </c>
      <c r="F271" s="123" t="s">
        <v>352</v>
      </c>
      <c r="G271" s="123" t="s">
        <v>353</v>
      </c>
      <c r="H271" s="123" t="s">
        <v>354</v>
      </c>
      <c r="I271" s="123" t="s">
        <v>355</v>
      </c>
      <c r="J271" s="123" t="s">
        <v>356</v>
      </c>
      <c r="K271" s="123" t="s">
        <v>357</v>
      </c>
      <c r="L271" s="123" t="s">
        <v>358</v>
      </c>
    </row>
    <row r="272" spans="1:12" x14ac:dyDescent="0.25">
      <c r="A272" s="122" t="s">
        <v>725</v>
      </c>
      <c r="B272" s="122" t="s">
        <v>725</v>
      </c>
      <c r="C272" s="122" t="s">
        <v>736</v>
      </c>
      <c r="D272" s="122" t="s">
        <v>9</v>
      </c>
      <c r="E272" s="122" t="s">
        <v>361</v>
      </c>
      <c r="F272" s="122" t="s">
        <v>362</v>
      </c>
      <c r="G272" s="122"/>
      <c r="H272" s="125" t="s">
        <v>363</v>
      </c>
      <c r="I272" s="122">
        <v>200</v>
      </c>
      <c r="J272" s="122" t="s">
        <v>364</v>
      </c>
      <c r="K272" s="122">
        <v>50</v>
      </c>
      <c r="L272" s="122">
        <v>100</v>
      </c>
    </row>
    <row r="274" spans="1:12" x14ac:dyDescent="0.25">
      <c r="A274" s="126" t="s">
        <v>365</v>
      </c>
      <c r="B274" s="126" t="s">
        <v>366</v>
      </c>
    </row>
    <row r="275" spans="1:12" x14ac:dyDescent="0.25">
      <c r="A275" s="122" t="s">
        <v>367</v>
      </c>
      <c r="B275" s="127" t="s">
        <v>368</v>
      </c>
    </row>
    <row r="276" spans="1:12" x14ac:dyDescent="0.25">
      <c r="A276" s="122" t="s">
        <v>369</v>
      </c>
      <c r="B276" s="127" t="s">
        <v>368</v>
      </c>
    </row>
    <row r="278" spans="1:12" s="140" customFormat="1" ht="18.75" x14ac:dyDescent="0.3">
      <c r="A278" s="141" t="s">
        <v>569</v>
      </c>
    </row>
    <row r="279" spans="1:12" ht="18.75" x14ac:dyDescent="0.25">
      <c r="A279" s="321" t="s">
        <v>346</v>
      </c>
      <c r="B279" s="316"/>
      <c r="C279" s="316"/>
      <c r="D279" s="317"/>
    </row>
    <row r="280" spans="1:12" s="124" customFormat="1" ht="35.1" customHeight="1" x14ac:dyDescent="0.25">
      <c r="A280" s="84" t="s">
        <v>347</v>
      </c>
      <c r="B280" s="84" t="s">
        <v>348</v>
      </c>
      <c r="C280" s="84" t="s">
        <v>349</v>
      </c>
      <c r="D280" s="123" t="s">
        <v>350</v>
      </c>
      <c r="E280" s="123" t="s">
        <v>351</v>
      </c>
      <c r="F280" s="123" t="s">
        <v>352</v>
      </c>
      <c r="G280" s="123" t="s">
        <v>353</v>
      </c>
      <c r="H280" s="123" t="s">
        <v>354</v>
      </c>
      <c r="I280" s="123" t="s">
        <v>355</v>
      </c>
      <c r="J280" s="123" t="s">
        <v>356</v>
      </c>
      <c r="K280" s="123" t="s">
        <v>357</v>
      </c>
      <c r="L280" s="123" t="s">
        <v>358</v>
      </c>
    </row>
    <row r="281" spans="1:12" x14ac:dyDescent="0.25">
      <c r="A281" s="122" t="s">
        <v>569</v>
      </c>
      <c r="B281" s="122" t="s">
        <v>569</v>
      </c>
      <c r="C281" s="122" t="s">
        <v>737</v>
      </c>
      <c r="D281" s="122" t="s">
        <v>738</v>
      </c>
      <c r="E281" s="122" t="s">
        <v>361</v>
      </c>
      <c r="F281" s="122" t="s">
        <v>362</v>
      </c>
      <c r="G281" s="122"/>
      <c r="H281" s="125" t="s">
        <v>363</v>
      </c>
      <c r="I281" s="122">
        <v>200</v>
      </c>
      <c r="J281" s="122" t="s">
        <v>364</v>
      </c>
      <c r="K281" s="122">
        <v>50</v>
      </c>
      <c r="L281" s="122">
        <v>100</v>
      </c>
    </row>
    <row r="283" spans="1:12" x14ac:dyDescent="0.25">
      <c r="A283" s="126" t="s">
        <v>365</v>
      </c>
      <c r="B283" s="126" t="s">
        <v>366</v>
      </c>
    </row>
    <row r="284" spans="1:12" x14ac:dyDescent="0.25">
      <c r="A284" s="122" t="s">
        <v>367</v>
      </c>
      <c r="B284" s="127" t="s">
        <v>368</v>
      </c>
    </row>
    <row r="285" spans="1:12" x14ac:dyDescent="0.25">
      <c r="A285" s="122" t="s">
        <v>369</v>
      </c>
      <c r="B285" s="127" t="s">
        <v>368</v>
      </c>
    </row>
    <row r="287" spans="1:12" s="140" customFormat="1" ht="18.75" x14ac:dyDescent="0.3">
      <c r="A287" s="141" t="s">
        <v>570</v>
      </c>
    </row>
    <row r="288" spans="1:12" ht="18.75" x14ac:dyDescent="0.25">
      <c r="A288" s="321" t="s">
        <v>346</v>
      </c>
      <c r="B288" s="316"/>
      <c r="C288" s="316"/>
      <c r="D288" s="317"/>
    </row>
    <row r="289" spans="1:12" s="124" customFormat="1" ht="35.1" customHeight="1" x14ac:dyDescent="0.25">
      <c r="A289" s="84" t="s">
        <v>347</v>
      </c>
      <c r="B289" s="84" t="s">
        <v>348</v>
      </c>
      <c r="C289" s="84" t="s">
        <v>349</v>
      </c>
      <c r="D289" s="123" t="s">
        <v>350</v>
      </c>
      <c r="E289" s="123" t="s">
        <v>351</v>
      </c>
      <c r="F289" s="123" t="s">
        <v>352</v>
      </c>
      <c r="G289" s="123" t="s">
        <v>353</v>
      </c>
      <c r="H289" s="123" t="s">
        <v>354</v>
      </c>
      <c r="I289" s="123" t="s">
        <v>355</v>
      </c>
      <c r="J289" s="123" t="s">
        <v>356</v>
      </c>
      <c r="K289" s="123" t="s">
        <v>357</v>
      </c>
      <c r="L289" s="123" t="s">
        <v>358</v>
      </c>
    </row>
    <row r="290" spans="1:12" x14ac:dyDescent="0.25">
      <c r="A290" s="122" t="s">
        <v>570</v>
      </c>
      <c r="B290" s="122" t="s">
        <v>570</v>
      </c>
      <c r="C290" s="122" t="s">
        <v>739</v>
      </c>
      <c r="D290" s="122" t="s">
        <v>738</v>
      </c>
      <c r="E290" s="122" t="s">
        <v>361</v>
      </c>
      <c r="F290" s="122" t="s">
        <v>362</v>
      </c>
      <c r="G290" s="122"/>
      <c r="H290" s="125" t="s">
        <v>363</v>
      </c>
      <c r="I290" s="122">
        <v>200</v>
      </c>
      <c r="J290" s="122" t="s">
        <v>364</v>
      </c>
      <c r="K290" s="122">
        <v>50</v>
      </c>
      <c r="L290" s="122">
        <v>100</v>
      </c>
    </row>
    <row r="292" spans="1:12" x14ac:dyDescent="0.25">
      <c r="A292" s="126" t="s">
        <v>365</v>
      </c>
      <c r="B292" s="126" t="s">
        <v>366</v>
      </c>
    </row>
    <row r="293" spans="1:12" x14ac:dyDescent="0.25">
      <c r="A293" s="122" t="s">
        <v>367</v>
      </c>
      <c r="B293" s="127" t="s">
        <v>368</v>
      </c>
    </row>
    <row r="294" spans="1:12" x14ac:dyDescent="0.25">
      <c r="A294" s="122" t="s">
        <v>369</v>
      </c>
      <c r="B294" s="127" t="s">
        <v>368</v>
      </c>
    </row>
    <row r="296" spans="1:12" s="140" customFormat="1" ht="18.75" x14ac:dyDescent="0.3">
      <c r="A296" s="141" t="s">
        <v>704</v>
      </c>
    </row>
    <row r="297" spans="1:12" ht="18.75" x14ac:dyDescent="0.25">
      <c r="A297" s="321" t="s">
        <v>346</v>
      </c>
      <c r="B297" s="316"/>
      <c r="C297" s="316"/>
      <c r="D297" s="317"/>
    </row>
    <row r="298" spans="1:12" s="124" customFormat="1" ht="35.1" customHeight="1" x14ac:dyDescent="0.25">
      <c r="A298" s="84" t="s">
        <v>347</v>
      </c>
      <c r="B298" s="84" t="s">
        <v>348</v>
      </c>
      <c r="C298" s="84" t="s">
        <v>349</v>
      </c>
      <c r="D298" s="123" t="s">
        <v>350</v>
      </c>
      <c r="E298" s="123" t="s">
        <v>351</v>
      </c>
      <c r="F298" s="123" t="s">
        <v>352</v>
      </c>
      <c r="G298" s="123" t="s">
        <v>353</v>
      </c>
      <c r="H298" s="123" t="s">
        <v>354</v>
      </c>
      <c r="I298" s="123" t="s">
        <v>355</v>
      </c>
      <c r="J298" s="123" t="s">
        <v>356</v>
      </c>
      <c r="K298" s="123" t="s">
        <v>357</v>
      </c>
      <c r="L298" s="123" t="s">
        <v>358</v>
      </c>
    </row>
    <row r="299" spans="1:12" x14ac:dyDescent="0.25">
      <c r="A299" s="122" t="s">
        <v>704</v>
      </c>
      <c r="B299" s="122" t="s">
        <v>704</v>
      </c>
      <c r="C299" s="122" t="s">
        <v>737</v>
      </c>
      <c r="D299" s="122" t="s">
        <v>424</v>
      </c>
      <c r="E299" s="122" t="s">
        <v>361</v>
      </c>
      <c r="F299" s="122" t="s">
        <v>362</v>
      </c>
      <c r="G299" s="122"/>
      <c r="H299" s="125" t="s">
        <v>363</v>
      </c>
      <c r="I299" s="122">
        <v>200</v>
      </c>
      <c r="J299" s="122" t="s">
        <v>364</v>
      </c>
      <c r="K299" s="122">
        <v>50</v>
      </c>
      <c r="L299" s="122">
        <v>100</v>
      </c>
    </row>
    <row r="301" spans="1:12" x14ac:dyDescent="0.25">
      <c r="A301" s="126" t="s">
        <v>365</v>
      </c>
      <c r="B301" s="126" t="s">
        <v>366</v>
      </c>
    </row>
    <row r="302" spans="1:12" x14ac:dyDescent="0.25">
      <c r="A302" s="122" t="s">
        <v>367</v>
      </c>
      <c r="B302" s="127" t="s">
        <v>368</v>
      </c>
    </row>
    <row r="303" spans="1:12" x14ac:dyDescent="0.25">
      <c r="A303" s="122" t="s">
        <v>369</v>
      </c>
      <c r="B303" s="127" t="s">
        <v>368</v>
      </c>
    </row>
    <row r="305" spans="1:12" s="140" customFormat="1" ht="18.75" x14ac:dyDescent="0.3">
      <c r="A305" s="141" t="s">
        <v>705</v>
      </c>
    </row>
    <row r="306" spans="1:12" ht="18.75" x14ac:dyDescent="0.25">
      <c r="A306" s="321" t="s">
        <v>346</v>
      </c>
      <c r="B306" s="316"/>
      <c r="C306" s="316"/>
      <c r="D306" s="317"/>
    </row>
    <row r="307" spans="1:12" s="124" customFormat="1" ht="35.1" customHeight="1" x14ac:dyDescent="0.25">
      <c r="A307" s="84" t="s">
        <v>347</v>
      </c>
      <c r="B307" s="84" t="s">
        <v>348</v>
      </c>
      <c r="C307" s="84" t="s">
        <v>349</v>
      </c>
      <c r="D307" s="123" t="s">
        <v>350</v>
      </c>
      <c r="E307" s="123" t="s">
        <v>351</v>
      </c>
      <c r="F307" s="123" t="s">
        <v>352</v>
      </c>
      <c r="G307" s="123" t="s">
        <v>353</v>
      </c>
      <c r="H307" s="123" t="s">
        <v>354</v>
      </c>
      <c r="I307" s="123" t="s">
        <v>355</v>
      </c>
      <c r="J307" s="123" t="s">
        <v>356</v>
      </c>
      <c r="K307" s="123" t="s">
        <v>357</v>
      </c>
      <c r="L307" s="123" t="s">
        <v>358</v>
      </c>
    </row>
    <row r="308" spans="1:12" x14ac:dyDescent="0.25">
      <c r="A308" s="122" t="s">
        <v>705</v>
      </c>
      <c r="B308" s="122" t="s">
        <v>705</v>
      </c>
      <c r="C308" s="122" t="s">
        <v>739</v>
      </c>
      <c r="D308" s="122" t="s">
        <v>424</v>
      </c>
      <c r="E308" s="122" t="s">
        <v>361</v>
      </c>
      <c r="F308" s="122" t="s">
        <v>362</v>
      </c>
      <c r="G308" s="122"/>
      <c r="H308" s="125" t="s">
        <v>363</v>
      </c>
      <c r="I308" s="122">
        <v>200</v>
      </c>
      <c r="J308" s="122" t="s">
        <v>364</v>
      </c>
      <c r="K308" s="122">
        <v>50</v>
      </c>
      <c r="L308" s="122">
        <v>100</v>
      </c>
    </row>
    <row r="310" spans="1:12" x14ac:dyDescent="0.25">
      <c r="A310" s="126" t="s">
        <v>365</v>
      </c>
      <c r="B310" s="126" t="s">
        <v>366</v>
      </c>
    </row>
    <row r="311" spans="1:12" x14ac:dyDescent="0.25">
      <c r="A311" s="122" t="s">
        <v>367</v>
      </c>
      <c r="B311" s="127" t="s">
        <v>368</v>
      </c>
    </row>
    <row r="312" spans="1:12" x14ac:dyDescent="0.25">
      <c r="A312" s="122" t="s">
        <v>369</v>
      </c>
      <c r="B312" s="127" t="s">
        <v>368</v>
      </c>
    </row>
    <row r="315" spans="1:12" ht="18.75" x14ac:dyDescent="0.25">
      <c r="A315" s="321" t="s">
        <v>370</v>
      </c>
      <c r="B315" s="316"/>
      <c r="C315" s="316"/>
      <c r="D315" s="317"/>
    </row>
    <row r="317" spans="1:12" ht="17.45" customHeight="1" x14ac:dyDescent="0.25">
      <c r="A317" s="84" t="s">
        <v>347</v>
      </c>
      <c r="B317" s="84" t="s">
        <v>253</v>
      </c>
    </row>
    <row r="318" spans="1:12" x14ac:dyDescent="0.25">
      <c r="A318" s="122" t="s">
        <v>106</v>
      </c>
      <c r="B318" s="122" t="s">
        <v>312</v>
      </c>
    </row>
    <row r="320" spans="1:12" ht="18.75" x14ac:dyDescent="0.25">
      <c r="A320" s="315" t="s">
        <v>371</v>
      </c>
      <c r="B320" s="316"/>
      <c r="C320" s="316"/>
      <c r="D320" s="317"/>
    </row>
    <row r="321" spans="1:4" ht="15.75" x14ac:dyDescent="0.25">
      <c r="A321" s="84" t="s">
        <v>347</v>
      </c>
      <c r="B321" s="84" t="s">
        <v>372</v>
      </c>
      <c r="C321" s="84" t="s">
        <v>373</v>
      </c>
      <c r="D321" s="84" t="s">
        <v>366</v>
      </c>
    </row>
    <row r="322" spans="1:4" x14ac:dyDescent="0.25">
      <c r="A322" s="122" t="s">
        <v>106</v>
      </c>
      <c r="B322" s="122" t="s">
        <v>374</v>
      </c>
      <c r="C322" s="122" t="s">
        <v>374</v>
      </c>
      <c r="D322" s="127" t="s">
        <v>368</v>
      </c>
    </row>
    <row r="324" spans="1:4" ht="17.45" customHeight="1" x14ac:dyDescent="0.25">
      <c r="A324" s="84" t="s">
        <v>347</v>
      </c>
      <c r="B324" s="84" t="s">
        <v>253</v>
      </c>
    </row>
    <row r="325" spans="1:4" x14ac:dyDescent="0.25">
      <c r="A325" s="122" t="s">
        <v>107</v>
      </c>
      <c r="B325" s="122" t="s">
        <v>313</v>
      </c>
    </row>
    <row r="327" spans="1:4" ht="18.75" x14ac:dyDescent="0.25">
      <c r="A327" s="315" t="s">
        <v>371</v>
      </c>
      <c r="B327" s="316"/>
      <c r="C327" s="316"/>
      <c r="D327" s="317"/>
    </row>
    <row r="328" spans="1:4" ht="15.75" x14ac:dyDescent="0.25">
      <c r="A328" s="84" t="s">
        <v>347</v>
      </c>
      <c r="B328" s="84" t="s">
        <v>372</v>
      </c>
      <c r="C328" s="84" t="s">
        <v>373</v>
      </c>
      <c r="D328" s="84" t="s">
        <v>366</v>
      </c>
    </row>
    <row r="329" spans="1:4" x14ac:dyDescent="0.25">
      <c r="A329" s="122" t="s">
        <v>107</v>
      </c>
      <c r="B329" s="122" t="s">
        <v>374</v>
      </c>
      <c r="C329" s="122" t="s">
        <v>374</v>
      </c>
      <c r="D329" s="127" t="s">
        <v>368</v>
      </c>
    </row>
    <row r="331" spans="1:4" ht="17.45" customHeight="1" x14ac:dyDescent="0.25">
      <c r="A331" s="84" t="s">
        <v>347</v>
      </c>
      <c r="B331" s="84" t="s">
        <v>253</v>
      </c>
    </row>
    <row r="332" spans="1:4" x14ac:dyDescent="0.25">
      <c r="A332" s="122" t="s">
        <v>108</v>
      </c>
      <c r="B332" s="122" t="s">
        <v>108</v>
      </c>
    </row>
    <row r="334" spans="1:4" ht="18.75" x14ac:dyDescent="0.25">
      <c r="A334" s="315" t="s">
        <v>371</v>
      </c>
      <c r="B334" s="316"/>
      <c r="C334" s="316"/>
      <c r="D334" s="317"/>
    </row>
    <row r="335" spans="1:4" ht="15.75" x14ac:dyDescent="0.25">
      <c r="A335" s="84" t="s">
        <v>347</v>
      </c>
      <c r="B335" s="84" t="s">
        <v>372</v>
      </c>
      <c r="C335" s="84" t="s">
        <v>373</v>
      </c>
      <c r="D335" s="84" t="s">
        <v>366</v>
      </c>
    </row>
    <row r="336" spans="1:4" x14ac:dyDescent="0.25">
      <c r="A336" s="122" t="s">
        <v>108</v>
      </c>
      <c r="B336" s="122" t="s">
        <v>374</v>
      </c>
      <c r="C336" s="122" t="s">
        <v>374</v>
      </c>
      <c r="D336" s="127" t="s">
        <v>368</v>
      </c>
    </row>
    <row r="338" spans="1:4" ht="17.45" customHeight="1" x14ac:dyDescent="0.25">
      <c r="A338" s="84" t="s">
        <v>347</v>
      </c>
      <c r="B338" s="84" t="s">
        <v>253</v>
      </c>
    </row>
    <row r="339" spans="1:4" x14ac:dyDescent="0.25">
      <c r="A339" s="122" t="s">
        <v>109</v>
      </c>
      <c r="B339" s="122" t="s">
        <v>109</v>
      </c>
    </row>
    <row r="341" spans="1:4" ht="18.75" x14ac:dyDescent="0.25">
      <c r="A341" s="315" t="s">
        <v>371</v>
      </c>
      <c r="B341" s="316"/>
      <c r="C341" s="316"/>
      <c r="D341" s="317"/>
    </row>
    <row r="342" spans="1:4" ht="15.75" x14ac:dyDescent="0.25">
      <c r="A342" s="84" t="s">
        <v>347</v>
      </c>
      <c r="B342" s="84" t="s">
        <v>372</v>
      </c>
      <c r="C342" s="84" t="s">
        <v>373</v>
      </c>
      <c r="D342" s="84" t="s">
        <v>366</v>
      </c>
    </row>
    <row r="343" spans="1:4" x14ac:dyDescent="0.25">
      <c r="A343" s="122" t="s">
        <v>109</v>
      </c>
      <c r="B343" s="122" t="s">
        <v>374</v>
      </c>
      <c r="C343" s="122" t="s">
        <v>374</v>
      </c>
      <c r="D343" s="127" t="s">
        <v>368</v>
      </c>
    </row>
    <row r="345" spans="1:4" ht="17.45" customHeight="1" x14ac:dyDescent="0.25">
      <c r="A345" s="84" t="s">
        <v>347</v>
      </c>
      <c r="B345" s="84" t="s">
        <v>253</v>
      </c>
    </row>
    <row r="346" spans="1:4" x14ac:dyDescent="0.25">
      <c r="A346" s="122" t="s">
        <v>725</v>
      </c>
      <c r="B346" s="122" t="s">
        <v>725</v>
      </c>
    </row>
    <row r="348" spans="1:4" ht="18.75" x14ac:dyDescent="0.25">
      <c r="A348" s="315" t="s">
        <v>371</v>
      </c>
      <c r="B348" s="316"/>
      <c r="C348" s="316"/>
      <c r="D348" s="317"/>
    </row>
    <row r="349" spans="1:4" ht="15.75" x14ac:dyDescent="0.25">
      <c r="A349" s="84" t="s">
        <v>347</v>
      </c>
      <c r="B349" s="84" t="s">
        <v>372</v>
      </c>
      <c r="C349" s="84" t="s">
        <v>373</v>
      </c>
      <c r="D349" s="84" t="s">
        <v>366</v>
      </c>
    </row>
    <row r="350" spans="1:4" x14ac:dyDescent="0.25">
      <c r="A350" s="122" t="s">
        <v>725</v>
      </c>
      <c r="B350" s="122" t="s">
        <v>374</v>
      </c>
      <c r="C350" s="122" t="s">
        <v>374</v>
      </c>
      <c r="D350" s="127" t="s">
        <v>368</v>
      </c>
    </row>
    <row r="352" spans="1:4" ht="17.45" customHeight="1" x14ac:dyDescent="0.25">
      <c r="A352" s="84" t="s">
        <v>347</v>
      </c>
      <c r="B352" s="84" t="s">
        <v>253</v>
      </c>
    </row>
    <row r="353" spans="1:4" x14ac:dyDescent="0.25">
      <c r="A353" s="122" t="s">
        <v>569</v>
      </c>
      <c r="B353" s="122" t="s">
        <v>569</v>
      </c>
    </row>
    <row r="355" spans="1:4" ht="18.75" x14ac:dyDescent="0.25">
      <c r="A355" s="315" t="s">
        <v>371</v>
      </c>
      <c r="B355" s="316"/>
      <c r="C355" s="316"/>
      <c r="D355" s="317"/>
    </row>
    <row r="356" spans="1:4" ht="15.75" x14ac:dyDescent="0.25">
      <c r="A356" s="84" t="s">
        <v>347</v>
      </c>
      <c r="B356" s="84" t="s">
        <v>372</v>
      </c>
      <c r="C356" s="84" t="s">
        <v>373</v>
      </c>
      <c r="D356" s="84" t="s">
        <v>366</v>
      </c>
    </row>
    <row r="357" spans="1:4" x14ac:dyDescent="0.25">
      <c r="A357" s="122" t="s">
        <v>569</v>
      </c>
      <c r="B357" s="122" t="s">
        <v>374</v>
      </c>
      <c r="C357" s="122" t="s">
        <v>374</v>
      </c>
      <c r="D357" s="127" t="s">
        <v>368</v>
      </c>
    </row>
    <row r="359" spans="1:4" ht="17.45" customHeight="1" x14ac:dyDescent="0.25">
      <c r="A359" s="84" t="s">
        <v>347</v>
      </c>
      <c r="B359" s="84" t="s">
        <v>253</v>
      </c>
    </row>
    <row r="360" spans="1:4" x14ac:dyDescent="0.25">
      <c r="A360" s="122" t="s">
        <v>570</v>
      </c>
      <c r="B360" s="122" t="s">
        <v>570</v>
      </c>
    </row>
    <row r="362" spans="1:4" ht="18.75" x14ac:dyDescent="0.25">
      <c r="A362" s="315" t="s">
        <v>371</v>
      </c>
      <c r="B362" s="316"/>
      <c r="C362" s="316"/>
      <c r="D362" s="317"/>
    </row>
    <row r="363" spans="1:4" ht="15.75" x14ac:dyDescent="0.25">
      <c r="A363" s="84" t="s">
        <v>347</v>
      </c>
      <c r="B363" s="84" t="s">
        <v>372</v>
      </c>
      <c r="C363" s="84" t="s">
        <v>373</v>
      </c>
      <c r="D363" s="84" t="s">
        <v>366</v>
      </c>
    </row>
    <row r="364" spans="1:4" x14ac:dyDescent="0.25">
      <c r="A364" s="122" t="s">
        <v>570</v>
      </c>
      <c r="B364" s="122" t="s">
        <v>374</v>
      </c>
      <c r="C364" s="122" t="s">
        <v>374</v>
      </c>
      <c r="D364" s="127" t="s">
        <v>368</v>
      </c>
    </row>
    <row r="366" spans="1:4" ht="17.45" customHeight="1" x14ac:dyDescent="0.25">
      <c r="A366" s="84" t="s">
        <v>347</v>
      </c>
      <c r="B366" s="84" t="s">
        <v>253</v>
      </c>
    </row>
    <row r="367" spans="1:4" x14ac:dyDescent="0.25">
      <c r="A367" s="122" t="s">
        <v>704</v>
      </c>
      <c r="B367" s="122" t="s">
        <v>704</v>
      </c>
    </row>
    <row r="369" spans="1:10" ht="18.75" x14ac:dyDescent="0.25">
      <c r="A369" s="315" t="s">
        <v>371</v>
      </c>
      <c r="B369" s="316"/>
      <c r="C369" s="316"/>
      <c r="D369" s="317"/>
    </row>
    <row r="370" spans="1:10" ht="15.75" x14ac:dyDescent="0.25">
      <c r="A370" s="84" t="s">
        <v>347</v>
      </c>
      <c r="B370" s="84" t="s">
        <v>372</v>
      </c>
      <c r="C370" s="84" t="s">
        <v>373</v>
      </c>
      <c r="D370" s="84" t="s">
        <v>366</v>
      </c>
    </row>
    <row r="371" spans="1:10" x14ac:dyDescent="0.25">
      <c r="A371" s="122" t="s">
        <v>704</v>
      </c>
      <c r="B371" s="122" t="s">
        <v>374</v>
      </c>
      <c r="C371" s="122" t="s">
        <v>374</v>
      </c>
      <c r="D371" s="127" t="s">
        <v>368</v>
      </c>
    </row>
    <row r="373" spans="1:10" ht="17.45" customHeight="1" x14ac:dyDescent="0.25">
      <c r="A373" s="84" t="s">
        <v>347</v>
      </c>
      <c r="B373" s="84" t="s">
        <v>253</v>
      </c>
    </row>
    <row r="374" spans="1:10" x14ac:dyDescent="0.25">
      <c r="A374" s="122" t="s">
        <v>705</v>
      </c>
      <c r="B374" s="122" t="s">
        <v>705</v>
      </c>
    </row>
    <row r="376" spans="1:10" ht="18.75" x14ac:dyDescent="0.25">
      <c r="A376" s="315" t="s">
        <v>371</v>
      </c>
      <c r="B376" s="316"/>
      <c r="C376" s="316"/>
      <c r="D376" s="317"/>
    </row>
    <row r="377" spans="1:10" ht="15.75" x14ac:dyDescent="0.25">
      <c r="A377" s="84" t="s">
        <v>347</v>
      </c>
      <c r="B377" s="84" t="s">
        <v>372</v>
      </c>
      <c r="C377" s="84" t="s">
        <v>373</v>
      </c>
      <c r="D377" s="84" t="s">
        <v>366</v>
      </c>
    </row>
    <row r="378" spans="1:10" x14ac:dyDescent="0.25">
      <c r="A378" s="122" t="s">
        <v>705</v>
      </c>
      <c r="B378" s="122" t="s">
        <v>374</v>
      </c>
      <c r="C378" s="122" t="s">
        <v>374</v>
      </c>
      <c r="D378" s="127" t="s">
        <v>368</v>
      </c>
    </row>
    <row r="381" spans="1:10" ht="21" x14ac:dyDescent="0.25">
      <c r="A381" s="318" t="s">
        <v>375</v>
      </c>
      <c r="B381" s="319"/>
      <c r="C381" s="319"/>
      <c r="D381" s="320"/>
    </row>
    <row r="383" spans="1:10" ht="18.75" x14ac:dyDescent="0.25">
      <c r="A383" s="117" t="s">
        <v>346</v>
      </c>
      <c r="B383" s="118"/>
      <c r="C383" s="118"/>
      <c r="D383" s="118"/>
    </row>
    <row r="384" spans="1:10" ht="30" x14ac:dyDescent="0.25">
      <c r="A384" s="84" t="s">
        <v>305</v>
      </c>
      <c r="B384" s="84" t="s">
        <v>11</v>
      </c>
      <c r="C384" s="84" t="s">
        <v>301</v>
      </c>
      <c r="D384" s="84" t="s">
        <v>149</v>
      </c>
      <c r="E384" s="128" t="s">
        <v>376</v>
      </c>
      <c r="F384" s="128" t="s">
        <v>377</v>
      </c>
      <c r="G384" s="128" t="s">
        <v>378</v>
      </c>
      <c r="H384" s="128" t="s">
        <v>379</v>
      </c>
      <c r="I384" s="128" t="s">
        <v>380</v>
      </c>
      <c r="J384" s="128" t="s">
        <v>381</v>
      </c>
    </row>
    <row r="385" spans="1:10" s="131" customFormat="1" ht="60" x14ac:dyDescent="0.25">
      <c r="A385" s="129" t="s">
        <v>447</v>
      </c>
      <c r="B385" s="129" t="s">
        <v>450</v>
      </c>
      <c r="C385" s="130" t="s">
        <v>451</v>
      </c>
      <c r="D385" s="130" t="s">
        <v>382</v>
      </c>
      <c r="E385" s="129" t="s">
        <v>383</v>
      </c>
      <c r="F385" s="129" t="s">
        <v>384</v>
      </c>
      <c r="G385" s="129"/>
      <c r="H385" s="129"/>
      <c r="I385" s="129">
        <v>3000</v>
      </c>
      <c r="J385" s="129">
        <v>28</v>
      </c>
    </row>
    <row r="388" spans="1:10" s="124" customFormat="1" ht="15.75" x14ac:dyDescent="0.25">
      <c r="A388" s="84" t="s">
        <v>333</v>
      </c>
      <c r="B388" s="84" t="s">
        <v>385</v>
      </c>
      <c r="C388" s="84" t="s">
        <v>33</v>
      </c>
    </row>
    <row r="389" spans="1:10" s="131" customFormat="1" x14ac:dyDescent="0.25">
      <c r="A389" s="129" t="s">
        <v>386</v>
      </c>
      <c r="B389" s="132">
        <v>1</v>
      </c>
      <c r="C389" s="129" t="s">
        <v>387</v>
      </c>
    </row>
    <row r="391" spans="1:10" ht="18.75" x14ac:dyDescent="0.25">
      <c r="A391" s="117" t="s">
        <v>388</v>
      </c>
      <c r="B391" s="118"/>
      <c r="C391" s="118"/>
      <c r="D391" s="118"/>
    </row>
    <row r="392" spans="1:10" s="124" customFormat="1" ht="15.75" x14ac:dyDescent="0.25">
      <c r="A392" s="84" t="s">
        <v>389</v>
      </c>
    </row>
    <row r="393" spans="1:10" s="131" customFormat="1" x14ac:dyDescent="0.25">
      <c r="A393" s="129" t="s">
        <v>447</v>
      </c>
    </row>
    <row r="395" spans="1:10" s="124" customFormat="1" ht="15.75" x14ac:dyDescent="0.25">
      <c r="A395" s="84" t="s">
        <v>390</v>
      </c>
      <c r="B395" s="84" t="s">
        <v>391</v>
      </c>
    </row>
    <row r="396" spans="1:10" s="131" customFormat="1" x14ac:dyDescent="0.25">
      <c r="A396" s="129" t="s">
        <v>312</v>
      </c>
      <c r="B396" s="129" t="s">
        <v>392</v>
      </c>
    </row>
    <row r="397" spans="1:10" s="131" customFormat="1" x14ac:dyDescent="0.25">
      <c r="A397" s="114" t="s">
        <v>313</v>
      </c>
      <c r="B397" s="129"/>
    </row>
    <row r="398" spans="1:10" s="131" customFormat="1" x14ac:dyDescent="0.25">
      <c r="A398" s="114" t="s">
        <v>314</v>
      </c>
      <c r="B398" s="129"/>
    </row>
    <row r="399" spans="1:10" s="131" customFormat="1" x14ac:dyDescent="0.25">
      <c r="A399" s="114" t="s">
        <v>264</v>
      </c>
      <c r="B399" s="129"/>
    </row>
    <row r="400" spans="1:10" s="131" customFormat="1" x14ac:dyDescent="0.25">
      <c r="A400" s="114" t="s">
        <v>569</v>
      </c>
      <c r="B400" s="129"/>
    </row>
    <row r="401" spans="1:5" s="131" customFormat="1" x14ac:dyDescent="0.25">
      <c r="A401" s="114" t="s">
        <v>570</v>
      </c>
      <c r="B401" s="129"/>
    </row>
    <row r="402" spans="1:5" s="131" customFormat="1" x14ac:dyDescent="0.25">
      <c r="A402" s="114" t="s">
        <v>704</v>
      </c>
      <c r="B402" s="129"/>
    </row>
    <row r="403" spans="1:5" s="131" customFormat="1" x14ac:dyDescent="0.25">
      <c r="A403" s="114" t="s">
        <v>705</v>
      </c>
      <c r="B403" s="129"/>
    </row>
    <row r="404" spans="1:5" s="131" customFormat="1" x14ac:dyDescent="0.25">
      <c r="A404" s="114" t="s">
        <v>725</v>
      </c>
      <c r="B404" s="129"/>
    </row>
    <row r="406" spans="1:5" ht="18" customHeight="1" x14ac:dyDescent="0.25">
      <c r="A406" s="117" t="s">
        <v>393</v>
      </c>
      <c r="B406" s="118"/>
      <c r="C406" s="118"/>
      <c r="D406" s="118"/>
    </row>
    <row r="407" spans="1:5" s="124" customFormat="1" ht="15.75" x14ac:dyDescent="0.25">
      <c r="A407" s="133" t="s">
        <v>389</v>
      </c>
      <c r="B407" s="134"/>
      <c r="C407" s="134"/>
    </row>
    <row r="408" spans="1:5" s="131" customFormat="1" x14ac:dyDescent="0.25">
      <c r="A408" s="135" t="s">
        <v>447</v>
      </c>
      <c r="B408" s="136"/>
      <c r="C408" s="136"/>
    </row>
    <row r="410" spans="1:5" s="137" customFormat="1" ht="15.75" x14ac:dyDescent="0.25">
      <c r="A410" s="84" t="s">
        <v>385</v>
      </c>
      <c r="B410" s="84" t="s">
        <v>11</v>
      </c>
      <c r="C410" s="84" t="s">
        <v>394</v>
      </c>
      <c r="D410" s="84" t="s">
        <v>395</v>
      </c>
      <c r="E410"/>
    </row>
    <row r="411" spans="1:5" x14ac:dyDescent="0.25">
      <c r="A411" s="138">
        <v>1</v>
      </c>
      <c r="B411" s="122" t="s">
        <v>396</v>
      </c>
      <c r="C411" s="122" t="s">
        <v>392</v>
      </c>
      <c r="D411" s="122" t="s">
        <v>397</v>
      </c>
    </row>
    <row r="413" spans="1:5" ht="20.100000000000001" customHeight="1" x14ac:dyDescent="0.25">
      <c r="A413" s="117" t="s">
        <v>398</v>
      </c>
      <c r="B413" s="118"/>
      <c r="C413" s="118"/>
      <c r="D413" s="118"/>
    </row>
    <row r="414" spans="1:5" ht="15.75" x14ac:dyDescent="0.25">
      <c r="A414" s="133" t="s">
        <v>305</v>
      </c>
    </row>
    <row r="415" spans="1:5" x14ac:dyDescent="0.25">
      <c r="A415" s="122" t="s">
        <v>447</v>
      </c>
    </row>
    <row r="417" spans="1:3" ht="15.75" x14ac:dyDescent="0.25">
      <c r="A417" s="133" t="s">
        <v>377</v>
      </c>
    </row>
    <row r="418" spans="1:3" x14ac:dyDescent="0.25">
      <c r="A418" s="122" t="s">
        <v>399</v>
      </c>
    </row>
    <row r="420" spans="1:3" ht="21.6" customHeight="1" x14ac:dyDescent="0.25">
      <c r="A420" s="133" t="s">
        <v>208</v>
      </c>
      <c r="B420" s="133" t="s">
        <v>400</v>
      </c>
      <c r="C420" s="133" t="s">
        <v>401</v>
      </c>
    </row>
    <row r="421" spans="1:3" s="131" customFormat="1" x14ac:dyDescent="0.25">
      <c r="A421" s="132">
        <v>1</v>
      </c>
      <c r="B421" s="129" t="s">
        <v>402</v>
      </c>
      <c r="C421" s="129" t="s">
        <v>403</v>
      </c>
    </row>
    <row r="422" spans="1:3" s="131" customFormat="1" x14ac:dyDescent="0.25">
      <c r="A422" s="132">
        <v>2</v>
      </c>
      <c r="B422" s="129" t="s">
        <v>404</v>
      </c>
      <c r="C422" s="129" t="s">
        <v>405</v>
      </c>
    </row>
  </sheetData>
  <mergeCells count="41">
    <mergeCell ref="A161:D161"/>
    <mergeCell ref="A165:D165"/>
    <mergeCell ref="A141:D141"/>
    <mergeCell ref="A145:D145"/>
    <mergeCell ref="A111:D111"/>
    <mergeCell ref="A115:D115"/>
    <mergeCell ref="A122:D122"/>
    <mergeCell ref="A126:D126"/>
    <mergeCell ref="A64:D64"/>
    <mergeCell ref="A68:D68"/>
    <mergeCell ref="A102:D102"/>
    <mergeCell ref="A76:D76"/>
    <mergeCell ref="A80:D80"/>
    <mergeCell ref="A87:D87"/>
    <mergeCell ref="A91:D91"/>
    <mergeCell ref="A98:D98"/>
    <mergeCell ref="A180:D180"/>
    <mergeCell ref="A184:D184"/>
    <mergeCell ref="A200:D200"/>
    <mergeCell ref="A204:D204"/>
    <mergeCell ref="A231:D231"/>
    <mergeCell ref="A234:D234"/>
    <mergeCell ref="A243:D243"/>
    <mergeCell ref="A252:D252"/>
    <mergeCell ref="A261:D261"/>
    <mergeCell ref="A270:D270"/>
    <mergeCell ref="A279:D279"/>
    <mergeCell ref="A288:D288"/>
    <mergeCell ref="A297:D297"/>
    <mergeCell ref="A306:D306"/>
    <mergeCell ref="A315:D315"/>
    <mergeCell ref="A320:D320"/>
    <mergeCell ref="A327:D327"/>
    <mergeCell ref="A334:D334"/>
    <mergeCell ref="A341:D341"/>
    <mergeCell ref="A348:D348"/>
    <mergeCell ref="A355:D355"/>
    <mergeCell ref="A362:D362"/>
    <mergeCell ref="A369:D369"/>
    <mergeCell ref="A376:D376"/>
    <mergeCell ref="A381:D381"/>
  </mergeCells>
  <hyperlinks>
    <hyperlink ref="H236" r:id="rId1"/>
    <hyperlink ref="H245" r:id="rId2"/>
    <hyperlink ref="H254" r:id="rId3"/>
    <hyperlink ref="H263" r:id="rId4"/>
    <hyperlink ref="H272" r:id="rId5"/>
    <hyperlink ref="H281" r:id="rId6"/>
    <hyperlink ref="H290" r:id="rId7"/>
    <hyperlink ref="H299" r:id="rId8"/>
    <hyperlink ref="H308" r:id="rId9"/>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533"/>
  <sheetViews>
    <sheetView tabSelected="1" topLeftCell="A66" zoomScale="60" zoomScaleNormal="60" workbookViewId="0">
      <selection activeCell="I84" sqref="I84"/>
    </sheetView>
  </sheetViews>
  <sheetFormatPr defaultRowHeight="15" x14ac:dyDescent="0.25"/>
  <cols>
    <col min="1" max="1" width="47.42578125" bestFit="1" customWidth="1" collapsed="1"/>
    <col min="2" max="2" width="72.5703125" bestFit="1" customWidth="1" collapsed="1"/>
    <col min="3" max="3" width="18.42578125" customWidth="1" collapsed="1"/>
    <col min="4" max="4" width="35.85546875" bestFit="1" customWidth="1" collapsed="1"/>
    <col min="5" max="6" width="26.5703125" bestFit="1" customWidth="1" collapsed="1"/>
    <col min="7" max="7" width="17.85546875" customWidth="1" collapsed="1"/>
    <col min="8" max="8" width="31.85546875" bestFit="1" customWidth="1" collapsed="1"/>
    <col min="9" max="9" width="27.42578125" bestFit="1" customWidth="1" collapsed="1"/>
    <col min="10" max="10" width="33.42578125" customWidth="1" collapsed="1"/>
    <col min="11" max="11" width="30.42578125" bestFit="1" customWidth="1" collapsed="1"/>
    <col min="12" max="12" width="25.140625" bestFit="1" customWidth="1" collapsed="1"/>
    <col min="13" max="13" width="28.140625" customWidth="1" collapsed="1"/>
    <col min="14" max="14" width="31.140625" bestFit="1" customWidth="1" collapsed="1"/>
    <col min="15" max="15" width="34.5703125" bestFit="1" customWidth="1" collapsed="1"/>
    <col min="16" max="16" width="34.28515625" bestFit="1" customWidth="1" collapsed="1"/>
    <col min="17" max="17" width="39.5703125" bestFit="1" customWidth="1" collapsed="1"/>
    <col min="18" max="18" width="11.85546875" customWidth="1" collapsed="1"/>
    <col min="19" max="19" width="19" bestFit="1" customWidth="1" collapsed="1"/>
    <col min="20" max="20" width="27.42578125" bestFit="1" customWidth="1" collapsed="1"/>
    <col min="21" max="21" width="16.5703125" bestFit="1" customWidth="1" collapsed="1"/>
    <col min="22" max="22" width="12.5703125" bestFit="1" customWidth="1" collapsed="1"/>
    <col min="23" max="23" width="24.85546875" bestFit="1" customWidth="1" collapsed="1"/>
    <col min="24" max="24" width="21.5703125" bestFit="1" customWidth="1" collapsed="1"/>
    <col min="25" max="25" width="19.85546875" bestFit="1" customWidth="1" collapsed="1"/>
    <col min="26" max="26" width="19" bestFit="1" customWidth="1" collapsed="1"/>
    <col min="32" max="33" width="8.7109375" style="251" collapsed="1"/>
  </cols>
  <sheetData>
    <row r="1" spans="1:118" s="73" customFormat="1" ht="23.25" x14ac:dyDescent="0.25">
      <c r="A1" s="360" t="s">
        <v>221</v>
      </c>
      <c r="B1" s="360"/>
      <c r="C1" s="360"/>
      <c r="D1" s="360"/>
      <c r="E1" s="360"/>
      <c r="F1" s="360"/>
      <c r="G1" s="360"/>
      <c r="H1" s="360"/>
      <c r="I1" s="360"/>
      <c r="J1" s="360"/>
      <c r="L1" s="74"/>
      <c r="N1" s="74"/>
      <c r="O1" s="74"/>
      <c r="P1" s="74"/>
      <c r="Q1" s="74"/>
      <c r="AF1" s="249"/>
      <c r="AG1" s="249"/>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row>
    <row r="2" spans="1:118" s="77" customFormat="1" ht="18.75" x14ac:dyDescent="0.25">
      <c r="A2" s="76" t="s">
        <v>222</v>
      </c>
      <c r="B2" s="361" t="s">
        <v>223</v>
      </c>
      <c r="C2" s="362"/>
      <c r="D2" s="362"/>
      <c r="E2" s="363"/>
      <c r="F2" s="73"/>
      <c r="G2" s="74"/>
      <c r="H2" s="73"/>
      <c r="I2" s="73"/>
      <c r="L2" s="78"/>
      <c r="V2" s="73"/>
      <c r="AB2" s="73"/>
      <c r="AF2" s="250"/>
      <c r="AG2" s="250"/>
      <c r="AJ2" s="73"/>
      <c r="BA2" s="73"/>
      <c r="BJ2" s="73"/>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row>
    <row r="3" spans="1:118" ht="15.75" x14ac:dyDescent="0.25">
      <c r="A3" s="80" t="s">
        <v>224</v>
      </c>
      <c r="B3" s="80" t="s">
        <v>0</v>
      </c>
      <c r="C3" s="80" t="s">
        <v>1</v>
      </c>
      <c r="D3" s="5" t="s">
        <v>225</v>
      </c>
      <c r="E3" s="5" t="s">
        <v>226</v>
      </c>
      <c r="F3" s="80" t="s">
        <v>227</v>
      </c>
      <c r="G3" s="80" t="s">
        <v>228</v>
      </c>
    </row>
    <row r="4" spans="1:118" x14ac:dyDescent="0.25">
      <c r="A4" s="81" t="s">
        <v>516</v>
      </c>
      <c r="B4" s="2" t="s">
        <v>13</v>
      </c>
      <c r="C4" s="4" t="s">
        <v>499</v>
      </c>
      <c r="D4" s="4"/>
      <c r="E4" s="4"/>
      <c r="F4" s="3"/>
      <c r="G4" s="82"/>
      <c r="L4" t="s">
        <v>567</v>
      </c>
    </row>
    <row r="5" spans="1:118" x14ac:dyDescent="0.25">
      <c r="L5" t="s">
        <v>568</v>
      </c>
    </row>
    <row r="6" spans="1:118" s="73" customFormat="1" ht="18.75" x14ac:dyDescent="0.25">
      <c r="A6" s="364" t="s">
        <v>229</v>
      </c>
      <c r="B6" s="364"/>
      <c r="C6" s="364"/>
      <c r="D6" s="364"/>
      <c r="E6" s="364"/>
      <c r="F6" s="364"/>
      <c r="G6" s="364"/>
      <c r="H6" s="364"/>
      <c r="I6" s="364"/>
      <c r="J6" s="364"/>
      <c r="L6" s="74"/>
      <c r="AF6" s="249"/>
      <c r="AG6" s="250"/>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row>
    <row r="7" spans="1:118" s="73" customFormat="1" ht="31.5" x14ac:dyDescent="0.25">
      <c r="A7" s="83" t="s">
        <v>224</v>
      </c>
      <c r="B7" s="83" t="s">
        <v>1</v>
      </c>
      <c r="C7" s="83" t="s">
        <v>2</v>
      </c>
      <c r="D7" s="83" t="s">
        <v>3</v>
      </c>
      <c r="E7" s="83" t="s">
        <v>230</v>
      </c>
      <c r="F7" s="83" t="s">
        <v>231</v>
      </c>
      <c r="G7" s="84" t="s">
        <v>232</v>
      </c>
      <c r="H7" s="83" t="s">
        <v>233</v>
      </c>
      <c r="I7" s="83" t="s">
        <v>642</v>
      </c>
      <c r="J7" s="84" t="s">
        <v>234</v>
      </c>
      <c r="K7" s="84" t="s">
        <v>235</v>
      </c>
      <c r="L7" s="74"/>
      <c r="AF7" s="249"/>
      <c r="AG7" s="249"/>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row>
    <row r="8" spans="1:118" ht="33.6" customHeight="1" x14ac:dyDescent="0.25">
      <c r="A8" s="81" t="s">
        <v>516</v>
      </c>
      <c r="B8" s="2" t="str">
        <f>C4</f>
        <v>CurrConv_Cust1Auto,IND</v>
      </c>
      <c r="C8" s="2" t="s">
        <v>517</v>
      </c>
      <c r="D8" s="2" t="s">
        <v>5</v>
      </c>
      <c r="E8" s="2" t="s">
        <v>6</v>
      </c>
      <c r="F8" s="2" t="s">
        <v>236</v>
      </c>
      <c r="G8" s="2" t="s">
        <v>4</v>
      </c>
      <c r="H8" s="2" t="s">
        <v>237</v>
      </c>
      <c r="I8" s="2" t="s">
        <v>643</v>
      </c>
      <c r="J8" s="2" t="s">
        <v>741</v>
      </c>
      <c r="K8" s="85" t="s">
        <v>238</v>
      </c>
    </row>
    <row r="10" spans="1:118" s="73" customFormat="1" ht="18" customHeight="1" x14ac:dyDescent="0.25">
      <c r="A10" s="364" t="s">
        <v>239</v>
      </c>
      <c r="B10" s="364"/>
      <c r="C10" s="364"/>
      <c r="D10" s="364"/>
      <c r="E10" s="364"/>
      <c r="F10" s="364"/>
      <c r="G10" s="364"/>
      <c r="H10" s="364"/>
      <c r="L10" s="74"/>
      <c r="AF10" s="249"/>
      <c r="AG10" s="249"/>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75"/>
      <c r="CZ10" s="75"/>
      <c r="DA10" s="75"/>
      <c r="DB10" s="75"/>
      <c r="DC10" s="75"/>
      <c r="DD10" s="75"/>
      <c r="DE10" s="75"/>
      <c r="DF10" s="75"/>
      <c r="DG10" s="75"/>
      <c r="DH10" s="75"/>
      <c r="DI10" s="75"/>
      <c r="DJ10" s="75"/>
      <c r="DK10" s="75"/>
      <c r="DL10" s="75"/>
    </row>
    <row r="11" spans="1:118" s="73" customFormat="1" ht="18" customHeight="1" x14ac:dyDescent="0.25">
      <c r="A11" s="83" t="s">
        <v>1</v>
      </c>
      <c r="B11" s="84" t="s">
        <v>2</v>
      </c>
      <c r="C11" s="84" t="s">
        <v>240</v>
      </c>
      <c r="D11" s="84" t="s">
        <v>0</v>
      </c>
      <c r="E11" s="83" t="s">
        <v>7</v>
      </c>
      <c r="F11" s="83" t="s">
        <v>241</v>
      </c>
      <c r="G11" s="84" t="s">
        <v>242</v>
      </c>
      <c r="H11" s="83" t="s">
        <v>243</v>
      </c>
      <c r="L11" s="74"/>
      <c r="AF11" s="249"/>
      <c r="AG11" s="249"/>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75"/>
      <c r="CZ11" s="75"/>
      <c r="DA11" s="75"/>
      <c r="DB11" s="75"/>
      <c r="DC11" s="75"/>
      <c r="DD11" s="75"/>
      <c r="DE11" s="75"/>
      <c r="DF11" s="75"/>
      <c r="DG11" s="75"/>
      <c r="DH11" s="75"/>
      <c r="DI11" s="75"/>
      <c r="DJ11" s="75"/>
      <c r="DK11" s="75"/>
      <c r="DL11" s="75"/>
      <c r="DM11" s="75"/>
      <c r="DN11" s="75"/>
    </row>
    <row r="12" spans="1:118" x14ac:dyDescent="0.25">
      <c r="A12" s="2" t="str">
        <f>C4</f>
        <v>CurrConv_Cust1Auto,IND</v>
      </c>
      <c r="B12" s="6" t="str">
        <f>C8</f>
        <v>6225947218</v>
      </c>
      <c r="C12" s="7">
        <v>6225947831</v>
      </c>
      <c r="D12" s="2" t="s">
        <v>6</v>
      </c>
      <c r="E12" s="3" t="s">
        <v>8</v>
      </c>
      <c r="F12" s="2" t="s">
        <v>236</v>
      </c>
      <c r="G12" s="3"/>
      <c r="H12" s="2" t="s">
        <v>244</v>
      </c>
      <c r="I12" s="73"/>
    </row>
    <row r="14" spans="1:118" ht="18.75" x14ac:dyDescent="0.25">
      <c r="A14" s="365" t="s">
        <v>245</v>
      </c>
      <c r="B14" s="366"/>
      <c r="C14" s="366"/>
      <c r="D14" s="366"/>
      <c r="E14" s="366"/>
      <c r="F14" s="366"/>
      <c r="G14" s="366"/>
    </row>
    <row r="15" spans="1:118" ht="15.75" x14ac:dyDescent="0.25">
      <c r="A15" s="87" t="s">
        <v>246</v>
      </c>
      <c r="B15" s="87" t="s">
        <v>247</v>
      </c>
      <c r="C15" s="80" t="s">
        <v>9</v>
      </c>
      <c r="D15" s="80" t="s">
        <v>248</v>
      </c>
      <c r="E15" s="80" t="s">
        <v>7</v>
      </c>
      <c r="F15" s="80" t="s">
        <v>0</v>
      </c>
      <c r="G15" s="80" t="s">
        <v>249</v>
      </c>
      <c r="H15" s="80" t="s">
        <v>250</v>
      </c>
      <c r="I15" s="80" t="s">
        <v>251</v>
      </c>
      <c r="J15" s="80" t="s">
        <v>252</v>
      </c>
      <c r="K15" s="80" t="s">
        <v>244</v>
      </c>
      <c r="L15" s="80" t="s">
        <v>253</v>
      </c>
      <c r="M15" s="80" t="s">
        <v>254</v>
      </c>
      <c r="N15" s="80" t="s">
        <v>255</v>
      </c>
      <c r="O15" s="80" t="s">
        <v>256</v>
      </c>
      <c r="P15" s="80" t="s">
        <v>257</v>
      </c>
      <c r="Q15" s="80" t="s">
        <v>258</v>
      </c>
      <c r="R15" s="80" t="s">
        <v>18</v>
      </c>
      <c r="S15" s="80" t="s">
        <v>259</v>
      </c>
    </row>
    <row r="16" spans="1:118" x14ac:dyDescent="0.25">
      <c r="A16" s="2" t="s">
        <v>260</v>
      </c>
      <c r="B16" s="2" t="s">
        <v>261</v>
      </c>
      <c r="C16" s="2" t="s">
        <v>500</v>
      </c>
      <c r="D16" s="2" t="s">
        <v>504</v>
      </c>
      <c r="E16" s="2" t="s">
        <v>8</v>
      </c>
      <c r="F16" s="2" t="s">
        <v>6</v>
      </c>
      <c r="G16" s="2" t="s">
        <v>262</v>
      </c>
      <c r="H16" s="2">
        <v>10</v>
      </c>
      <c r="I16" s="2" t="s">
        <v>263</v>
      </c>
      <c r="J16" s="2">
        <v>3</v>
      </c>
      <c r="K16" s="2" t="s">
        <v>87</v>
      </c>
      <c r="L16" s="2" t="s">
        <v>312</v>
      </c>
      <c r="M16" s="2" t="s">
        <v>464</v>
      </c>
      <c r="N16" s="2" t="s">
        <v>518</v>
      </c>
      <c r="O16" s="2" t="s">
        <v>264</v>
      </c>
      <c r="P16" s="2" t="s">
        <v>264</v>
      </c>
      <c r="Q16" s="2" t="s">
        <v>265</v>
      </c>
      <c r="R16" s="2" t="s">
        <v>22</v>
      </c>
      <c r="S16" s="2" t="s">
        <v>4</v>
      </c>
    </row>
    <row r="17" spans="1:117" x14ac:dyDescent="0.25">
      <c r="A17" s="2"/>
      <c r="B17" s="2"/>
      <c r="C17" s="2" t="s">
        <v>501</v>
      </c>
      <c r="D17" s="2" t="s">
        <v>505</v>
      </c>
      <c r="E17" s="2" t="s">
        <v>8</v>
      </c>
      <c r="F17" s="2" t="s">
        <v>6</v>
      </c>
      <c r="G17" s="2" t="s">
        <v>262</v>
      </c>
      <c r="H17" s="2">
        <v>10</v>
      </c>
      <c r="I17" s="2" t="s">
        <v>263</v>
      </c>
      <c r="J17" s="2">
        <v>3</v>
      </c>
      <c r="K17" s="2" t="s">
        <v>87</v>
      </c>
      <c r="L17" s="175" t="s">
        <v>569</v>
      </c>
      <c r="M17" s="175" t="s">
        <v>628</v>
      </c>
      <c r="N17" s="175" t="s">
        <v>628</v>
      </c>
      <c r="O17" s="2" t="s">
        <v>264</v>
      </c>
      <c r="P17" s="2" t="s">
        <v>264</v>
      </c>
      <c r="Q17" s="2" t="s">
        <v>265</v>
      </c>
      <c r="R17" s="2" t="s">
        <v>22</v>
      </c>
      <c r="S17" s="2" t="s">
        <v>4</v>
      </c>
    </row>
    <row r="18" spans="1:117" x14ac:dyDescent="0.25">
      <c r="A18" s="2"/>
      <c r="B18" s="2"/>
      <c r="C18" s="2"/>
      <c r="D18" s="2"/>
      <c r="E18" s="2"/>
      <c r="F18" s="2"/>
      <c r="G18" s="2"/>
      <c r="H18" s="2"/>
      <c r="I18" s="2"/>
      <c r="J18" s="2"/>
      <c r="K18" s="2"/>
      <c r="L18" s="175" t="s">
        <v>570</v>
      </c>
      <c r="M18" s="175" t="s">
        <v>464</v>
      </c>
      <c r="N18" s="175" t="s">
        <v>668</v>
      </c>
      <c r="O18" s="2"/>
      <c r="P18" s="2"/>
      <c r="Q18" s="2"/>
      <c r="R18" s="2"/>
      <c r="S18" s="2"/>
    </row>
    <row r="19" spans="1:117" x14ac:dyDescent="0.25">
      <c r="A19" s="2"/>
      <c r="B19" s="2" t="s">
        <v>266</v>
      </c>
      <c r="C19" s="2" t="s">
        <v>502</v>
      </c>
      <c r="D19" s="2" t="s">
        <v>506</v>
      </c>
      <c r="E19" s="2" t="s">
        <v>8</v>
      </c>
      <c r="F19" s="2" t="s">
        <v>6</v>
      </c>
      <c r="G19" s="2" t="s">
        <v>262</v>
      </c>
      <c r="H19" s="2">
        <v>10</v>
      </c>
      <c r="I19" s="2" t="s">
        <v>263</v>
      </c>
      <c r="J19" s="2">
        <v>3</v>
      </c>
      <c r="K19" s="2" t="s">
        <v>87</v>
      </c>
      <c r="L19" s="175" t="s">
        <v>570</v>
      </c>
      <c r="M19" s="175" t="s">
        <v>429</v>
      </c>
      <c r="N19" s="175" t="s">
        <v>454</v>
      </c>
      <c r="O19" s="2" t="s">
        <v>264</v>
      </c>
      <c r="P19" s="2" t="s">
        <v>264</v>
      </c>
      <c r="Q19" s="2" t="s">
        <v>265</v>
      </c>
      <c r="R19" s="2" t="s">
        <v>22</v>
      </c>
      <c r="S19" s="2" t="s">
        <v>4</v>
      </c>
    </row>
    <row r="20" spans="1:117" x14ac:dyDescent="0.25">
      <c r="A20" s="2"/>
      <c r="B20" s="2"/>
      <c r="C20" s="2" t="s">
        <v>503</v>
      </c>
      <c r="D20" s="2" t="s">
        <v>507</v>
      </c>
      <c r="E20" s="2" t="s">
        <v>8</v>
      </c>
      <c r="F20" s="2" t="s">
        <v>6</v>
      </c>
      <c r="G20" s="2" t="s">
        <v>262</v>
      </c>
      <c r="H20" s="2">
        <v>10</v>
      </c>
      <c r="I20" s="2" t="s">
        <v>263</v>
      </c>
      <c r="J20" s="2">
        <v>3</v>
      </c>
      <c r="K20" s="2" t="s">
        <v>87</v>
      </c>
      <c r="L20" s="2" t="s">
        <v>107</v>
      </c>
      <c r="M20" s="2" t="s">
        <v>464</v>
      </c>
      <c r="N20" s="2" t="s">
        <v>629</v>
      </c>
      <c r="O20" s="2" t="s">
        <v>264</v>
      </c>
      <c r="P20" s="2" t="s">
        <v>264</v>
      </c>
      <c r="Q20" s="2" t="s">
        <v>265</v>
      </c>
      <c r="R20" s="2" t="s">
        <v>22</v>
      </c>
      <c r="S20" s="2" t="s">
        <v>4</v>
      </c>
    </row>
    <row r="21" spans="1:117" ht="18.75" x14ac:dyDescent="0.25">
      <c r="A21" s="369" t="s">
        <v>267</v>
      </c>
      <c r="B21" s="369"/>
      <c r="C21" s="369"/>
    </row>
    <row r="22" spans="1:117" ht="31.5" x14ac:dyDescent="0.25">
      <c r="A22" s="83" t="s">
        <v>268</v>
      </c>
      <c r="B22" s="83" t="s">
        <v>269</v>
      </c>
      <c r="C22" s="84" t="s">
        <v>270</v>
      </c>
      <c r="D22" s="80" t="s">
        <v>0</v>
      </c>
    </row>
    <row r="23" spans="1:117" x14ac:dyDescent="0.25">
      <c r="A23" s="88" t="s">
        <v>520</v>
      </c>
      <c r="B23" s="2" t="s">
        <v>519</v>
      </c>
      <c r="C23" s="2" t="s">
        <v>271</v>
      </c>
      <c r="D23" s="2" t="s">
        <v>6</v>
      </c>
    </row>
    <row r="24" spans="1:117" s="73" customFormat="1" ht="18" customHeight="1" x14ac:dyDescent="0.25">
      <c r="A24" s="364" t="s">
        <v>272</v>
      </c>
      <c r="B24" s="364"/>
      <c r="C24" s="364"/>
      <c r="D24" s="364"/>
      <c r="E24" s="364"/>
      <c r="F24" s="364"/>
      <c r="G24" s="364"/>
      <c r="H24" s="364"/>
      <c r="I24" s="364"/>
      <c r="J24" s="364"/>
      <c r="O24" s="74"/>
      <c r="P24" s="74"/>
      <c r="AF24" s="249"/>
      <c r="AG24" s="249"/>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75"/>
      <c r="CZ24" s="75"/>
      <c r="DA24" s="75"/>
      <c r="DB24" s="75"/>
      <c r="DC24" s="75"/>
      <c r="DD24" s="75"/>
      <c r="DE24" s="75"/>
      <c r="DF24" s="75"/>
      <c r="DG24" s="75"/>
      <c r="DH24" s="75"/>
      <c r="DI24" s="75"/>
      <c r="DJ24" s="75"/>
      <c r="DK24" s="75"/>
    </row>
    <row r="25" spans="1:117" s="73" customFormat="1" ht="22.5" x14ac:dyDescent="0.25">
      <c r="A25" s="83" t="s">
        <v>268</v>
      </c>
      <c r="B25" s="83" t="s">
        <v>269</v>
      </c>
      <c r="C25" s="83" t="s">
        <v>273</v>
      </c>
      <c r="D25" s="89" t="s">
        <v>17</v>
      </c>
      <c r="E25" s="89" t="s">
        <v>54</v>
      </c>
      <c r="F25" s="89" t="s">
        <v>55</v>
      </c>
      <c r="G25" s="89" t="s">
        <v>274</v>
      </c>
      <c r="H25" s="89" t="s">
        <v>275</v>
      </c>
      <c r="I25" s="90" t="s">
        <v>56</v>
      </c>
      <c r="J25" s="91" t="s">
        <v>276</v>
      </c>
      <c r="K25" s="92" t="s">
        <v>277</v>
      </c>
      <c r="L25" s="94" t="s">
        <v>278</v>
      </c>
      <c r="M25" s="95" t="s">
        <v>18</v>
      </c>
      <c r="N25" s="95" t="s">
        <v>279</v>
      </c>
      <c r="O25" s="96" t="s">
        <v>295</v>
      </c>
      <c r="P25" s="96" t="s">
        <v>296</v>
      </c>
      <c r="Q25" s="74"/>
      <c r="R25" s="74"/>
      <c r="AF25" s="249"/>
      <c r="AG25" s="249"/>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75"/>
      <c r="DC25" s="75"/>
      <c r="DD25" s="75"/>
      <c r="DE25" s="75"/>
      <c r="DF25" s="75"/>
      <c r="DG25" s="75"/>
      <c r="DH25" s="75"/>
      <c r="DI25" s="75"/>
      <c r="DJ25" s="75"/>
      <c r="DK25" s="75"/>
      <c r="DL25" s="75"/>
      <c r="DM25" s="75"/>
    </row>
    <row r="26" spans="1:117" s="73" customFormat="1" x14ac:dyDescent="0.25">
      <c r="A26" s="88" t="s">
        <v>520</v>
      </c>
      <c r="B26" s="2" t="s">
        <v>519</v>
      </c>
      <c r="C26" s="2" t="s">
        <v>500</v>
      </c>
      <c r="D26" s="2" t="s">
        <v>21</v>
      </c>
      <c r="E26" s="2" t="s">
        <v>271</v>
      </c>
      <c r="F26" s="2"/>
      <c r="G26" s="2" t="s">
        <v>4</v>
      </c>
      <c r="H26" s="2" t="s">
        <v>280</v>
      </c>
      <c r="I26" s="2" t="s">
        <v>512</v>
      </c>
      <c r="J26" s="2"/>
      <c r="K26" s="2"/>
      <c r="L26" s="93"/>
      <c r="M26" s="2"/>
      <c r="N26" s="95" t="s">
        <v>281</v>
      </c>
      <c r="O26" s="96"/>
      <c r="P26" s="96"/>
      <c r="Q26" s="74"/>
      <c r="R26" s="74"/>
      <c r="AF26" s="249"/>
      <c r="AG26" s="249"/>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row>
    <row r="27" spans="1:117" s="73" customFormat="1" x14ac:dyDescent="0.25">
      <c r="A27" s="88"/>
      <c r="B27" s="2"/>
      <c r="C27" s="2" t="s">
        <v>501</v>
      </c>
      <c r="D27" s="2" t="s">
        <v>21</v>
      </c>
      <c r="E27" s="2" t="s">
        <v>271</v>
      </c>
      <c r="F27" s="2"/>
      <c r="G27" s="2" t="s">
        <v>4</v>
      </c>
      <c r="H27" s="2" t="s">
        <v>280</v>
      </c>
      <c r="I27" s="88" t="s">
        <v>513</v>
      </c>
      <c r="J27" s="2"/>
      <c r="K27" s="2"/>
      <c r="L27" s="93"/>
      <c r="M27" s="2"/>
      <c r="N27" s="95" t="s">
        <v>281</v>
      </c>
      <c r="O27" s="96"/>
      <c r="P27" s="96"/>
      <c r="Q27" s="74"/>
      <c r="R27" s="74"/>
      <c r="AF27" s="249"/>
      <c r="AG27" s="249"/>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row>
    <row r="28" spans="1:117" s="73" customFormat="1" x14ac:dyDescent="0.25">
      <c r="A28" s="2"/>
      <c r="B28" s="2"/>
      <c r="C28" s="2" t="s">
        <v>502</v>
      </c>
      <c r="D28" s="2" t="s">
        <v>21</v>
      </c>
      <c r="E28" s="2" t="s">
        <v>271</v>
      </c>
      <c r="F28" s="2"/>
      <c r="G28" s="2" t="s">
        <v>4</v>
      </c>
      <c r="H28" s="2" t="s">
        <v>280</v>
      </c>
      <c r="I28" s="88" t="s">
        <v>290</v>
      </c>
      <c r="J28" s="2"/>
      <c r="K28" s="2"/>
      <c r="L28" s="93"/>
      <c r="M28" s="2"/>
      <c r="N28" s="95" t="s">
        <v>281</v>
      </c>
      <c r="O28" s="96"/>
      <c r="P28" s="96"/>
      <c r="Q28" s="74"/>
      <c r="R28" s="74"/>
      <c r="AF28" s="249"/>
      <c r="AG28" s="249"/>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c r="CV28" s="75"/>
      <c r="CW28" s="75"/>
      <c r="CX28" s="75"/>
      <c r="CY28" s="75"/>
      <c r="CZ28" s="75"/>
      <c r="DA28" s="75"/>
      <c r="DB28" s="75"/>
      <c r="DC28" s="75"/>
      <c r="DD28" s="75"/>
      <c r="DE28" s="75"/>
      <c r="DF28" s="75"/>
      <c r="DG28" s="75"/>
      <c r="DH28" s="75"/>
      <c r="DI28" s="75"/>
      <c r="DJ28" s="75"/>
      <c r="DK28" s="75"/>
      <c r="DL28" s="75"/>
      <c r="DM28" s="75"/>
    </row>
    <row r="29" spans="1:117" s="73" customFormat="1" x14ac:dyDescent="0.25">
      <c r="A29" s="2"/>
      <c r="B29" s="2"/>
      <c r="C29" s="2" t="s">
        <v>503</v>
      </c>
      <c r="D29" s="2" t="s">
        <v>21</v>
      </c>
      <c r="E29" s="2" t="s">
        <v>271</v>
      </c>
      <c r="F29" s="2"/>
      <c r="G29" s="2" t="s">
        <v>4</v>
      </c>
      <c r="H29" s="2" t="s">
        <v>280</v>
      </c>
      <c r="I29" s="2" t="s">
        <v>291</v>
      </c>
      <c r="J29" s="2"/>
      <c r="K29" s="2"/>
      <c r="L29" s="93"/>
      <c r="M29" s="2"/>
      <c r="N29" s="95" t="s">
        <v>281</v>
      </c>
      <c r="O29" s="96"/>
      <c r="P29" s="96"/>
      <c r="Q29" s="74"/>
      <c r="R29" s="74"/>
      <c r="AF29" s="249"/>
      <c r="AG29" s="249"/>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c r="CV29" s="75"/>
      <c r="CW29" s="75"/>
      <c r="CX29" s="75"/>
      <c r="CY29" s="75"/>
      <c r="CZ29" s="75"/>
      <c r="DA29" s="75"/>
      <c r="DB29" s="75"/>
      <c r="DC29" s="75"/>
      <c r="DD29" s="75"/>
      <c r="DE29" s="75"/>
      <c r="DF29" s="75"/>
      <c r="DG29" s="75"/>
      <c r="DH29" s="75"/>
      <c r="DI29" s="75"/>
      <c r="DJ29" s="75"/>
      <c r="DK29" s="75"/>
      <c r="DL29" s="75"/>
      <c r="DM29" s="75"/>
    </row>
    <row r="30" spans="1:117" s="73" customFormat="1" x14ac:dyDescent="0.25">
      <c r="A30" s="2">
        <v>3300964785</v>
      </c>
      <c r="B30" s="2" t="s">
        <v>587</v>
      </c>
      <c r="C30" s="2"/>
      <c r="D30" s="2" t="s">
        <v>280</v>
      </c>
      <c r="E30" s="2"/>
      <c r="F30" s="2"/>
      <c r="G30" s="2"/>
      <c r="H30" s="2"/>
      <c r="I30" s="2">
        <v>25</v>
      </c>
      <c r="J30" s="2"/>
      <c r="K30" s="2"/>
      <c r="L30" s="93"/>
      <c r="M30" s="2"/>
      <c r="N30" s="95"/>
      <c r="O30" s="96"/>
      <c r="P30" s="96"/>
      <c r="Q30" s="74"/>
      <c r="R30" s="74"/>
      <c r="AF30" s="249"/>
      <c r="AG30" s="249"/>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75"/>
      <c r="CZ30" s="75"/>
      <c r="DA30" s="75"/>
      <c r="DB30" s="75"/>
      <c r="DC30" s="75"/>
      <c r="DD30" s="75"/>
      <c r="DE30" s="75"/>
      <c r="DF30" s="75"/>
      <c r="DG30" s="75"/>
      <c r="DH30" s="75"/>
      <c r="DI30" s="75"/>
      <c r="DJ30" s="75"/>
      <c r="DK30" s="75"/>
      <c r="DL30" s="75"/>
      <c r="DM30" s="75"/>
    </row>
    <row r="31" spans="1:117" s="73" customFormat="1" x14ac:dyDescent="0.25">
      <c r="A31" s="2"/>
      <c r="B31" s="2" t="s">
        <v>588</v>
      </c>
      <c r="C31" s="2"/>
      <c r="D31" s="2"/>
      <c r="E31" s="2"/>
      <c r="F31" s="2"/>
      <c r="G31" s="2"/>
      <c r="H31" s="2"/>
      <c r="I31" s="2"/>
      <c r="J31" s="2"/>
      <c r="K31" s="2"/>
      <c r="L31" s="93"/>
      <c r="M31" s="2"/>
      <c r="N31" s="95"/>
      <c r="O31" s="96"/>
      <c r="P31" s="96"/>
      <c r="Q31" s="74"/>
      <c r="R31" s="74"/>
      <c r="AF31" s="249"/>
      <c r="AG31" s="249"/>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row>
    <row r="32" spans="1:117" s="73" customFormat="1" x14ac:dyDescent="0.25">
      <c r="A32" s="2"/>
      <c r="B32" s="2" t="s">
        <v>589</v>
      </c>
      <c r="C32" s="2"/>
      <c r="D32" s="2" t="s">
        <v>280</v>
      </c>
      <c r="E32" s="2"/>
      <c r="F32" s="2"/>
      <c r="G32" s="2"/>
      <c r="H32" s="2"/>
      <c r="I32" s="2">
        <v>25</v>
      </c>
      <c r="J32" s="2"/>
      <c r="K32" s="2"/>
      <c r="L32" s="93"/>
      <c r="M32" s="2"/>
      <c r="N32" s="95"/>
      <c r="O32" s="96"/>
      <c r="P32" s="96"/>
      <c r="Q32" s="74"/>
      <c r="R32" s="74"/>
      <c r="AF32" s="249"/>
      <c r="AG32" s="249"/>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row>
    <row r="33" spans="1:117" s="73" customFormat="1" x14ac:dyDescent="0.25">
      <c r="A33" s="2">
        <v>3749095323</v>
      </c>
      <c r="B33" s="2" t="s">
        <v>590</v>
      </c>
      <c r="C33" s="2"/>
      <c r="D33" s="2" t="s">
        <v>280</v>
      </c>
      <c r="E33" s="2"/>
      <c r="F33" s="2"/>
      <c r="G33" s="2"/>
      <c r="H33" s="2"/>
      <c r="I33" s="2">
        <v>25</v>
      </c>
      <c r="J33" s="2"/>
      <c r="K33" s="2"/>
      <c r="L33" s="93"/>
      <c r="M33" s="2"/>
      <c r="N33" s="95"/>
      <c r="O33" s="96"/>
      <c r="P33" s="96"/>
      <c r="Q33" s="74"/>
      <c r="R33" s="74"/>
      <c r="AF33" s="249"/>
      <c r="AG33" s="249"/>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row>
    <row r="34" spans="1:117" s="73" customFormat="1" x14ac:dyDescent="0.25">
      <c r="A34" s="2"/>
      <c r="B34" s="2" t="s">
        <v>591</v>
      </c>
      <c r="C34" s="2"/>
      <c r="D34" s="2" t="s">
        <v>280</v>
      </c>
      <c r="E34" s="2"/>
      <c r="F34" s="2"/>
      <c r="G34" s="2"/>
      <c r="H34" s="2"/>
      <c r="I34" s="2">
        <v>25</v>
      </c>
      <c r="J34" s="2"/>
      <c r="K34" s="2"/>
      <c r="L34" s="93"/>
      <c r="M34" s="2"/>
      <c r="N34" s="95"/>
      <c r="O34" s="96"/>
      <c r="P34" s="96"/>
      <c r="Q34" s="74"/>
      <c r="R34" s="74"/>
      <c r="AF34" s="249"/>
      <c r="AG34" s="249"/>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row>
    <row r="35" spans="1:117" s="73" customFormat="1" x14ac:dyDescent="0.25">
      <c r="A35" s="2">
        <v>6481188366</v>
      </c>
      <c r="B35" s="2" t="s">
        <v>592</v>
      </c>
      <c r="C35" s="2"/>
      <c r="D35" s="2" t="s">
        <v>280</v>
      </c>
      <c r="E35" s="2"/>
      <c r="F35" s="2"/>
      <c r="G35" s="2"/>
      <c r="H35" s="2"/>
      <c r="I35" s="2">
        <v>25</v>
      </c>
      <c r="J35" s="2"/>
      <c r="K35" s="2"/>
      <c r="L35" s="93"/>
      <c r="M35" s="2"/>
      <c r="N35" s="95"/>
      <c r="O35" s="96"/>
      <c r="P35" s="96"/>
      <c r="Q35" s="74"/>
      <c r="R35" s="74"/>
      <c r="AF35" s="249"/>
      <c r="AG35" s="249"/>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row>
    <row r="36" spans="1:117" s="73" customFormat="1" x14ac:dyDescent="0.25">
      <c r="A36" s="2"/>
      <c r="B36" s="2" t="s">
        <v>593</v>
      </c>
      <c r="C36" s="2"/>
      <c r="D36" s="2" t="s">
        <v>280</v>
      </c>
      <c r="E36" s="2"/>
      <c r="F36" s="2"/>
      <c r="G36" s="2"/>
      <c r="H36" s="2"/>
      <c r="I36" s="2">
        <v>25</v>
      </c>
      <c r="J36" s="2"/>
      <c r="K36" s="2"/>
      <c r="L36" s="93"/>
      <c r="M36" s="2"/>
      <c r="N36" s="95"/>
      <c r="O36" s="96"/>
      <c r="P36" s="96"/>
      <c r="Q36" s="74"/>
      <c r="R36" s="74"/>
      <c r="AF36" s="249"/>
      <c r="AG36" s="249"/>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75"/>
      <c r="CZ36" s="75"/>
      <c r="DA36" s="75"/>
      <c r="DB36" s="75"/>
      <c r="DC36" s="75"/>
      <c r="DD36" s="75"/>
      <c r="DE36" s="75"/>
      <c r="DF36" s="75"/>
      <c r="DG36" s="75"/>
      <c r="DH36" s="75"/>
      <c r="DI36" s="75"/>
      <c r="DJ36" s="75"/>
      <c r="DK36" s="75"/>
      <c r="DL36" s="75"/>
      <c r="DM36" s="75"/>
    </row>
    <row r="37" spans="1:117" s="73" customFormat="1" x14ac:dyDescent="0.25">
      <c r="A37" s="2">
        <v>5959325416</v>
      </c>
      <c r="B37" s="2" t="s">
        <v>594</v>
      </c>
      <c r="C37" s="2"/>
      <c r="D37" s="2" t="s">
        <v>280</v>
      </c>
      <c r="E37" s="2"/>
      <c r="F37" s="2"/>
      <c r="G37" s="2"/>
      <c r="H37" s="2"/>
      <c r="I37" s="2">
        <v>25</v>
      </c>
      <c r="J37" s="2"/>
      <c r="K37" s="2"/>
      <c r="L37" s="93"/>
      <c r="M37" s="2"/>
      <c r="N37" s="95"/>
      <c r="O37" s="96"/>
      <c r="P37" s="96"/>
      <c r="Q37" s="74"/>
      <c r="R37" s="74"/>
      <c r="AF37" s="249"/>
      <c r="AG37" s="249"/>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row>
    <row r="38" spans="1:117" s="73" customFormat="1" x14ac:dyDescent="0.25">
      <c r="A38" s="2"/>
      <c r="B38" s="2" t="s">
        <v>595</v>
      </c>
      <c r="C38" s="2"/>
      <c r="D38" s="2" t="s">
        <v>280</v>
      </c>
      <c r="E38" s="2"/>
      <c r="F38" s="2"/>
      <c r="G38" s="2"/>
      <c r="H38" s="2"/>
      <c r="I38" s="2">
        <v>25</v>
      </c>
      <c r="J38" s="2"/>
      <c r="K38" s="2"/>
      <c r="L38" s="93"/>
      <c r="M38" s="2"/>
      <c r="N38" s="95"/>
      <c r="O38" s="96"/>
      <c r="P38" s="96"/>
      <c r="Q38" s="74"/>
      <c r="R38" s="74"/>
      <c r="AF38" s="249"/>
      <c r="AG38" s="249"/>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c r="CM38" s="75"/>
      <c r="CN38" s="75"/>
      <c r="CO38" s="75"/>
      <c r="CP38" s="75"/>
      <c r="CQ38" s="75"/>
      <c r="CR38" s="75"/>
      <c r="CS38" s="75"/>
      <c r="CT38" s="75"/>
      <c r="CU38" s="75"/>
      <c r="CV38" s="75"/>
      <c r="CW38" s="75"/>
      <c r="CX38" s="75"/>
      <c r="CY38" s="75"/>
      <c r="CZ38" s="75"/>
      <c r="DA38" s="75"/>
      <c r="DB38" s="75"/>
      <c r="DC38" s="75"/>
      <c r="DD38" s="75"/>
      <c r="DE38" s="75"/>
      <c r="DF38" s="75"/>
      <c r="DG38" s="75"/>
      <c r="DH38" s="75"/>
      <c r="DI38" s="75"/>
      <c r="DJ38" s="75"/>
      <c r="DK38" s="75"/>
      <c r="DL38" s="75"/>
      <c r="DM38" s="75"/>
    </row>
    <row r="39" spans="1:117" s="73" customFormat="1" x14ac:dyDescent="0.25">
      <c r="A39" s="2"/>
      <c r="B39" s="2" t="s">
        <v>596</v>
      </c>
      <c r="C39" s="2"/>
      <c r="D39" s="2" t="s">
        <v>280</v>
      </c>
      <c r="E39" s="2"/>
      <c r="F39" s="2"/>
      <c r="G39" s="2"/>
      <c r="H39" s="2"/>
      <c r="I39" s="2">
        <v>25</v>
      </c>
      <c r="J39" s="2"/>
      <c r="K39" s="2"/>
      <c r="L39" s="93"/>
      <c r="M39" s="2"/>
      <c r="N39" s="95"/>
      <c r="O39" s="96"/>
      <c r="P39" s="96"/>
      <c r="Q39" s="74"/>
      <c r="R39" s="74"/>
      <c r="AF39" s="249"/>
      <c r="AG39" s="249"/>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row>
    <row r="40" spans="1:117" s="73" customFormat="1" x14ac:dyDescent="0.25">
      <c r="A40" s="2"/>
      <c r="B40" s="2" t="s">
        <v>597</v>
      </c>
      <c r="C40" s="2"/>
      <c r="D40" s="2" t="s">
        <v>280</v>
      </c>
      <c r="E40" s="2"/>
      <c r="F40" s="2"/>
      <c r="G40" s="2"/>
      <c r="H40" s="2"/>
      <c r="I40" s="2">
        <v>25</v>
      </c>
      <c r="J40" s="2"/>
      <c r="K40" s="2"/>
      <c r="L40" s="93"/>
      <c r="M40" s="2"/>
      <c r="N40" s="95"/>
      <c r="O40" s="96"/>
      <c r="P40" s="96"/>
      <c r="Q40" s="74"/>
      <c r="R40" s="74"/>
      <c r="AF40" s="249"/>
      <c r="AG40" s="249"/>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row>
    <row r="41" spans="1:117" s="73" customFormat="1" x14ac:dyDescent="0.25">
      <c r="A41" s="2"/>
      <c r="B41" s="2" t="s">
        <v>598</v>
      </c>
      <c r="C41" s="2"/>
      <c r="D41" s="2" t="s">
        <v>280</v>
      </c>
      <c r="E41" s="2"/>
      <c r="F41" s="2"/>
      <c r="G41" s="2"/>
      <c r="H41" s="2"/>
      <c r="I41" s="2">
        <v>25</v>
      </c>
      <c r="J41" s="2"/>
      <c r="K41" s="2"/>
      <c r="L41" s="93"/>
      <c r="M41" s="2"/>
      <c r="N41" s="95"/>
      <c r="O41" s="96"/>
      <c r="P41" s="96"/>
      <c r="Q41" s="74"/>
      <c r="R41" s="74"/>
      <c r="AF41" s="249"/>
      <c r="AG41" s="249"/>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row>
    <row r="42" spans="1:117" s="73" customFormat="1" x14ac:dyDescent="0.25">
      <c r="A42" s="2"/>
      <c r="B42" s="2" t="s">
        <v>599</v>
      </c>
      <c r="C42" s="2"/>
      <c r="D42" s="2" t="s">
        <v>280</v>
      </c>
      <c r="E42" s="2"/>
      <c r="F42" s="2"/>
      <c r="G42" s="2"/>
      <c r="H42" s="2"/>
      <c r="I42" s="2">
        <v>25</v>
      </c>
      <c r="J42" s="2"/>
      <c r="K42" s="2"/>
      <c r="L42" s="93"/>
      <c r="M42" s="2"/>
      <c r="N42" s="95"/>
      <c r="O42" s="96"/>
      <c r="P42" s="96"/>
      <c r="Q42" s="74"/>
      <c r="R42" s="74"/>
      <c r="AF42" s="249"/>
      <c r="AG42" s="249"/>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75"/>
      <c r="CZ42" s="75"/>
      <c r="DA42" s="75"/>
      <c r="DB42" s="75"/>
      <c r="DC42" s="75"/>
      <c r="DD42" s="75"/>
      <c r="DE42" s="75"/>
      <c r="DF42" s="75"/>
      <c r="DG42" s="75"/>
      <c r="DH42" s="75"/>
      <c r="DI42" s="75"/>
      <c r="DJ42" s="75"/>
      <c r="DK42" s="75"/>
      <c r="DL42" s="75"/>
      <c r="DM42" s="75"/>
    </row>
    <row r="43" spans="1:117" s="73" customFormat="1" x14ac:dyDescent="0.25">
      <c r="A43" s="2"/>
      <c r="B43" s="2" t="s">
        <v>600</v>
      </c>
      <c r="C43" s="2"/>
      <c r="D43" s="2" t="s">
        <v>280</v>
      </c>
      <c r="E43" s="2"/>
      <c r="F43" s="2"/>
      <c r="G43" s="2"/>
      <c r="H43" s="2"/>
      <c r="I43" s="2">
        <v>25</v>
      </c>
      <c r="J43" s="2"/>
      <c r="K43" s="2"/>
      <c r="L43" s="93"/>
      <c r="M43" s="2"/>
      <c r="N43" s="95"/>
      <c r="O43" s="96"/>
      <c r="P43" s="96"/>
      <c r="Q43" s="74"/>
      <c r="R43" s="74"/>
      <c r="AF43" s="249"/>
      <c r="AG43" s="249"/>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row>
    <row r="44" spans="1:117" s="73" customFormat="1" x14ac:dyDescent="0.25">
      <c r="A44" s="2"/>
      <c r="B44" s="2" t="s">
        <v>601</v>
      </c>
      <c r="C44" s="2"/>
      <c r="D44" s="2" t="s">
        <v>280</v>
      </c>
      <c r="E44" s="2"/>
      <c r="F44" s="2"/>
      <c r="G44" s="2"/>
      <c r="H44" s="2"/>
      <c r="I44" s="2">
        <v>25</v>
      </c>
      <c r="J44" s="2"/>
      <c r="K44" s="2"/>
      <c r="L44" s="93"/>
      <c r="M44" s="2"/>
      <c r="N44" s="95"/>
      <c r="O44" s="96"/>
      <c r="P44" s="96"/>
      <c r="Q44" s="74"/>
      <c r="R44" s="74"/>
      <c r="AF44" s="249"/>
      <c r="AG44" s="249"/>
      <c r="BO44" s="75"/>
      <c r="BP44" s="75"/>
      <c r="BQ44" s="75"/>
      <c r="BR44" s="75"/>
      <c r="BS44" s="75"/>
      <c r="BT44" s="75"/>
      <c r="BU44" s="75"/>
      <c r="BV44" s="75"/>
      <c r="BW44" s="75"/>
      <c r="BX44" s="75"/>
      <c r="BY44" s="75"/>
      <c r="BZ44" s="75"/>
      <c r="CA44" s="75"/>
      <c r="CB44" s="75"/>
      <c r="CC44" s="75"/>
      <c r="CD44" s="75"/>
      <c r="CE44" s="75"/>
      <c r="CF44" s="75"/>
      <c r="CG44" s="75"/>
      <c r="CH44" s="75"/>
      <c r="CI44" s="75"/>
      <c r="CJ44" s="75"/>
      <c r="CK44" s="75"/>
      <c r="CL44" s="75"/>
      <c r="CM44" s="75"/>
      <c r="CN44" s="75"/>
      <c r="CO44" s="75"/>
      <c r="CP44" s="75"/>
      <c r="CQ44" s="75"/>
      <c r="CR44" s="75"/>
      <c r="CS44" s="75"/>
      <c r="CT44" s="75"/>
      <c r="CU44" s="75"/>
      <c r="CV44" s="75"/>
      <c r="CW44" s="75"/>
      <c r="CX44" s="75"/>
      <c r="CY44" s="75"/>
      <c r="CZ44" s="75"/>
      <c r="DA44" s="75"/>
      <c r="DB44" s="75"/>
      <c r="DC44" s="75"/>
      <c r="DD44" s="75"/>
      <c r="DE44" s="75"/>
      <c r="DF44" s="75"/>
      <c r="DG44" s="75"/>
      <c r="DH44" s="75"/>
      <c r="DI44" s="75"/>
      <c r="DJ44" s="75"/>
      <c r="DK44" s="75"/>
      <c r="DL44" s="75"/>
      <c r="DM44" s="75"/>
    </row>
    <row r="45" spans="1:117" s="73" customFormat="1" x14ac:dyDescent="0.25">
      <c r="A45" s="2"/>
      <c r="B45" s="2" t="s">
        <v>590</v>
      </c>
      <c r="C45" s="2"/>
      <c r="D45" s="2" t="s">
        <v>280</v>
      </c>
      <c r="E45" s="2"/>
      <c r="F45" s="2"/>
      <c r="G45" s="2"/>
      <c r="H45" s="2"/>
      <c r="I45" s="2">
        <v>25</v>
      </c>
      <c r="J45" s="2"/>
      <c r="K45" s="2"/>
      <c r="L45" s="93"/>
      <c r="M45" s="2"/>
      <c r="N45" s="95"/>
      <c r="O45" s="96"/>
      <c r="P45" s="96"/>
      <c r="Q45" s="74"/>
      <c r="R45" s="74"/>
      <c r="AF45" s="249"/>
      <c r="AG45" s="249"/>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75"/>
      <c r="CZ45" s="75"/>
      <c r="DA45" s="75"/>
      <c r="DB45" s="75"/>
      <c r="DC45" s="75"/>
      <c r="DD45" s="75"/>
      <c r="DE45" s="75"/>
      <c r="DF45" s="75"/>
      <c r="DG45" s="75"/>
      <c r="DH45" s="75"/>
      <c r="DI45" s="75"/>
      <c r="DJ45" s="75"/>
      <c r="DK45" s="75"/>
      <c r="DL45" s="75"/>
      <c r="DM45" s="75"/>
    </row>
    <row r="46" spans="1:117" s="73" customFormat="1" x14ac:dyDescent="0.25">
      <c r="A46" s="2"/>
      <c r="B46" s="2" t="s">
        <v>591</v>
      </c>
      <c r="C46" s="2"/>
      <c r="D46" s="2" t="s">
        <v>280</v>
      </c>
      <c r="E46" s="2"/>
      <c r="F46" s="2"/>
      <c r="G46" s="2"/>
      <c r="H46" s="2"/>
      <c r="I46" s="2">
        <v>25</v>
      </c>
      <c r="J46" s="2"/>
      <c r="K46" s="2"/>
      <c r="L46" s="93"/>
      <c r="M46" s="2"/>
      <c r="N46" s="95"/>
      <c r="O46" s="96"/>
      <c r="P46" s="96"/>
      <c r="Q46" s="74"/>
      <c r="R46" s="74"/>
      <c r="AF46" s="249"/>
      <c r="AG46" s="249"/>
      <c r="BO46" s="75"/>
      <c r="BP46" s="75"/>
      <c r="BQ46" s="75"/>
      <c r="BR46" s="75"/>
      <c r="BS46" s="75"/>
      <c r="BT46" s="75"/>
      <c r="BU46" s="75"/>
      <c r="BV46" s="75"/>
      <c r="BW46" s="75"/>
      <c r="BX46" s="75"/>
      <c r="BY46" s="75"/>
      <c r="BZ46" s="75"/>
      <c r="CA46" s="75"/>
      <c r="CB46" s="75"/>
      <c r="CC46" s="75"/>
      <c r="CD46" s="75"/>
      <c r="CE46" s="75"/>
      <c r="CF46" s="75"/>
      <c r="CG46" s="75"/>
      <c r="CH46" s="75"/>
      <c r="CI46" s="75"/>
      <c r="CJ46" s="75"/>
      <c r="CK46" s="75"/>
      <c r="CL46" s="75"/>
      <c r="CM46" s="75"/>
      <c r="CN46" s="75"/>
      <c r="CO46" s="75"/>
      <c r="CP46" s="75"/>
      <c r="CQ46" s="75"/>
      <c r="CR46" s="75"/>
      <c r="CS46" s="75"/>
      <c r="CT46" s="75"/>
      <c r="CU46" s="75"/>
      <c r="CV46" s="75"/>
      <c r="CW46" s="75"/>
      <c r="CX46" s="75"/>
      <c r="CY46" s="75"/>
      <c r="CZ46" s="75"/>
      <c r="DA46" s="75"/>
      <c r="DB46" s="75"/>
      <c r="DC46" s="75"/>
      <c r="DD46" s="75"/>
      <c r="DE46" s="75"/>
      <c r="DF46" s="75"/>
      <c r="DG46" s="75"/>
      <c r="DH46" s="75"/>
      <c r="DI46" s="75"/>
      <c r="DJ46" s="75"/>
      <c r="DK46" s="75"/>
      <c r="DL46" s="75"/>
      <c r="DM46" s="75"/>
    </row>
    <row r="47" spans="1:117" s="73" customFormat="1" x14ac:dyDescent="0.25">
      <c r="A47" s="2"/>
      <c r="B47" s="2" t="s">
        <v>592</v>
      </c>
      <c r="C47" s="2"/>
      <c r="D47" s="2" t="s">
        <v>280</v>
      </c>
      <c r="E47" s="2"/>
      <c r="F47" s="2"/>
      <c r="G47" s="2"/>
      <c r="H47" s="2"/>
      <c r="I47" s="2">
        <v>25</v>
      </c>
      <c r="J47" s="2"/>
      <c r="K47" s="2"/>
      <c r="L47" s="93"/>
      <c r="M47" s="2"/>
      <c r="N47" s="95"/>
      <c r="O47" s="96"/>
      <c r="P47" s="96"/>
      <c r="Q47" s="74"/>
      <c r="R47" s="74"/>
      <c r="AF47" s="249"/>
      <c r="AG47" s="249"/>
      <c r="BO47" s="75"/>
      <c r="BP47" s="75"/>
      <c r="BQ47" s="75"/>
      <c r="BR47" s="75"/>
      <c r="BS47" s="75"/>
      <c r="BT47" s="75"/>
      <c r="BU47" s="75"/>
      <c r="BV47" s="75"/>
      <c r="BW47" s="75"/>
      <c r="BX47" s="75"/>
      <c r="BY47" s="75"/>
      <c r="BZ47" s="75"/>
      <c r="CA47" s="75"/>
      <c r="CB47" s="75"/>
      <c r="CC47" s="75"/>
      <c r="CD47" s="75"/>
      <c r="CE47" s="75"/>
      <c r="CF47" s="75"/>
      <c r="CG47" s="75"/>
      <c r="CH47" s="75"/>
      <c r="CI47" s="75"/>
      <c r="CJ47" s="75"/>
      <c r="CK47" s="75"/>
      <c r="CL47" s="75"/>
      <c r="CM47" s="75"/>
      <c r="CN47" s="75"/>
      <c r="CO47" s="75"/>
      <c r="CP47" s="75"/>
      <c r="CQ47" s="75"/>
      <c r="CR47" s="75"/>
      <c r="CS47" s="75"/>
      <c r="CT47" s="75"/>
      <c r="CU47" s="75"/>
      <c r="CV47" s="75"/>
      <c r="CW47" s="75"/>
      <c r="CX47" s="75"/>
      <c r="CY47" s="75"/>
      <c r="CZ47" s="75"/>
      <c r="DA47" s="75"/>
      <c r="DB47" s="75"/>
      <c r="DC47" s="75"/>
      <c r="DD47" s="75"/>
      <c r="DE47" s="75"/>
      <c r="DF47" s="75"/>
      <c r="DG47" s="75"/>
      <c r="DH47" s="75"/>
      <c r="DI47" s="75"/>
      <c r="DJ47" s="75"/>
      <c r="DK47" s="75"/>
      <c r="DL47" s="75"/>
      <c r="DM47" s="75"/>
    </row>
    <row r="48" spans="1:117" s="73" customFormat="1" x14ac:dyDescent="0.25">
      <c r="A48" s="2"/>
      <c r="B48" s="2" t="s">
        <v>593</v>
      </c>
      <c r="C48" s="2"/>
      <c r="D48" s="2" t="s">
        <v>280</v>
      </c>
      <c r="E48" s="2"/>
      <c r="F48" s="2"/>
      <c r="G48" s="2"/>
      <c r="H48" s="2"/>
      <c r="I48" s="2">
        <v>25</v>
      </c>
      <c r="J48" s="2"/>
      <c r="K48" s="2"/>
      <c r="L48" s="93"/>
      <c r="M48" s="2"/>
      <c r="N48" s="95"/>
      <c r="O48" s="96"/>
      <c r="P48" s="96"/>
      <c r="Q48" s="74"/>
      <c r="R48" s="74"/>
      <c r="AF48" s="249"/>
      <c r="AG48" s="249"/>
      <c r="BO48" s="75"/>
      <c r="BP48" s="75"/>
      <c r="BQ48" s="75"/>
      <c r="BR48" s="75"/>
      <c r="BS48" s="75"/>
      <c r="BT48" s="75"/>
      <c r="BU48" s="75"/>
      <c r="BV48" s="75"/>
      <c r="BW48" s="75"/>
      <c r="BX48" s="75"/>
      <c r="BY48" s="75"/>
      <c r="BZ48" s="75"/>
      <c r="CA48" s="75"/>
      <c r="CB48" s="75"/>
      <c r="CC48" s="75"/>
      <c r="CD48" s="75"/>
      <c r="CE48" s="75"/>
      <c r="CF48" s="75"/>
      <c r="CG48" s="75"/>
      <c r="CH48" s="75"/>
      <c r="CI48" s="75"/>
      <c r="CJ48" s="75"/>
      <c r="CK48" s="75"/>
      <c r="CL48" s="75"/>
      <c r="CM48" s="75"/>
      <c r="CN48" s="75"/>
      <c r="CO48" s="75"/>
      <c r="CP48" s="75"/>
      <c r="CQ48" s="75"/>
      <c r="CR48" s="75"/>
      <c r="CS48" s="75"/>
      <c r="CT48" s="75"/>
      <c r="CU48" s="75"/>
      <c r="CV48" s="75"/>
      <c r="CW48" s="75"/>
      <c r="CX48" s="75"/>
      <c r="CY48" s="75"/>
      <c r="CZ48" s="75"/>
      <c r="DA48" s="75"/>
      <c r="DB48" s="75"/>
      <c r="DC48" s="75"/>
      <c r="DD48" s="75"/>
      <c r="DE48" s="75"/>
      <c r="DF48" s="75"/>
      <c r="DG48" s="75"/>
      <c r="DH48" s="75"/>
      <c r="DI48" s="75"/>
      <c r="DJ48" s="75"/>
      <c r="DK48" s="75"/>
      <c r="DL48" s="75"/>
      <c r="DM48" s="75"/>
    </row>
    <row r="49" spans="1:117" s="73" customFormat="1" x14ac:dyDescent="0.25">
      <c r="A49" s="2"/>
      <c r="B49" s="2" t="s">
        <v>602</v>
      </c>
      <c r="C49" s="2"/>
      <c r="D49" s="2" t="s">
        <v>280</v>
      </c>
      <c r="E49" s="2"/>
      <c r="F49" s="2"/>
      <c r="G49" s="2"/>
      <c r="H49" s="2"/>
      <c r="I49" s="2">
        <v>25</v>
      </c>
      <c r="J49" s="2"/>
      <c r="K49" s="2"/>
      <c r="L49" s="93"/>
      <c r="M49" s="2"/>
      <c r="N49" s="95"/>
      <c r="O49" s="96"/>
      <c r="P49" s="96"/>
      <c r="Q49" s="74"/>
      <c r="R49" s="74"/>
      <c r="AF49" s="249"/>
      <c r="AG49" s="249"/>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row>
    <row r="50" spans="1:117" s="73" customFormat="1" x14ac:dyDescent="0.25">
      <c r="A50" s="2"/>
      <c r="B50" s="2" t="s">
        <v>603</v>
      </c>
      <c r="C50" s="2"/>
      <c r="D50" s="2" t="s">
        <v>280</v>
      </c>
      <c r="E50" s="2"/>
      <c r="F50" s="2"/>
      <c r="G50" s="2"/>
      <c r="H50" s="2"/>
      <c r="I50" s="2">
        <v>25</v>
      </c>
      <c r="J50" s="2"/>
      <c r="K50" s="2"/>
      <c r="L50" s="93"/>
      <c r="M50" s="2"/>
      <c r="N50" s="95"/>
      <c r="O50" s="96"/>
      <c r="P50" s="96"/>
      <c r="Q50" s="74"/>
      <c r="R50" s="74"/>
      <c r="AF50" s="249"/>
      <c r="AG50" s="249"/>
      <c r="BO50" s="75"/>
      <c r="BP50" s="75"/>
      <c r="BQ50" s="75"/>
      <c r="BR50" s="75"/>
      <c r="BS50" s="75"/>
      <c r="BT50" s="75"/>
      <c r="BU50" s="75"/>
      <c r="BV50" s="75"/>
      <c r="BW50" s="75"/>
      <c r="BX50" s="75"/>
      <c r="BY50" s="75"/>
      <c r="BZ50" s="75"/>
      <c r="CA50" s="75"/>
      <c r="CB50" s="75"/>
      <c r="CC50" s="75"/>
      <c r="CD50" s="75"/>
      <c r="CE50" s="75"/>
      <c r="CF50" s="75"/>
      <c r="CG50" s="75"/>
      <c r="CH50" s="75"/>
      <c r="CI50" s="75"/>
      <c r="CJ50" s="75"/>
      <c r="CK50" s="75"/>
      <c r="CL50" s="75"/>
      <c r="CM50" s="75"/>
      <c r="CN50" s="75"/>
      <c r="CO50" s="75"/>
      <c r="CP50" s="75"/>
      <c r="CQ50" s="75"/>
      <c r="CR50" s="75"/>
      <c r="CS50" s="75"/>
      <c r="CT50" s="75"/>
      <c r="CU50" s="75"/>
      <c r="CV50" s="75"/>
      <c r="CW50" s="75"/>
      <c r="CX50" s="75"/>
      <c r="CY50" s="75"/>
      <c r="CZ50" s="75"/>
      <c r="DA50" s="75"/>
      <c r="DB50" s="75"/>
      <c r="DC50" s="75"/>
      <c r="DD50" s="75"/>
      <c r="DE50" s="75"/>
      <c r="DF50" s="75"/>
      <c r="DG50" s="75"/>
      <c r="DH50" s="75"/>
      <c r="DI50" s="75"/>
      <c r="DJ50" s="75"/>
      <c r="DK50" s="75"/>
      <c r="DL50" s="75"/>
      <c r="DM50" s="75"/>
    </row>
    <row r="51" spans="1:117" s="73" customFormat="1" x14ac:dyDescent="0.25">
      <c r="A51" s="2"/>
      <c r="B51" s="2" t="s">
        <v>604</v>
      </c>
      <c r="C51" s="2"/>
      <c r="D51" s="2" t="s">
        <v>280</v>
      </c>
      <c r="E51" s="2"/>
      <c r="F51" s="2"/>
      <c r="G51" s="2"/>
      <c r="H51" s="2"/>
      <c r="I51" s="2">
        <v>25</v>
      </c>
      <c r="J51" s="2"/>
      <c r="K51" s="2"/>
      <c r="L51" s="93"/>
      <c r="M51" s="2"/>
      <c r="N51" s="95"/>
      <c r="O51" s="96"/>
      <c r="P51" s="96"/>
      <c r="Q51" s="74"/>
      <c r="R51" s="74"/>
      <c r="AF51" s="249"/>
      <c r="AG51" s="249"/>
      <c r="BO51" s="75"/>
      <c r="BP51" s="75"/>
      <c r="BQ51" s="75"/>
      <c r="BR51" s="75"/>
      <c r="BS51" s="75"/>
      <c r="BT51" s="75"/>
      <c r="BU51" s="75"/>
      <c r="BV51" s="75"/>
      <c r="BW51" s="75"/>
      <c r="BX51" s="75"/>
      <c r="BY51" s="75"/>
      <c r="BZ51" s="75"/>
      <c r="CA51" s="75"/>
      <c r="CB51" s="75"/>
      <c r="CC51" s="75"/>
      <c r="CD51" s="75"/>
      <c r="CE51" s="75"/>
      <c r="CF51" s="75"/>
      <c r="CG51" s="75"/>
      <c r="CH51" s="75"/>
      <c r="CI51" s="75"/>
      <c r="CJ51" s="75"/>
      <c r="CK51" s="75"/>
      <c r="CL51" s="75"/>
      <c r="CM51" s="75"/>
      <c r="CN51" s="75"/>
      <c r="CO51" s="75"/>
      <c r="CP51" s="75"/>
      <c r="CQ51" s="75"/>
      <c r="CR51" s="75"/>
      <c r="CS51" s="75"/>
      <c r="CT51" s="75"/>
      <c r="CU51" s="75"/>
      <c r="CV51" s="75"/>
      <c r="CW51" s="75"/>
      <c r="CX51" s="75"/>
      <c r="CY51" s="75"/>
      <c r="CZ51" s="75"/>
      <c r="DA51" s="75"/>
      <c r="DB51" s="75"/>
      <c r="DC51" s="75"/>
      <c r="DD51" s="75"/>
      <c r="DE51" s="75"/>
      <c r="DF51" s="75"/>
      <c r="DG51" s="75"/>
      <c r="DH51" s="75"/>
      <c r="DI51" s="75"/>
      <c r="DJ51" s="75"/>
      <c r="DK51" s="75"/>
      <c r="DL51" s="75"/>
      <c r="DM51" s="75"/>
    </row>
    <row r="52" spans="1:117" s="73" customFormat="1" x14ac:dyDescent="0.25">
      <c r="A52" s="182"/>
      <c r="B52" s="182"/>
      <c r="C52" s="182"/>
      <c r="D52" s="182"/>
      <c r="E52" s="182"/>
      <c r="F52" s="182"/>
      <c r="G52" s="182"/>
      <c r="H52" s="182"/>
      <c r="I52" s="182"/>
      <c r="J52" s="182"/>
      <c r="K52" s="182"/>
      <c r="L52" s="182"/>
      <c r="M52" s="182"/>
      <c r="N52" s="183"/>
      <c r="O52" s="184"/>
      <c r="P52" s="184"/>
      <c r="Q52" s="74"/>
      <c r="R52" s="74"/>
      <c r="AF52" s="249"/>
      <c r="AG52" s="249"/>
      <c r="BO52" s="75"/>
      <c r="BP52" s="75"/>
      <c r="BQ52" s="75"/>
      <c r="BR52" s="75"/>
      <c r="BS52" s="75"/>
      <c r="BT52" s="75"/>
      <c r="BU52" s="75"/>
      <c r="BV52" s="75"/>
      <c r="BW52" s="75"/>
      <c r="BX52" s="75"/>
      <c r="BY52" s="75"/>
      <c r="BZ52" s="75"/>
      <c r="CA52" s="75"/>
      <c r="CB52" s="75"/>
      <c r="CC52" s="75"/>
      <c r="CD52" s="75"/>
      <c r="CE52" s="75"/>
      <c r="CF52" s="75"/>
      <c r="CG52" s="75"/>
      <c r="CH52" s="75"/>
      <c r="CI52" s="75"/>
      <c r="CJ52" s="75"/>
      <c r="CK52" s="75"/>
      <c r="CL52" s="75"/>
      <c r="CM52" s="75"/>
      <c r="CN52" s="75"/>
      <c r="CO52" s="75"/>
      <c r="CP52" s="75"/>
      <c r="CQ52" s="75"/>
      <c r="CR52" s="75"/>
      <c r="CS52" s="75"/>
      <c r="CT52" s="75"/>
      <c r="CU52" s="75"/>
      <c r="CV52" s="75"/>
      <c r="CW52" s="75"/>
      <c r="CX52" s="75"/>
      <c r="CY52" s="75"/>
      <c r="CZ52" s="75"/>
      <c r="DA52" s="75"/>
      <c r="DB52" s="75"/>
      <c r="DC52" s="75"/>
      <c r="DD52" s="75"/>
      <c r="DE52" s="75"/>
      <c r="DF52" s="75"/>
      <c r="DG52" s="75"/>
      <c r="DH52" s="75"/>
      <c r="DI52" s="75"/>
      <c r="DJ52" s="75"/>
      <c r="DK52" s="75"/>
      <c r="DL52" s="75"/>
      <c r="DM52" s="75"/>
    </row>
    <row r="53" spans="1:117" s="73" customFormat="1" x14ac:dyDescent="0.25">
      <c r="A53" s="182"/>
      <c r="B53" s="182"/>
      <c r="C53" s="182"/>
      <c r="D53" s="182"/>
      <c r="E53" s="182"/>
      <c r="F53" s="182"/>
      <c r="G53" s="182"/>
      <c r="H53" s="182"/>
      <c r="I53" s="182"/>
      <c r="J53" s="182"/>
      <c r="K53" s="182"/>
      <c r="L53" s="182"/>
      <c r="M53" s="182"/>
      <c r="N53" s="183"/>
      <c r="O53" s="184"/>
      <c r="P53" s="184"/>
      <c r="Q53" s="74"/>
      <c r="R53" s="74"/>
      <c r="AF53" s="249"/>
      <c r="AG53" s="249"/>
      <c r="BO53" s="75"/>
      <c r="BP53" s="75"/>
      <c r="BQ53" s="75"/>
      <c r="BR53" s="75"/>
      <c r="BS53" s="75"/>
      <c r="BT53" s="75"/>
      <c r="BU53" s="75"/>
      <c r="BV53" s="75"/>
      <c r="BW53" s="75"/>
      <c r="BX53" s="75"/>
      <c r="BY53" s="75"/>
      <c r="BZ53" s="75"/>
      <c r="CA53" s="75"/>
      <c r="CB53" s="75"/>
      <c r="CC53" s="75"/>
      <c r="CD53" s="75"/>
      <c r="CE53" s="75"/>
      <c r="CF53" s="75"/>
      <c r="CG53" s="75"/>
      <c r="CH53" s="75"/>
      <c r="CI53" s="75"/>
      <c r="CJ53" s="75"/>
      <c r="CK53" s="75"/>
      <c r="CL53" s="75"/>
      <c r="CM53" s="75"/>
      <c r="CN53" s="75"/>
      <c r="CO53" s="75"/>
      <c r="CP53" s="75"/>
      <c r="CQ53" s="75"/>
      <c r="CR53" s="75"/>
      <c r="CS53" s="75"/>
      <c r="CT53" s="75"/>
      <c r="CU53" s="75"/>
      <c r="CV53" s="75"/>
      <c r="CW53" s="75"/>
      <c r="CX53" s="75"/>
      <c r="CY53" s="75"/>
      <c r="CZ53" s="75"/>
      <c r="DA53" s="75"/>
      <c r="DB53" s="75"/>
      <c r="DC53" s="75"/>
      <c r="DD53" s="75"/>
      <c r="DE53" s="75"/>
      <c r="DF53" s="75"/>
      <c r="DG53" s="75"/>
      <c r="DH53" s="75"/>
      <c r="DI53" s="75"/>
      <c r="DJ53" s="75"/>
      <c r="DK53" s="75"/>
      <c r="DL53" s="75"/>
      <c r="DM53" s="75"/>
    </row>
    <row r="54" spans="1:117" s="73" customFormat="1" x14ac:dyDescent="0.25">
      <c r="A54" s="182"/>
      <c r="B54" s="182"/>
      <c r="C54" s="182"/>
      <c r="D54" s="182"/>
      <c r="E54" s="182"/>
      <c r="F54" s="182"/>
      <c r="G54" s="182"/>
      <c r="H54" s="182"/>
      <c r="I54" s="182"/>
      <c r="J54" s="182"/>
      <c r="K54" s="182"/>
      <c r="L54" s="182"/>
      <c r="M54" s="182"/>
      <c r="N54" s="183"/>
      <c r="O54" s="184"/>
      <c r="P54" s="184"/>
      <c r="Q54" s="74"/>
      <c r="R54" s="74"/>
      <c r="AF54" s="249"/>
      <c r="AG54" s="249"/>
      <c r="BO54" s="75"/>
      <c r="BP54" s="75"/>
      <c r="BQ54" s="75"/>
      <c r="BR54" s="75"/>
      <c r="BS54" s="75"/>
      <c r="BT54" s="75"/>
      <c r="BU54" s="75"/>
      <c r="BV54" s="75"/>
      <c r="BW54" s="75"/>
      <c r="BX54" s="75"/>
      <c r="BY54" s="75"/>
      <c r="BZ54" s="75"/>
      <c r="CA54" s="75"/>
      <c r="CB54" s="75"/>
      <c r="CC54" s="75"/>
      <c r="CD54" s="75"/>
      <c r="CE54" s="75"/>
      <c r="CF54" s="75"/>
      <c r="CG54" s="75"/>
      <c r="CH54" s="75"/>
      <c r="CI54" s="75"/>
      <c r="CJ54" s="75"/>
      <c r="CK54" s="75"/>
      <c r="CL54" s="75"/>
      <c r="CM54" s="75"/>
      <c r="CN54" s="75"/>
      <c r="CO54" s="75"/>
      <c r="CP54" s="75"/>
      <c r="CQ54" s="75"/>
      <c r="CR54" s="75"/>
      <c r="CS54" s="75"/>
      <c r="CT54" s="75"/>
      <c r="CU54" s="75"/>
      <c r="CV54" s="75"/>
      <c r="CW54" s="75"/>
      <c r="CX54" s="75"/>
      <c r="CY54" s="75"/>
      <c r="CZ54" s="75"/>
      <c r="DA54" s="75"/>
      <c r="DB54" s="75"/>
      <c r="DC54" s="75"/>
      <c r="DD54" s="75"/>
      <c r="DE54" s="75"/>
      <c r="DF54" s="75"/>
      <c r="DG54" s="75"/>
      <c r="DH54" s="75"/>
      <c r="DI54" s="75"/>
      <c r="DJ54" s="75"/>
      <c r="DK54" s="75"/>
      <c r="DL54" s="75"/>
      <c r="DM54" s="75"/>
    </row>
    <row r="55" spans="1:117" s="73" customFormat="1" x14ac:dyDescent="0.25">
      <c r="A55" s="182"/>
      <c r="B55" s="182"/>
      <c r="C55" s="182"/>
      <c r="D55" s="182"/>
      <c r="E55" s="182"/>
      <c r="F55" s="182"/>
      <c r="G55" s="182"/>
      <c r="H55" s="182"/>
      <c r="I55" s="182"/>
      <c r="J55" s="182"/>
      <c r="K55" s="182"/>
      <c r="L55" s="182"/>
      <c r="M55" s="182"/>
      <c r="N55" s="183"/>
      <c r="O55" s="184"/>
      <c r="P55" s="184"/>
      <c r="Q55" s="74"/>
      <c r="R55" s="74"/>
      <c r="AF55" s="249"/>
      <c r="AG55" s="249"/>
      <c r="BO55" s="75"/>
      <c r="BP55" s="75"/>
      <c r="BQ55" s="75"/>
      <c r="BR55" s="75"/>
      <c r="BS55" s="75"/>
      <c r="BT55" s="75"/>
      <c r="BU55" s="75"/>
      <c r="BV55" s="75"/>
      <c r="BW55" s="75"/>
      <c r="BX55" s="75"/>
      <c r="BY55" s="75"/>
      <c r="BZ55" s="75"/>
      <c r="CA55" s="75"/>
      <c r="CB55" s="75"/>
      <c r="CC55" s="75"/>
      <c r="CD55" s="75"/>
      <c r="CE55" s="75"/>
      <c r="CF55" s="75"/>
      <c r="CG55" s="75"/>
      <c r="CH55" s="75"/>
      <c r="CI55" s="75"/>
      <c r="CJ55" s="75"/>
      <c r="CK55" s="75"/>
      <c r="CL55" s="75"/>
      <c r="CM55" s="75"/>
      <c r="CN55" s="75"/>
      <c r="CO55" s="75"/>
      <c r="CP55" s="75"/>
      <c r="CQ55" s="75"/>
      <c r="CR55" s="75"/>
      <c r="CS55" s="75"/>
      <c r="CT55" s="75"/>
      <c r="CU55" s="75"/>
      <c r="CV55" s="75"/>
      <c r="CW55" s="75"/>
      <c r="CX55" s="75"/>
      <c r="CY55" s="75"/>
      <c r="CZ55" s="75"/>
      <c r="DA55" s="75"/>
      <c r="DB55" s="75"/>
      <c r="DC55" s="75"/>
      <c r="DD55" s="75"/>
      <c r="DE55" s="75"/>
      <c r="DF55" s="75"/>
      <c r="DG55" s="75"/>
      <c r="DH55" s="75"/>
      <c r="DI55" s="75"/>
      <c r="DJ55" s="75"/>
      <c r="DK55" s="75"/>
      <c r="DL55" s="75"/>
      <c r="DM55" s="75"/>
    </row>
    <row r="56" spans="1:117" s="73" customFormat="1" x14ac:dyDescent="0.25">
      <c r="A56" s="182"/>
      <c r="B56" s="182"/>
      <c r="C56" s="182"/>
      <c r="D56" s="182"/>
      <c r="E56" s="182"/>
      <c r="F56" s="182"/>
      <c r="G56" s="182"/>
      <c r="H56" s="182"/>
      <c r="I56" s="182"/>
      <c r="J56" s="182"/>
      <c r="K56" s="182"/>
      <c r="L56" s="182"/>
      <c r="M56" s="182"/>
      <c r="N56" s="183"/>
      <c r="O56" s="184"/>
      <c r="P56" s="184"/>
      <c r="Q56" s="74"/>
      <c r="R56" s="74"/>
      <c r="AF56" s="249"/>
      <c r="AG56" s="249"/>
      <c r="BO56" s="75"/>
      <c r="BP56" s="75"/>
      <c r="BQ56" s="75"/>
      <c r="BR56" s="75"/>
      <c r="BS56" s="75"/>
      <c r="BT56" s="75"/>
      <c r="BU56" s="75"/>
      <c r="BV56" s="75"/>
      <c r="BW56" s="75"/>
      <c r="BX56" s="75"/>
      <c r="BY56" s="75"/>
      <c r="BZ56" s="75"/>
      <c r="CA56" s="75"/>
      <c r="CB56" s="75"/>
      <c r="CC56" s="75"/>
      <c r="CD56" s="75"/>
      <c r="CE56" s="75"/>
      <c r="CF56" s="75"/>
      <c r="CG56" s="75"/>
      <c r="CH56" s="75"/>
      <c r="CI56" s="75"/>
      <c r="CJ56" s="75"/>
      <c r="CK56" s="75"/>
      <c r="CL56" s="75"/>
      <c r="CM56" s="75"/>
      <c r="CN56" s="75"/>
      <c r="CO56" s="75"/>
      <c r="CP56" s="75"/>
      <c r="CQ56" s="75"/>
      <c r="CR56" s="75"/>
      <c r="CS56" s="75"/>
      <c r="CT56" s="75"/>
      <c r="CU56" s="75"/>
      <c r="CV56" s="75"/>
      <c r="CW56" s="75"/>
      <c r="CX56" s="75"/>
      <c r="CY56" s="75"/>
      <c r="CZ56" s="75"/>
      <c r="DA56" s="75"/>
      <c r="DB56" s="75"/>
      <c r="DC56" s="75"/>
      <c r="DD56" s="75"/>
      <c r="DE56" s="75"/>
      <c r="DF56" s="75"/>
      <c r="DG56" s="75"/>
      <c r="DH56" s="75"/>
      <c r="DI56" s="75"/>
      <c r="DJ56" s="75"/>
      <c r="DK56" s="75"/>
      <c r="DL56" s="75"/>
      <c r="DM56" s="75"/>
    </row>
    <row r="57" spans="1:117" s="73" customFormat="1" x14ac:dyDescent="0.25">
      <c r="A57" s="182"/>
      <c r="B57" s="182"/>
      <c r="C57" s="182"/>
      <c r="D57" s="182"/>
      <c r="E57" s="182"/>
      <c r="F57" s="182"/>
      <c r="G57" s="182"/>
      <c r="H57" s="182"/>
      <c r="I57" s="182"/>
      <c r="J57" s="182"/>
      <c r="K57" s="182"/>
      <c r="L57" s="182"/>
      <c r="M57" s="182"/>
      <c r="N57" s="183"/>
      <c r="O57" s="184"/>
      <c r="P57" s="184"/>
      <c r="Q57" s="74"/>
      <c r="R57" s="74"/>
      <c r="AF57" s="249"/>
      <c r="AG57" s="249"/>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c r="CV57" s="75"/>
      <c r="CW57" s="75"/>
      <c r="CX57" s="75"/>
      <c r="CY57" s="75"/>
      <c r="CZ57" s="75"/>
      <c r="DA57" s="75"/>
      <c r="DB57" s="75"/>
      <c r="DC57" s="75"/>
      <c r="DD57" s="75"/>
      <c r="DE57" s="75"/>
      <c r="DF57" s="75"/>
      <c r="DG57" s="75"/>
      <c r="DH57" s="75"/>
      <c r="DI57" s="75"/>
      <c r="DJ57" s="75"/>
      <c r="DK57" s="75"/>
      <c r="DL57" s="75"/>
      <c r="DM57" s="75"/>
    </row>
    <row r="59" spans="1:117" ht="18.75" x14ac:dyDescent="0.25">
      <c r="A59" s="364" t="s">
        <v>272</v>
      </c>
      <c r="B59" s="364"/>
      <c r="C59" s="364"/>
      <c r="D59" s="364"/>
      <c r="E59" s="364"/>
      <c r="F59" s="364"/>
      <c r="G59" s="364"/>
      <c r="H59" s="364"/>
      <c r="I59" s="364"/>
      <c r="J59" s="364"/>
    </row>
    <row r="60" spans="1:117" ht="15.75" x14ac:dyDescent="0.25">
      <c r="A60" s="83" t="s">
        <v>73</v>
      </c>
      <c r="B60" s="83" t="s">
        <v>508</v>
      </c>
      <c r="C60" s="83" t="s">
        <v>509</v>
      </c>
      <c r="D60" s="89" t="s">
        <v>0</v>
      </c>
      <c r="E60" s="89" t="s">
        <v>510</v>
      </c>
      <c r="F60" s="89" t="s">
        <v>54</v>
      </c>
      <c r="G60" s="89"/>
      <c r="H60" s="89"/>
      <c r="I60" s="90"/>
    </row>
    <row r="61" spans="1:117" x14ac:dyDescent="0.25">
      <c r="A61" s="1"/>
      <c r="B61" s="1" t="s">
        <v>4</v>
      </c>
      <c r="C61" s="1" t="s">
        <v>50</v>
      </c>
      <c r="D61" s="1" t="s">
        <v>6</v>
      </c>
      <c r="E61" s="17">
        <v>74.239999999999995</v>
      </c>
      <c r="F61" s="1"/>
      <c r="G61" s="1"/>
      <c r="H61" s="1"/>
      <c r="I61" s="1"/>
    </row>
    <row r="62" spans="1:117" x14ac:dyDescent="0.25">
      <c r="A62" s="1"/>
      <c r="B62" s="1" t="s">
        <v>50</v>
      </c>
      <c r="C62" s="1" t="s">
        <v>4</v>
      </c>
      <c r="D62" s="1" t="s">
        <v>6</v>
      </c>
      <c r="E62" s="169" t="s">
        <v>511</v>
      </c>
      <c r="F62" s="1"/>
      <c r="G62" s="1"/>
      <c r="H62" s="1"/>
      <c r="I62" s="1"/>
    </row>
    <row r="63" spans="1:117" x14ac:dyDescent="0.25">
      <c r="A63" s="9"/>
      <c r="B63" s="9"/>
      <c r="C63" s="9"/>
      <c r="D63" s="9"/>
      <c r="E63" s="176"/>
      <c r="F63" s="9"/>
      <c r="G63" s="9"/>
      <c r="H63" s="9"/>
      <c r="I63" s="9"/>
    </row>
    <row r="64" spans="1:117" s="177" customFormat="1" ht="18.75" x14ac:dyDescent="0.25">
      <c r="A64" s="356" t="s">
        <v>571</v>
      </c>
      <c r="B64" s="357"/>
      <c r="C64" s="357"/>
      <c r="D64" s="358"/>
      <c r="T64" s="178"/>
      <c r="U64" s="178"/>
      <c r="V64" s="178"/>
      <c r="W64" s="178"/>
      <c r="X64" s="178"/>
      <c r="Y64" s="178"/>
      <c r="Z64" s="178"/>
      <c r="AA64" s="178"/>
      <c r="AB64" s="178"/>
      <c r="AC64" s="178"/>
      <c r="AD64" s="178"/>
      <c r="AE64" s="178"/>
      <c r="AF64" s="252"/>
      <c r="AG64" s="252"/>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row>
    <row r="65" spans="1:33" s="177" customFormat="1" ht="15.75" x14ac:dyDescent="0.25">
      <c r="A65" s="179" t="s">
        <v>572</v>
      </c>
      <c r="B65" s="179" t="s">
        <v>573</v>
      </c>
      <c r="C65" s="180" t="s">
        <v>122</v>
      </c>
      <c r="D65" s="179" t="s">
        <v>574</v>
      </c>
      <c r="E65" s="181" t="s">
        <v>575</v>
      </c>
      <c r="F65" s="181" t="s">
        <v>576</v>
      </c>
      <c r="G65" s="181" t="s">
        <v>577</v>
      </c>
      <c r="AF65" s="253"/>
      <c r="AG65" s="253"/>
    </row>
    <row r="66" spans="1:33" s="177" customFormat="1" x14ac:dyDescent="0.25">
      <c r="A66" s="228" t="s">
        <v>578</v>
      </c>
      <c r="B66" s="228" t="s">
        <v>578</v>
      </c>
      <c r="C66" s="240">
        <v>43831</v>
      </c>
      <c r="D66" s="241" t="s">
        <v>579</v>
      </c>
      <c r="E66" s="241" t="s">
        <v>579</v>
      </c>
      <c r="F66" s="242" t="s">
        <v>580</v>
      </c>
      <c r="G66" s="242">
        <v>5823879665</v>
      </c>
      <c r="H66" s="3" t="s">
        <v>587</v>
      </c>
      <c r="I66" s="3" t="s">
        <v>588</v>
      </c>
      <c r="J66" s="3" t="s">
        <v>589</v>
      </c>
      <c r="AF66" s="253"/>
      <c r="AG66" s="253"/>
    </row>
    <row r="67" spans="1:33" s="177" customFormat="1" x14ac:dyDescent="0.25">
      <c r="A67" s="228" t="s">
        <v>581</v>
      </c>
      <c r="B67" s="228" t="s">
        <v>581</v>
      </c>
      <c r="C67" s="240">
        <v>43831</v>
      </c>
      <c r="D67" s="241" t="s">
        <v>582</v>
      </c>
      <c r="E67" s="241" t="s">
        <v>582</v>
      </c>
      <c r="F67" s="242" t="s">
        <v>583</v>
      </c>
      <c r="G67" s="242">
        <v>3938549993</v>
      </c>
      <c r="H67" s="3" t="s">
        <v>590</v>
      </c>
      <c r="I67" s="3" t="s">
        <v>591</v>
      </c>
      <c r="J67" s="243"/>
      <c r="AF67" s="253"/>
      <c r="AG67" s="253"/>
    </row>
    <row r="68" spans="1:33" s="177" customFormat="1" x14ac:dyDescent="0.25">
      <c r="A68" s="228" t="s">
        <v>584</v>
      </c>
      <c r="B68" s="228" t="s">
        <v>584</v>
      </c>
      <c r="C68" s="240">
        <v>43831</v>
      </c>
      <c r="D68" s="241" t="s">
        <v>585</v>
      </c>
      <c r="E68" s="241" t="s">
        <v>585</v>
      </c>
      <c r="F68" s="242" t="s">
        <v>586</v>
      </c>
      <c r="G68" s="242">
        <v>8714043377</v>
      </c>
      <c r="H68" s="3" t="s">
        <v>592</v>
      </c>
      <c r="I68" s="3" t="s">
        <v>593</v>
      </c>
      <c r="J68" s="243"/>
      <c r="AF68" s="253"/>
      <c r="AG68" s="253"/>
    </row>
    <row r="69" spans="1:33" x14ac:dyDescent="0.25">
      <c r="A69" s="9"/>
      <c r="B69" s="9"/>
      <c r="C69" s="9"/>
      <c r="D69" s="9"/>
      <c r="E69" s="176"/>
      <c r="F69" s="9"/>
      <c r="G69" s="9"/>
      <c r="I69" s="9"/>
    </row>
    <row r="70" spans="1:33" ht="18.75" x14ac:dyDescent="0.25">
      <c r="A70" s="356" t="s">
        <v>571</v>
      </c>
      <c r="B70" s="357"/>
      <c r="C70" s="357"/>
      <c r="D70" s="358"/>
      <c r="E70" s="176"/>
      <c r="F70" s="9"/>
      <c r="G70" s="9"/>
      <c r="H70" s="9"/>
      <c r="I70" s="9"/>
    </row>
    <row r="71" spans="1:33" ht="15.75" x14ac:dyDescent="0.25">
      <c r="A71" s="179" t="s">
        <v>572</v>
      </c>
      <c r="B71" s="179" t="s">
        <v>573</v>
      </c>
      <c r="C71" s="180" t="s">
        <v>122</v>
      </c>
      <c r="D71" s="179" t="s">
        <v>605</v>
      </c>
      <c r="E71" s="179" t="s">
        <v>181</v>
      </c>
      <c r="F71" s="9"/>
      <c r="G71" s="9"/>
      <c r="H71" s="9"/>
      <c r="I71" s="9"/>
    </row>
    <row r="72" spans="1:33" ht="15.75" x14ac:dyDescent="0.25">
      <c r="A72" s="228" t="s">
        <v>584</v>
      </c>
      <c r="B72" s="228" t="s">
        <v>584</v>
      </c>
      <c r="C72" s="240">
        <v>43831</v>
      </c>
      <c r="D72" s="244" t="str">
        <f>C8</f>
        <v>6225947218</v>
      </c>
      <c r="E72" s="244" t="s">
        <v>244</v>
      </c>
      <c r="F72" s="9"/>
      <c r="G72" s="9"/>
      <c r="H72" s="9"/>
      <c r="I72" s="9"/>
    </row>
    <row r="73" spans="1:33" x14ac:dyDescent="0.25">
      <c r="A73" s="9"/>
      <c r="B73" s="9"/>
      <c r="C73" s="9"/>
      <c r="D73" s="9"/>
      <c r="E73" s="176"/>
      <c r="F73" s="9"/>
      <c r="G73" s="9"/>
      <c r="H73" s="9"/>
      <c r="I73" s="9"/>
    </row>
    <row r="74" spans="1:33" ht="18.75" x14ac:dyDescent="0.25">
      <c r="A74" s="361" t="s">
        <v>75</v>
      </c>
      <c r="B74" s="362"/>
      <c r="C74" s="362"/>
      <c r="D74" s="362"/>
      <c r="E74" s="362"/>
      <c r="F74" s="362"/>
      <c r="G74" s="362"/>
      <c r="H74" s="362"/>
      <c r="I74" s="363"/>
      <c r="AF74"/>
      <c r="AG74"/>
    </row>
    <row r="75" spans="1:33" ht="15.75" x14ac:dyDescent="0.25">
      <c r="A75" s="5" t="s">
        <v>1</v>
      </c>
      <c r="B75" s="5" t="s">
        <v>2</v>
      </c>
      <c r="C75" s="5" t="s">
        <v>105</v>
      </c>
      <c r="D75" s="5" t="s">
        <v>59</v>
      </c>
      <c r="E75" s="5" t="s">
        <v>58</v>
      </c>
      <c r="F75" s="5" t="s">
        <v>884</v>
      </c>
      <c r="G75" s="5" t="s">
        <v>885</v>
      </c>
      <c r="H75" s="5" t="s">
        <v>886</v>
      </c>
      <c r="I75" s="5" t="s">
        <v>887</v>
      </c>
      <c r="J75" s="5" t="s">
        <v>60</v>
      </c>
      <c r="K75" s="5" t="s">
        <v>61</v>
      </c>
      <c r="L75" s="5" t="s">
        <v>62</v>
      </c>
      <c r="M75" s="5" t="s">
        <v>63</v>
      </c>
      <c r="N75" s="5" t="s">
        <v>64</v>
      </c>
      <c r="O75" s="5" t="s">
        <v>888</v>
      </c>
      <c r="AF75"/>
      <c r="AG75"/>
    </row>
    <row r="76" spans="1:33" s="246" customFormat="1" x14ac:dyDescent="0.25">
      <c r="A76" s="313" t="str">
        <f>C4</f>
        <v>CurrConv_Cust1Auto,IND</v>
      </c>
      <c r="B76" s="8" t="str">
        <f>C8</f>
        <v>6225947218</v>
      </c>
      <c r="C76" s="189" t="str">
        <f>J8</f>
        <v>ACCT_IND_02</v>
      </c>
      <c r="D76" s="271">
        <f>C12</f>
        <v>6225947831</v>
      </c>
      <c r="E76" s="314" t="s">
        <v>500</v>
      </c>
      <c r="F76" s="314"/>
      <c r="G76" s="314"/>
      <c r="H76" s="314"/>
      <c r="I76" s="314"/>
      <c r="J76" s="189" t="str">
        <f ca="1">TEXT(TODAY()-45,"DD-MMM-YY")</f>
        <v>20-Jun-23</v>
      </c>
      <c r="K76" s="189" t="str">
        <f ca="1">TEXT(TODAY()-15,"DD-MMM-YY")</f>
        <v>20-Jul-23</v>
      </c>
      <c r="L76" s="189" t="s">
        <v>22</v>
      </c>
      <c r="M76" s="189">
        <v>100</v>
      </c>
      <c r="N76" s="189">
        <v>622073925989</v>
      </c>
      <c r="O76" s="189" t="s">
        <v>889</v>
      </c>
    </row>
    <row r="77" spans="1:33" s="246" customFormat="1" x14ac:dyDescent="0.25">
      <c r="A77" s="313" t="str">
        <f>C4</f>
        <v>CurrConv_Cust1Auto,IND</v>
      </c>
      <c r="B77" s="8" t="str">
        <f>C8</f>
        <v>6225947218</v>
      </c>
      <c r="C77" s="6" t="str">
        <f>J8</f>
        <v>ACCT_IND_02</v>
      </c>
      <c r="D77" s="271">
        <f>C12</f>
        <v>6225947831</v>
      </c>
      <c r="E77" s="3" t="s">
        <v>592</v>
      </c>
      <c r="F77" s="314"/>
      <c r="G77" s="314"/>
      <c r="H77" s="314"/>
      <c r="I77" s="314"/>
      <c r="J77" s="189" t="str">
        <f ca="1">TEXT(TODAY()-45,"DD-MMM-YY")</f>
        <v>20-Jun-23</v>
      </c>
      <c r="K77" s="189" t="str">
        <f ca="1">TEXT(TODAY()-15,"DD-MMM-YY")</f>
        <v>20-Jul-23</v>
      </c>
      <c r="L77" s="189" t="s">
        <v>22</v>
      </c>
      <c r="M77" s="189">
        <v>100</v>
      </c>
      <c r="N77" s="189">
        <v>622430487529</v>
      </c>
      <c r="O77" s="189" t="s">
        <v>889</v>
      </c>
    </row>
    <row r="78" spans="1:33" s="246" customFormat="1" x14ac:dyDescent="0.25">
      <c r="A78" s="313" t="str">
        <f>C4</f>
        <v>CurrConv_Cust1Auto,IND</v>
      </c>
      <c r="B78" s="8" t="str">
        <f>C8</f>
        <v>6225947218</v>
      </c>
      <c r="C78" s="6" t="str">
        <f>J8</f>
        <v>ACCT_IND_02</v>
      </c>
      <c r="D78" s="271">
        <f>C12</f>
        <v>6225947831</v>
      </c>
      <c r="E78" s="3" t="s">
        <v>593</v>
      </c>
      <c r="F78" s="314"/>
      <c r="G78" s="314"/>
      <c r="H78" s="314"/>
      <c r="I78" s="314"/>
      <c r="J78" s="189" t="str">
        <f ca="1">TEXT(TODAY()-45,"DD-MMM-YY")</f>
        <v>20-Jun-23</v>
      </c>
      <c r="K78" s="189" t="str">
        <f ca="1">TEXT(TODAY()-15,"DD-MMM-YY")</f>
        <v>20-Jul-23</v>
      </c>
      <c r="L78" s="189" t="s">
        <v>22</v>
      </c>
      <c r="M78" s="189">
        <v>100</v>
      </c>
      <c r="N78" s="189">
        <v>622146460545</v>
      </c>
      <c r="O78" s="189" t="s">
        <v>889</v>
      </c>
    </row>
    <row r="79" spans="1:33" x14ac:dyDescent="0.25">
      <c r="A79" s="9"/>
      <c r="B79" s="9"/>
      <c r="C79" s="9"/>
      <c r="D79" s="9"/>
      <c r="E79" s="176"/>
      <c r="F79" s="9"/>
      <c r="G79" s="9"/>
      <c r="H79" s="9"/>
      <c r="I79" s="9"/>
    </row>
    <row r="80" spans="1:33" ht="50.45" customHeight="1" x14ac:dyDescent="0.25">
      <c r="A80" s="368" t="s">
        <v>115</v>
      </c>
      <c r="B80" s="368"/>
      <c r="C80" s="368"/>
      <c r="D80" s="368"/>
      <c r="E80" s="368"/>
      <c r="F80" s="368"/>
      <c r="G80" s="368"/>
      <c r="H80" s="368"/>
      <c r="I80" s="368"/>
      <c r="J80" s="368"/>
      <c r="K80" s="368"/>
    </row>
    <row r="81" spans="1:78" ht="16.7" customHeight="1" x14ac:dyDescent="0.25">
      <c r="A81" s="367" t="s">
        <v>111</v>
      </c>
      <c r="B81" s="367"/>
      <c r="C81" s="367"/>
      <c r="D81" s="367"/>
    </row>
    <row r="82" spans="1:78" x14ac:dyDescent="0.25">
      <c r="A82" s="22" t="s">
        <v>112</v>
      </c>
      <c r="B82" s="22" t="s">
        <v>113</v>
      </c>
      <c r="C82" s="22" t="s">
        <v>0</v>
      </c>
      <c r="D82" s="22" t="s">
        <v>114</v>
      </c>
    </row>
    <row r="83" spans="1:78" x14ac:dyDescent="0.25">
      <c r="A83" s="3" t="s">
        <v>116</v>
      </c>
      <c r="B83" s="18" t="str">
        <f>A4</f>
        <v>3058702450</v>
      </c>
      <c r="C83" s="6" t="str">
        <f>B4</f>
        <v>INDIA DIVISION</v>
      </c>
      <c r="D83" s="3" t="str">
        <f>C4</f>
        <v>CurrConv_Cust1Auto,IND</v>
      </c>
    </row>
    <row r="85" spans="1:78" x14ac:dyDescent="0.25">
      <c r="A85" s="324" t="s">
        <v>851</v>
      </c>
      <c r="B85" s="325"/>
      <c r="C85" s="325"/>
      <c r="D85" s="325"/>
      <c r="E85" s="325"/>
      <c r="F85" s="325"/>
      <c r="G85" s="325"/>
      <c r="H85" s="325"/>
      <c r="I85" s="325"/>
      <c r="J85" s="325"/>
      <c r="K85" s="325"/>
      <c r="L85" s="325"/>
      <c r="M85" s="325"/>
      <c r="N85" s="325"/>
      <c r="O85" s="325"/>
      <c r="P85" s="325"/>
      <c r="Q85" s="325"/>
      <c r="R85" s="325"/>
    </row>
    <row r="86" spans="1:78" x14ac:dyDescent="0.25">
      <c r="A86" s="22" t="s">
        <v>118</v>
      </c>
      <c r="B86" s="22" t="s">
        <v>119</v>
      </c>
      <c r="C86" s="22" t="s">
        <v>120</v>
      </c>
      <c r="D86" s="22" t="s">
        <v>121</v>
      </c>
      <c r="E86" s="22" t="s">
        <v>122</v>
      </c>
      <c r="F86" s="22" t="s">
        <v>123</v>
      </c>
      <c r="G86" s="22" t="s">
        <v>124</v>
      </c>
      <c r="H86" s="22" t="s">
        <v>125</v>
      </c>
      <c r="I86" s="22" t="s">
        <v>126</v>
      </c>
      <c r="J86" s="22" t="s">
        <v>127</v>
      </c>
      <c r="K86" s="22" t="s">
        <v>128</v>
      </c>
      <c r="L86" s="22" t="s">
        <v>129</v>
      </c>
      <c r="M86" s="22" t="s">
        <v>130</v>
      </c>
      <c r="N86" s="22" t="s">
        <v>131</v>
      </c>
      <c r="O86" s="22" t="s">
        <v>132</v>
      </c>
      <c r="P86" s="22" t="s">
        <v>133</v>
      </c>
      <c r="Q86" s="22" t="s">
        <v>133</v>
      </c>
      <c r="R86" s="22" t="s">
        <v>135</v>
      </c>
    </row>
    <row r="87" spans="1:78" x14ac:dyDescent="0.25">
      <c r="A87" s="19" t="s">
        <v>607</v>
      </c>
      <c r="B87" s="20" t="s">
        <v>606</v>
      </c>
      <c r="C87" s="21" t="s">
        <v>740</v>
      </c>
      <c r="D87" s="19" t="s">
        <v>57</v>
      </c>
      <c r="E87" s="10" t="str">
        <f ca="1">TEXT(TODAY(),"MM-DD-YYYY")</f>
        <v>08-04-2023</v>
      </c>
      <c r="F87" s="10" t="str">
        <f ca="1">TEXT(TODAY(),"MM-DD-YYYY")</f>
        <v>08-04-2023</v>
      </c>
      <c r="G87" s="19" t="s">
        <v>134</v>
      </c>
      <c r="H87" s="19" t="s">
        <v>325</v>
      </c>
      <c r="I87" s="19" t="s">
        <v>134</v>
      </c>
      <c r="J87" s="19" t="s">
        <v>607</v>
      </c>
      <c r="K87" s="19" t="s">
        <v>607</v>
      </c>
      <c r="L87" s="19" t="s">
        <v>87</v>
      </c>
      <c r="M87" s="19" t="s">
        <v>87</v>
      </c>
      <c r="N87" s="19" t="s">
        <v>87</v>
      </c>
      <c r="O87" s="19" t="s">
        <v>563</v>
      </c>
      <c r="P87" s="19" t="s">
        <v>564</v>
      </c>
      <c r="Q87" s="19"/>
      <c r="R87" s="188">
        <v>7920362023</v>
      </c>
    </row>
    <row r="88" spans="1:78" x14ac:dyDescent="0.25">
      <c r="A88" s="19"/>
      <c r="B88" s="20"/>
      <c r="C88" s="21"/>
      <c r="D88" s="19"/>
      <c r="E88" s="10"/>
      <c r="F88" s="10"/>
      <c r="G88" s="19"/>
      <c r="H88" s="19"/>
      <c r="I88" s="19"/>
      <c r="J88" s="19"/>
      <c r="K88" s="19"/>
      <c r="L88" s="19"/>
      <c r="M88" s="19"/>
      <c r="N88" s="19"/>
      <c r="O88" s="19"/>
      <c r="P88" s="19"/>
      <c r="Q88" s="19"/>
      <c r="R88" s="188"/>
    </row>
    <row r="89" spans="1:78" x14ac:dyDescent="0.25">
      <c r="A89" s="302" t="s">
        <v>852</v>
      </c>
      <c r="B89" s="302" t="s">
        <v>853</v>
      </c>
      <c r="C89" s="302" t="s">
        <v>118</v>
      </c>
      <c r="D89" s="302" t="s">
        <v>119</v>
      </c>
      <c r="E89" s="302" t="s">
        <v>120</v>
      </c>
      <c r="F89" s="302" t="s">
        <v>121</v>
      </c>
      <c r="G89" s="302" t="s">
        <v>122</v>
      </c>
      <c r="H89" s="302" t="s">
        <v>123</v>
      </c>
      <c r="I89" s="302" t="s">
        <v>124</v>
      </c>
      <c r="J89" s="302" t="s">
        <v>125</v>
      </c>
      <c r="K89" s="302" t="s">
        <v>126</v>
      </c>
      <c r="L89" s="302" t="s">
        <v>127</v>
      </c>
      <c r="M89" s="302" t="s">
        <v>128</v>
      </c>
      <c r="N89" s="302" t="s">
        <v>129</v>
      </c>
      <c r="O89" s="302" t="s">
        <v>854</v>
      </c>
      <c r="P89" s="302" t="s">
        <v>131</v>
      </c>
      <c r="Q89" s="302" t="s">
        <v>855</v>
      </c>
      <c r="R89" s="302" t="s">
        <v>856</v>
      </c>
      <c r="S89" s="303" t="s">
        <v>177</v>
      </c>
      <c r="T89" s="370" t="s">
        <v>857</v>
      </c>
      <c r="U89" s="371"/>
      <c r="V89" s="372"/>
      <c r="W89" s="370" t="s">
        <v>858</v>
      </c>
      <c r="X89" s="372"/>
      <c r="Y89" s="304"/>
      <c r="Z89" s="387" t="s">
        <v>859</v>
      </c>
      <c r="AA89" s="388"/>
      <c r="AB89" s="388"/>
      <c r="AC89" s="388"/>
      <c r="AD89" s="388"/>
      <c r="AE89" s="388"/>
      <c r="AF89" s="389"/>
      <c r="AG89" s="387" t="s">
        <v>860</v>
      </c>
      <c r="AH89" s="388"/>
      <c r="AI89" s="388"/>
      <c r="AJ89" s="388"/>
      <c r="AK89" s="388"/>
      <c r="AL89" s="389"/>
      <c r="AM89" s="305"/>
      <c r="AN89" s="306"/>
      <c r="AO89" s="306"/>
      <c r="AP89" s="306"/>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row>
    <row r="90" spans="1:78" x14ac:dyDescent="0.25">
      <c r="A90" s="307"/>
      <c r="B90" s="307"/>
      <c r="C90" s="307"/>
      <c r="D90" s="307"/>
      <c r="E90" s="307"/>
      <c r="F90" s="307"/>
      <c r="G90" s="307"/>
      <c r="H90" s="307"/>
      <c r="I90" s="307"/>
      <c r="J90" s="307"/>
      <c r="K90" s="307"/>
      <c r="L90" s="307"/>
      <c r="M90" s="307"/>
      <c r="N90" s="307"/>
      <c r="O90" s="307"/>
      <c r="P90" s="307"/>
      <c r="Q90" s="307"/>
      <c r="R90" s="307"/>
      <c r="S90" s="307"/>
      <c r="T90" s="308" t="s">
        <v>132</v>
      </c>
      <c r="U90" s="308" t="s">
        <v>861</v>
      </c>
      <c r="V90" s="308" t="s">
        <v>133</v>
      </c>
      <c r="W90" s="308" t="s">
        <v>862</v>
      </c>
      <c r="X90" s="308" t="s">
        <v>863</v>
      </c>
      <c r="Y90" s="308" t="s">
        <v>864</v>
      </c>
      <c r="Z90" s="308" t="s">
        <v>865</v>
      </c>
      <c r="AA90" s="308" t="s">
        <v>866</v>
      </c>
      <c r="AB90" s="308" t="s">
        <v>867</v>
      </c>
      <c r="AC90" s="308" t="s">
        <v>868</v>
      </c>
      <c r="AD90" s="308" t="s">
        <v>869</v>
      </c>
      <c r="AE90" s="308" t="s">
        <v>870</v>
      </c>
      <c r="AF90" s="308" t="s">
        <v>871</v>
      </c>
      <c r="AG90" s="308" t="s">
        <v>872</v>
      </c>
      <c r="AH90" s="308" t="s">
        <v>873</v>
      </c>
      <c r="AI90" s="308" t="s">
        <v>874</v>
      </c>
      <c r="AJ90" s="308" t="s">
        <v>875</v>
      </c>
      <c r="AK90" s="308" t="s">
        <v>876</v>
      </c>
      <c r="AL90" s="308" t="s">
        <v>877</v>
      </c>
      <c r="AM90" s="307" t="s">
        <v>878</v>
      </c>
      <c r="AN90" s="308" t="s">
        <v>879</v>
      </c>
      <c r="AO90" s="308" t="s">
        <v>880</v>
      </c>
      <c r="AP90" s="309" t="s">
        <v>881</v>
      </c>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row>
    <row r="91" spans="1:78" x14ac:dyDescent="0.25">
      <c r="A91" s="19" t="s">
        <v>849</v>
      </c>
      <c r="B91" s="81" t="str">
        <f>A4</f>
        <v>3058702450</v>
      </c>
      <c r="C91" s="19" t="s">
        <v>607</v>
      </c>
      <c r="D91" s="20" t="s">
        <v>606</v>
      </c>
      <c r="E91" s="21" t="s">
        <v>50</v>
      </c>
      <c r="F91" s="19" t="s">
        <v>850</v>
      </c>
      <c r="G91" s="10" t="str">
        <f ca="1">TEXT(TODAY(),"YYYY-MM-DD")</f>
        <v>2023-08-04</v>
      </c>
      <c r="H91" s="10" t="str">
        <f ca="1">TEXT(TODAY(),"YYYY-MM-DD")</f>
        <v>2023-08-04</v>
      </c>
      <c r="I91" s="19">
        <v>12</v>
      </c>
      <c r="J91" s="19">
        <v>1</v>
      </c>
      <c r="K91" s="19">
        <v>12</v>
      </c>
      <c r="L91" s="19" t="str">
        <f>C91&amp;TEXT(" Desc","0")</f>
        <v>DEAL_CURR_01 Desc</v>
      </c>
      <c r="M91" s="19" t="str">
        <f>C91&amp;TEXT(" Ver Desc","0")</f>
        <v>DEAL_CURR_01 Ver Desc</v>
      </c>
      <c r="N91" s="271" t="s">
        <v>387</v>
      </c>
      <c r="O91" s="271" t="s">
        <v>387</v>
      </c>
      <c r="P91" s="271" t="s">
        <v>446</v>
      </c>
      <c r="Q91" s="271" t="s">
        <v>446</v>
      </c>
      <c r="R91" s="271" t="s">
        <v>387</v>
      </c>
      <c r="S91" s="21"/>
      <c r="T91" s="21" t="s">
        <v>563</v>
      </c>
      <c r="U91" s="21" t="s">
        <v>564</v>
      </c>
      <c r="V91" s="21"/>
      <c r="W91" s="21"/>
      <c r="X91" s="21"/>
      <c r="Y91" s="21"/>
      <c r="Z91" s="21"/>
      <c r="AA91" s="21"/>
      <c r="AB91" s="21"/>
      <c r="AC91" s="21"/>
      <c r="AD91" s="21" t="s">
        <v>446</v>
      </c>
      <c r="AE91" s="21" t="s">
        <v>446</v>
      </c>
      <c r="AF91" s="21" t="s">
        <v>446</v>
      </c>
      <c r="AG91" s="21"/>
      <c r="AH91" s="21"/>
      <c r="AI91" s="21"/>
      <c r="AJ91" s="21" t="s">
        <v>446</v>
      </c>
      <c r="AK91" s="21" t="s">
        <v>446</v>
      </c>
      <c r="AL91" s="21" t="s">
        <v>446</v>
      </c>
      <c r="AM91" s="19"/>
      <c r="AN91" s="19"/>
      <c r="AO91" s="19"/>
      <c r="AP91" s="19"/>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row>
    <row r="93" spans="1:78" x14ac:dyDescent="0.25">
      <c r="A93" s="324" t="s">
        <v>136</v>
      </c>
      <c r="B93" s="325"/>
      <c r="C93" s="325"/>
      <c r="D93" s="325"/>
      <c r="E93" s="325"/>
      <c r="F93" s="325"/>
      <c r="G93" s="325"/>
      <c r="H93" s="325"/>
      <c r="I93" s="325"/>
      <c r="J93" s="325"/>
      <c r="K93" s="325"/>
      <c r="L93" s="325"/>
      <c r="M93" s="325"/>
      <c r="N93" s="325"/>
      <c r="O93" s="325"/>
      <c r="P93" s="325"/>
      <c r="Q93" s="325"/>
      <c r="R93" s="325"/>
    </row>
    <row r="94" spans="1:78" x14ac:dyDescent="0.25">
      <c r="A94" s="22" t="s">
        <v>136</v>
      </c>
      <c r="B94" s="22" t="s">
        <v>144</v>
      </c>
      <c r="C94" s="22" t="s">
        <v>145</v>
      </c>
      <c r="D94" s="22" t="s">
        <v>119</v>
      </c>
      <c r="E94" s="22" t="s">
        <v>120</v>
      </c>
      <c r="F94" s="22" t="s">
        <v>121</v>
      </c>
      <c r="G94" s="22" t="s">
        <v>122</v>
      </c>
      <c r="H94" s="22" t="s">
        <v>140</v>
      </c>
      <c r="I94" s="22" t="s">
        <v>141</v>
      </c>
      <c r="J94" s="22" t="s">
        <v>54</v>
      </c>
      <c r="K94" s="22" t="s">
        <v>55</v>
      </c>
      <c r="L94" s="22" t="s">
        <v>142</v>
      </c>
      <c r="M94" s="22" t="s">
        <v>143</v>
      </c>
      <c r="N94" s="22"/>
      <c r="O94" s="22"/>
      <c r="P94" s="22"/>
      <c r="Q94" s="22"/>
      <c r="R94" s="22"/>
    </row>
    <row r="95" spans="1:78" ht="45" x14ac:dyDescent="0.25">
      <c r="A95" s="24" t="s">
        <v>137</v>
      </c>
      <c r="B95" s="25" t="s">
        <v>146</v>
      </c>
      <c r="C95" s="25" t="s">
        <v>146</v>
      </c>
      <c r="D95" s="25" t="s">
        <v>138</v>
      </c>
      <c r="E95" s="21" t="s">
        <v>609</v>
      </c>
      <c r="F95" s="19" t="s">
        <v>608</v>
      </c>
      <c r="G95" s="10" t="str">
        <f ca="1">E87</f>
        <v>08-04-2023</v>
      </c>
      <c r="H95" s="10">
        <f ca="1">TODAY()</f>
        <v>45142</v>
      </c>
      <c r="I95" s="19"/>
      <c r="J95" s="19"/>
      <c r="K95" s="19"/>
      <c r="L95" s="19"/>
      <c r="M95" s="19"/>
      <c r="N95" s="19"/>
      <c r="O95" s="19"/>
      <c r="P95" s="19"/>
      <c r="Q95" s="19"/>
      <c r="R95" s="19"/>
    </row>
    <row r="97" spans="1:8" x14ac:dyDescent="0.25">
      <c r="A97" s="324" t="s">
        <v>147</v>
      </c>
      <c r="B97" s="325"/>
      <c r="C97" s="325"/>
      <c r="D97" s="325"/>
      <c r="E97" s="325"/>
    </row>
    <row r="98" spans="1:8" x14ac:dyDescent="0.25">
      <c r="A98" s="26" t="s">
        <v>148</v>
      </c>
      <c r="B98" s="26" t="s">
        <v>149</v>
      </c>
      <c r="C98" s="26" t="s">
        <v>54</v>
      </c>
      <c r="D98" s="26" t="s">
        <v>55</v>
      </c>
      <c r="E98" s="23" t="s">
        <v>150</v>
      </c>
    </row>
    <row r="99" spans="1:8" x14ac:dyDescent="0.25">
      <c r="A99" s="6" t="str">
        <f>A26</f>
        <v>4368251923</v>
      </c>
      <c r="B99" s="3">
        <v>1</v>
      </c>
      <c r="C99" s="245" t="str">
        <f ca="1">TEXT(TODAY(),"MM-DD-YYYY")</f>
        <v>08-04-2023</v>
      </c>
      <c r="D99" s="3"/>
      <c r="E99" s="3"/>
    </row>
    <row r="101" spans="1:8" x14ac:dyDescent="0.25">
      <c r="A101" s="324" t="s">
        <v>610</v>
      </c>
      <c r="B101" s="325"/>
      <c r="C101" s="325"/>
      <c r="D101" s="325"/>
      <c r="E101" s="325"/>
    </row>
    <row r="102" spans="1:8" x14ac:dyDescent="0.25">
      <c r="A102" s="26" t="s">
        <v>572</v>
      </c>
      <c r="B102" s="26" t="s">
        <v>149</v>
      </c>
      <c r="C102" s="26" t="s">
        <v>54</v>
      </c>
      <c r="D102" s="26" t="s">
        <v>55</v>
      </c>
      <c r="E102" s="23" t="s">
        <v>150</v>
      </c>
    </row>
    <row r="103" spans="1:8" x14ac:dyDescent="0.25">
      <c r="A103" s="189" t="s">
        <v>578</v>
      </c>
      <c r="B103" s="190">
        <v>2</v>
      </c>
      <c r="C103" s="191" t="str">
        <f ca="1">E87</f>
        <v>08-04-2023</v>
      </c>
      <c r="D103" s="190"/>
      <c r="E103" s="190"/>
    </row>
    <row r="104" spans="1:8" x14ac:dyDescent="0.25">
      <c r="A104" s="189" t="s">
        <v>581</v>
      </c>
      <c r="B104" s="190">
        <v>3</v>
      </c>
      <c r="C104" s="191" t="str">
        <f ca="1">E87</f>
        <v>08-04-2023</v>
      </c>
      <c r="D104" s="190"/>
      <c r="E104" s="190"/>
    </row>
    <row r="106" spans="1:8" x14ac:dyDescent="0.25">
      <c r="A106" s="324" t="s">
        <v>611</v>
      </c>
      <c r="B106" s="325"/>
      <c r="C106" s="325"/>
      <c r="D106" s="325"/>
      <c r="E106" s="325"/>
    </row>
    <row r="107" spans="1:8" x14ac:dyDescent="0.25">
      <c r="A107" s="22" t="s">
        <v>572</v>
      </c>
      <c r="B107" s="22" t="s">
        <v>612</v>
      </c>
      <c r="C107" s="22" t="s">
        <v>613</v>
      </c>
      <c r="D107" s="22" t="s">
        <v>614</v>
      </c>
      <c r="E107" s="22" t="s">
        <v>615</v>
      </c>
      <c r="F107" s="22" t="s">
        <v>149</v>
      </c>
      <c r="G107" s="22" t="s">
        <v>122</v>
      </c>
      <c r="H107" s="22" t="s">
        <v>177</v>
      </c>
    </row>
    <row r="108" spans="1:8" x14ac:dyDescent="0.25">
      <c r="A108" s="189" t="s">
        <v>584</v>
      </c>
      <c r="B108" s="3" t="s">
        <v>584</v>
      </c>
      <c r="C108" s="10" t="s">
        <v>585</v>
      </c>
      <c r="D108" s="3" t="s">
        <v>616</v>
      </c>
      <c r="E108" s="3" t="s">
        <v>617</v>
      </c>
      <c r="F108" s="3">
        <v>1</v>
      </c>
      <c r="G108" s="6" t="s">
        <v>882</v>
      </c>
      <c r="H108" s="192"/>
    </row>
    <row r="110" spans="1:8" x14ac:dyDescent="0.25">
      <c r="A110" s="324" t="s">
        <v>618</v>
      </c>
      <c r="B110" s="325"/>
      <c r="C110" s="325"/>
      <c r="D110" s="325"/>
      <c r="E110" s="325"/>
    </row>
    <row r="111" spans="1:8" x14ac:dyDescent="0.25">
      <c r="A111" s="26" t="s">
        <v>572</v>
      </c>
      <c r="B111" s="26" t="s">
        <v>612</v>
      </c>
      <c r="C111" s="26" t="s">
        <v>613</v>
      </c>
      <c r="D111" s="26" t="s">
        <v>614</v>
      </c>
      <c r="E111" s="23" t="s">
        <v>615</v>
      </c>
      <c r="F111" s="23" t="s">
        <v>149</v>
      </c>
      <c r="G111" s="23" t="s">
        <v>122</v>
      </c>
      <c r="H111" s="23" t="s">
        <v>177</v>
      </c>
    </row>
    <row r="112" spans="1:8" x14ac:dyDescent="0.25">
      <c r="A112" s="189" t="s">
        <v>578</v>
      </c>
      <c r="B112" s="189" t="s">
        <v>578</v>
      </c>
      <c r="C112" s="10" t="s">
        <v>579</v>
      </c>
      <c r="D112" s="3" t="s">
        <v>616</v>
      </c>
      <c r="E112" s="3" t="s">
        <v>617</v>
      </c>
      <c r="F112" s="3">
        <v>2</v>
      </c>
      <c r="G112" s="192" t="str">
        <f ca="1">E87</f>
        <v>08-04-2023</v>
      </c>
      <c r="H112" s="192"/>
    </row>
    <row r="113" spans="1:33" x14ac:dyDescent="0.25">
      <c r="A113" s="189" t="s">
        <v>581</v>
      </c>
      <c r="B113" s="189" t="s">
        <v>581</v>
      </c>
      <c r="C113" s="10" t="s">
        <v>582</v>
      </c>
      <c r="D113" s="3" t="s">
        <v>616</v>
      </c>
      <c r="E113" s="3" t="s">
        <v>617</v>
      </c>
      <c r="F113" s="3">
        <v>3</v>
      </c>
      <c r="G113" s="192" t="str">
        <f ca="1">E87</f>
        <v>08-04-2023</v>
      </c>
      <c r="H113" s="192"/>
    </row>
    <row r="114" spans="1:33" x14ac:dyDescent="0.25">
      <c r="A114" s="189" t="s">
        <v>584</v>
      </c>
      <c r="B114" s="189" t="s">
        <v>584</v>
      </c>
      <c r="C114" s="10" t="s">
        <v>585</v>
      </c>
      <c r="D114" s="3" t="s">
        <v>616</v>
      </c>
      <c r="E114" s="3" t="s">
        <v>617</v>
      </c>
      <c r="F114" s="3">
        <v>1</v>
      </c>
      <c r="G114" s="6" t="s">
        <v>882</v>
      </c>
      <c r="H114" s="192"/>
    </row>
    <row r="116" spans="1:33" x14ac:dyDescent="0.25">
      <c r="A116" s="324" t="s">
        <v>619</v>
      </c>
      <c r="B116" s="325"/>
      <c r="C116" s="325"/>
      <c r="D116" s="325"/>
      <c r="E116" s="325"/>
    </row>
    <row r="117" spans="1:33" x14ac:dyDescent="0.25">
      <c r="A117" s="26" t="s">
        <v>620</v>
      </c>
      <c r="B117" s="26" t="s">
        <v>122</v>
      </c>
      <c r="C117" s="26" t="s">
        <v>177</v>
      </c>
      <c r="D117" s="26" t="s">
        <v>149</v>
      </c>
      <c r="E117" s="23" t="s">
        <v>621</v>
      </c>
      <c r="F117" s="23" t="s">
        <v>122</v>
      </c>
      <c r="G117" s="23" t="s">
        <v>622</v>
      </c>
      <c r="H117" s="23" t="s">
        <v>623</v>
      </c>
    </row>
    <row r="118" spans="1:33" x14ac:dyDescent="0.25">
      <c r="A118" s="189" t="s">
        <v>578</v>
      </c>
      <c r="B118" s="192" t="str">
        <f ca="1">TEXT(E87,"MM-DD-YYYY")</f>
        <v>08-04-2023</v>
      </c>
      <c r="C118" s="10"/>
      <c r="D118" s="3">
        <v>2</v>
      </c>
      <c r="E118" s="3" t="s">
        <v>580</v>
      </c>
      <c r="F118" s="192" t="str">
        <f ca="1">TEXT(E87,"MM-DD-YYYY")</f>
        <v>08-04-2023</v>
      </c>
      <c r="G118" s="3"/>
      <c r="H118" s="192" t="s">
        <v>624</v>
      </c>
      <c r="AF118" s="251" t="s">
        <v>747</v>
      </c>
      <c r="AG118" s="251" t="s">
        <v>576</v>
      </c>
    </row>
    <row r="119" spans="1:33" x14ac:dyDescent="0.25">
      <c r="A119" s="189" t="s">
        <v>581</v>
      </c>
      <c r="B119" s="192" t="str">
        <f ca="1">TEXT(E87,"MM-DD-YYYY")</f>
        <v>08-04-2023</v>
      </c>
      <c r="C119" s="10"/>
      <c r="D119" s="3">
        <v>3</v>
      </c>
      <c r="E119" s="3" t="s">
        <v>583</v>
      </c>
      <c r="F119" s="192" t="str">
        <f ca="1">TEXT(E87,"MM-DD-YYYY")</f>
        <v>08-04-2023</v>
      </c>
      <c r="G119" s="3"/>
      <c r="H119" s="192" t="s">
        <v>624</v>
      </c>
      <c r="AF119" s="251" t="s">
        <v>747</v>
      </c>
      <c r="AG119" s="251" t="s">
        <v>576</v>
      </c>
    </row>
    <row r="120" spans="1:33" x14ac:dyDescent="0.25">
      <c r="A120" s="189" t="s">
        <v>584</v>
      </c>
      <c r="B120" s="258">
        <v>43831</v>
      </c>
      <c r="C120" s="10"/>
      <c r="D120" s="3">
        <v>1</v>
      </c>
      <c r="E120" s="3" t="s">
        <v>586</v>
      </c>
      <c r="F120" s="258">
        <v>43831</v>
      </c>
      <c r="G120" s="3"/>
      <c r="H120" s="192" t="s">
        <v>624</v>
      </c>
      <c r="AF120" s="251" t="s">
        <v>747</v>
      </c>
      <c r="AG120" s="251" t="s">
        <v>576</v>
      </c>
    </row>
    <row r="121" spans="1:33" x14ac:dyDescent="0.25">
      <c r="A121" s="260" t="s">
        <v>698</v>
      </c>
      <c r="B121" s="261"/>
      <c r="C121" s="261"/>
      <c r="D121" s="261"/>
    </row>
    <row r="122" spans="1:33" x14ac:dyDescent="0.25">
      <c r="A122" s="162" t="s">
        <v>151</v>
      </c>
      <c r="B122" s="162" t="s">
        <v>154</v>
      </c>
      <c r="C122" s="162" t="s">
        <v>156</v>
      </c>
      <c r="D122" s="162"/>
    </row>
    <row r="123" spans="1:33" x14ac:dyDescent="0.25">
      <c r="A123" s="165"/>
      <c r="B123" s="164" t="s">
        <v>155</v>
      </c>
      <c r="C123" s="166" t="s">
        <v>157</v>
      </c>
      <c r="D123" s="164" t="s">
        <v>625</v>
      </c>
      <c r="F123" s="163" t="s">
        <v>757</v>
      </c>
      <c r="G123" s="163"/>
      <c r="H123" s="163"/>
      <c r="K123" s="45"/>
    </row>
    <row r="124" spans="1:33" ht="45" x14ac:dyDescent="0.25">
      <c r="A124" s="165"/>
      <c r="B124" s="164" t="s">
        <v>626</v>
      </c>
      <c r="C124" s="166"/>
      <c r="D124" s="193" t="s">
        <v>627</v>
      </c>
      <c r="F124" s="259" t="s">
        <v>9</v>
      </c>
      <c r="G124" s="259" t="s">
        <v>56</v>
      </c>
      <c r="H124" s="259" t="s">
        <v>122</v>
      </c>
    </row>
    <row r="125" spans="1:33" x14ac:dyDescent="0.25">
      <c r="A125" s="311" t="s">
        <v>883</v>
      </c>
      <c r="B125" s="312" t="s">
        <v>56</v>
      </c>
      <c r="C125" s="312" t="s">
        <v>122</v>
      </c>
      <c r="F125" s="259" t="s">
        <v>501</v>
      </c>
      <c r="G125" s="259" t="str">
        <f>TEXT(0.5,"0.00")</f>
        <v>0.50</v>
      </c>
      <c r="H125" s="259" t="str">
        <f ca="1">TEXT(TODAY()+30,"MM-DD-YYYY")</f>
        <v>09-03-2023</v>
      </c>
      <c r="AF125" s="251" t="s">
        <v>743</v>
      </c>
      <c r="AG125" s="251" t="s">
        <v>758</v>
      </c>
    </row>
    <row r="126" spans="1:33" x14ac:dyDescent="0.25">
      <c r="A126" s="310" t="s">
        <v>501</v>
      </c>
      <c r="B126" s="310" t="str">
        <f>TEXT(0.5,"0.00")</f>
        <v>0.50</v>
      </c>
      <c r="C126" s="310" t="str">
        <f ca="1">TEXT(TODAY()+30,"MM-DD-YYYY")</f>
        <v>09-03-2023</v>
      </c>
    </row>
    <row r="127" spans="1:33" ht="39.6" customHeight="1" x14ac:dyDescent="0.5">
      <c r="A127" s="359" t="s">
        <v>217</v>
      </c>
      <c r="B127" s="359"/>
      <c r="C127" s="359"/>
      <c r="D127" s="359"/>
      <c r="E127" s="359"/>
      <c r="F127" s="359"/>
      <c r="G127" s="359"/>
      <c r="H127" s="359"/>
      <c r="I127" s="359"/>
      <c r="J127" s="359"/>
      <c r="K127" s="359"/>
      <c r="L127" s="359"/>
      <c r="M127" s="359"/>
      <c r="N127" s="359"/>
      <c r="O127" s="359"/>
      <c r="P127" s="359"/>
      <c r="Q127" s="359"/>
      <c r="R127" s="359"/>
      <c r="S127" s="359"/>
      <c r="T127" s="359"/>
      <c r="U127" s="359"/>
      <c r="V127" s="359"/>
      <c r="W127" s="359"/>
      <c r="X127" s="359"/>
      <c r="Y127" s="359"/>
      <c r="Z127" s="359"/>
    </row>
    <row r="128" spans="1:33" x14ac:dyDescent="0.25">
      <c r="A128" s="324" t="s">
        <v>159</v>
      </c>
      <c r="B128" s="325"/>
      <c r="C128" s="325"/>
      <c r="D128" s="325"/>
      <c r="E128" s="325"/>
      <c r="H128" s="377" t="s">
        <v>514</v>
      </c>
      <c r="I128" s="377"/>
      <c r="J128" s="377"/>
      <c r="K128" s="377"/>
      <c r="L128" s="377"/>
      <c r="M128" s="377"/>
      <c r="N128" s="375" t="s">
        <v>515</v>
      </c>
      <c r="O128" s="375"/>
      <c r="P128" s="375"/>
      <c r="Q128" s="375"/>
      <c r="R128" s="375"/>
      <c r="S128" s="375"/>
    </row>
    <row r="129" spans="1:26" x14ac:dyDescent="0.25">
      <c r="A129" s="161" t="s">
        <v>160</v>
      </c>
      <c r="B129" s="161" t="s">
        <v>43</v>
      </c>
      <c r="C129" s="161" t="s">
        <v>168</v>
      </c>
      <c r="D129" s="39" t="s">
        <v>176</v>
      </c>
      <c r="E129" s="39" t="s">
        <v>177</v>
      </c>
      <c r="F129" s="39" t="s">
        <v>56</v>
      </c>
      <c r="G129" s="207" t="s">
        <v>161</v>
      </c>
      <c r="H129" s="194" t="s">
        <v>162</v>
      </c>
      <c r="I129" s="194" t="s">
        <v>18</v>
      </c>
      <c r="J129" s="194" t="s">
        <v>163</v>
      </c>
      <c r="K129" s="194" t="s">
        <v>164</v>
      </c>
      <c r="L129" s="194" t="s">
        <v>662</v>
      </c>
      <c r="M129" s="194" t="s">
        <v>166</v>
      </c>
      <c r="N129" s="208" t="s">
        <v>162</v>
      </c>
      <c r="O129" s="39" t="s">
        <v>18</v>
      </c>
      <c r="P129" s="39" t="s">
        <v>163</v>
      </c>
      <c r="Q129" s="39" t="s">
        <v>164</v>
      </c>
      <c r="R129" s="39" t="s">
        <v>662</v>
      </c>
      <c r="S129" s="39" t="s">
        <v>166</v>
      </c>
      <c r="T129" s="39" t="s">
        <v>183</v>
      </c>
      <c r="U129" s="39" t="s">
        <v>180</v>
      </c>
      <c r="V129" s="39" t="s">
        <v>181</v>
      </c>
      <c r="W129" s="39" t="s">
        <v>182</v>
      </c>
      <c r="X129" s="39" t="s">
        <v>167</v>
      </c>
      <c r="Y129" s="39" t="s">
        <v>510</v>
      </c>
    </row>
    <row r="130" spans="1:26" x14ac:dyDescent="0.25">
      <c r="A130" s="46" t="s">
        <v>169</v>
      </c>
      <c r="B130" s="46"/>
      <c r="C130" s="46" t="s">
        <v>178</v>
      </c>
      <c r="D130" s="46"/>
      <c r="E130" s="46"/>
      <c r="F130" s="46"/>
      <c r="G130" s="46"/>
      <c r="H130" s="194"/>
      <c r="I130" s="194"/>
      <c r="J130" s="195">
        <v>308</v>
      </c>
      <c r="K130" s="274" t="s">
        <v>767</v>
      </c>
      <c r="L130" s="274"/>
      <c r="M130" s="274" t="s">
        <v>768</v>
      </c>
      <c r="N130" s="203"/>
      <c r="O130" s="203"/>
      <c r="P130" s="204">
        <f>P132+P142+P152</f>
        <v>308</v>
      </c>
      <c r="Q130" s="205">
        <f>SUMIFS(Q132:Q181,C132:C181,C130,A132:A181,"*"&amp;"DE_"&amp;"*")</f>
        <v>5093.8</v>
      </c>
      <c r="R130" s="203"/>
      <c r="S130" s="205">
        <f>SUMIFS(S132:S181,C132:C181,C130,A132:A181,"*"&amp;"DE_"&amp;"*")</f>
        <v>997.97</v>
      </c>
      <c r="T130" s="46"/>
      <c r="U130" s="46"/>
      <c r="V130" s="46"/>
      <c r="W130" s="46"/>
      <c r="X130" s="46" t="s">
        <v>479</v>
      </c>
      <c r="Y130">
        <v>74.239999999999995</v>
      </c>
    </row>
    <row r="131" spans="1:26" x14ac:dyDescent="0.25">
      <c r="A131" s="46" t="s">
        <v>169</v>
      </c>
      <c r="B131" s="46"/>
      <c r="C131" s="46" t="s">
        <v>173</v>
      </c>
      <c r="D131" s="46"/>
      <c r="E131" s="46"/>
      <c r="F131" s="46"/>
      <c r="G131" s="46"/>
      <c r="H131" s="194"/>
      <c r="I131" s="194"/>
      <c r="J131" s="195">
        <f>(J133+J143+J153)</f>
        <v>300</v>
      </c>
      <c r="K131" s="196">
        <f>SUMIFS(K132:K181,C132:C181,C131,A132:A181,"*"&amp;"DE_"&amp;"*")</f>
        <v>374169.59999999998</v>
      </c>
      <c r="L131" s="194"/>
      <c r="M131" s="197">
        <f>ROUND(SUMIFS(M132:M181,C132:C181,C131,A132:A181,"*"&amp;"DE_"&amp;"*"),2)</f>
        <v>69043.199999999997</v>
      </c>
      <c r="N131" s="203"/>
      <c r="O131" s="203"/>
      <c r="P131" s="204">
        <f>(P133+P143+P153)</f>
        <v>300</v>
      </c>
      <c r="Q131" s="205">
        <f>ROUND(SUMIFS(Q132:Q181,C132:C181,C131,A132:A181,"*"&amp;"DE_"&amp;"*"),2)</f>
        <v>4864.2</v>
      </c>
      <c r="R131" s="203"/>
      <c r="S131" s="205">
        <f>SUMIFS(S132:S181,C132:C181,C131,A132:A181,"*"&amp;"DE_"&amp;"*")</f>
        <v>897.56999999999994</v>
      </c>
      <c r="T131" s="46"/>
      <c r="U131" s="46"/>
      <c r="V131" s="46"/>
      <c r="W131" s="46"/>
      <c r="X131" s="46"/>
    </row>
    <row r="132" spans="1:26" x14ac:dyDescent="0.25">
      <c r="A132" s="49" t="s">
        <v>170</v>
      </c>
      <c r="B132" s="49"/>
      <c r="C132" s="49" t="s">
        <v>178</v>
      </c>
      <c r="D132" s="49"/>
      <c r="E132" s="49"/>
      <c r="F132" s="49"/>
      <c r="G132" s="49"/>
      <c r="H132" s="194"/>
      <c r="I132" s="194"/>
      <c r="J132" s="195">
        <f>SUMIFS(J134:J141,C134:C141,C132)</f>
        <v>101</v>
      </c>
      <c r="K132" s="196">
        <f>SUMIFS(K134:K141,C134:C141,C132)</f>
        <v>3014.14</v>
      </c>
      <c r="L132" s="194"/>
      <c r="M132" s="197">
        <f>SUMIFS(M134:M141,C134:C141,C132)</f>
        <v>23979.52</v>
      </c>
      <c r="N132" s="203"/>
      <c r="O132" s="203"/>
      <c r="P132" s="204">
        <f>SUMIFS(P134:P141,C134:C141,C132)</f>
        <v>101</v>
      </c>
      <c r="Q132" s="205">
        <f>SUMIFS(Q134:Q141,C134:C141,C132)</f>
        <v>39.18</v>
      </c>
      <c r="R132" s="203"/>
      <c r="S132" s="205">
        <f>SUMIFS(S134:S141,C134:C141,C132)</f>
        <v>311.74</v>
      </c>
      <c r="T132" s="49"/>
      <c r="U132" s="49"/>
      <c r="V132" s="49"/>
      <c r="W132" s="49"/>
      <c r="X132" s="49" t="s">
        <v>478</v>
      </c>
    </row>
    <row r="133" spans="1:26" x14ac:dyDescent="0.25">
      <c r="A133" s="49" t="s">
        <v>170</v>
      </c>
      <c r="B133" s="49"/>
      <c r="C133" s="49" t="s">
        <v>173</v>
      </c>
      <c r="D133" s="49"/>
      <c r="E133" s="49"/>
      <c r="F133" s="49"/>
      <c r="G133" s="49"/>
      <c r="H133" s="194"/>
      <c r="I133" s="194"/>
      <c r="J133" s="195">
        <f>SUMIFS(J134:J141,C134:C141,C133)</f>
        <v>100</v>
      </c>
      <c r="K133" s="196">
        <f>SUMIFS(K134:K141,C134:C141,C133)</f>
        <v>2969.6</v>
      </c>
      <c r="L133" s="194"/>
      <c r="M133" s="197">
        <f>SUMIFS(M134:M141,C134:C141,C133)</f>
        <v>23014.400000000001</v>
      </c>
      <c r="N133" s="203"/>
      <c r="O133" s="203"/>
      <c r="P133" s="204">
        <f>SUMIFS(P134:P141,C134:C141,C133)</f>
        <v>100</v>
      </c>
      <c r="Q133" s="205">
        <f>SUMIFS(Q134:Q141,C134:C141,C133)</f>
        <v>38.6</v>
      </c>
      <c r="R133" s="203"/>
      <c r="S133" s="205">
        <f>SUMIFS(S134:S141,C134:C141,C133)</f>
        <v>299.19</v>
      </c>
      <c r="T133" s="49"/>
      <c r="U133" s="49"/>
      <c r="V133" s="49"/>
      <c r="W133" s="49"/>
      <c r="X133" s="49"/>
    </row>
    <row r="134" spans="1:26" x14ac:dyDescent="0.25">
      <c r="A134" s="2" t="s">
        <v>500</v>
      </c>
      <c r="B134" s="8"/>
      <c r="C134" s="28" t="s">
        <v>178</v>
      </c>
      <c r="D134" s="28"/>
      <c r="E134" s="28"/>
      <c r="F134" s="167" t="s">
        <v>512</v>
      </c>
      <c r="G134" s="28" t="str">
        <f>CONCATENATE("USD,FLAT ",TEXT(F134,"0.00"))</f>
        <v>USD,FLAT 0.40</v>
      </c>
      <c r="H134" s="200">
        <f>K134/J134</f>
        <v>29.695999999999998</v>
      </c>
      <c r="I134" s="198" t="s">
        <v>22</v>
      </c>
      <c r="J134" s="199">
        <v>100</v>
      </c>
      <c r="K134" s="200">
        <f>ROUND(J134*F134*Y134,2)</f>
        <v>2969.6</v>
      </c>
      <c r="L134" s="198" t="str">
        <f>TEXT(IFERROR(((K134-K135)/K135*100),"0.00"),"0.00")</f>
        <v>0.00</v>
      </c>
      <c r="M134" s="200">
        <f>ROUND((10+J134*3)*Y134,2)</f>
        <v>23014.400000000001</v>
      </c>
      <c r="N134" s="36">
        <f>Q134/P134</f>
        <v>0.38600000000000001</v>
      </c>
      <c r="O134" s="31" t="s">
        <v>22</v>
      </c>
      <c r="P134" s="32">
        <v>100</v>
      </c>
      <c r="Q134" s="36">
        <f>ROUND(P134*F134*Y134*Z134,2)</f>
        <v>38.6</v>
      </c>
      <c r="R134" s="31" t="str">
        <f>TEXT(IFERROR(((Q134-Q135)/Q135*100),"0.00"),"0.00")</f>
        <v>0.00</v>
      </c>
      <c r="S134" s="36">
        <f>ROUND((10+P134*3)*Y134*Z134,2)</f>
        <v>299.19</v>
      </c>
      <c r="T134" s="33" t="s">
        <v>519</v>
      </c>
      <c r="U134" s="28" t="s">
        <v>190</v>
      </c>
      <c r="V134" s="28"/>
      <c r="W134" s="28"/>
      <c r="X134" s="28"/>
      <c r="Y134">
        <v>74.239999999999995</v>
      </c>
      <c r="Z134" s="169" t="s">
        <v>511</v>
      </c>
    </row>
    <row r="135" spans="1:26" x14ac:dyDescent="0.25">
      <c r="A135" s="8"/>
      <c r="B135" s="8"/>
      <c r="C135" s="31" t="s">
        <v>173</v>
      </c>
      <c r="D135" s="31"/>
      <c r="E135" s="31"/>
      <c r="F135" s="206" t="s">
        <v>512</v>
      </c>
      <c r="G135" s="31" t="str">
        <f>CONCATENATE("USD,FLAT ",TEXT(F135,"0.00"))</f>
        <v>USD,FLAT 0.40</v>
      </c>
      <c r="H135" s="200">
        <f>K135/J135</f>
        <v>29.695999999999998</v>
      </c>
      <c r="I135" s="198" t="s">
        <v>22</v>
      </c>
      <c r="J135" s="199">
        <v>100</v>
      </c>
      <c r="K135" s="200">
        <f>ROUND(J135*F135*Y135,2)</f>
        <v>2969.6</v>
      </c>
      <c r="L135" s="198"/>
      <c r="M135" s="200">
        <f>ROUND((10+J135*3)*Y135,2)</f>
        <v>23014.400000000001</v>
      </c>
      <c r="N135" s="36">
        <f>Q135/P135</f>
        <v>0.38600000000000001</v>
      </c>
      <c r="O135" s="31" t="s">
        <v>22</v>
      </c>
      <c r="P135" s="32">
        <v>100</v>
      </c>
      <c r="Q135" s="36">
        <f>ROUND(P135*F135*Y135*Z135,2)</f>
        <v>38.6</v>
      </c>
      <c r="R135" s="31"/>
      <c r="S135" s="36">
        <f>ROUND((10+P135*3)*Y135*Z135,2)</f>
        <v>299.19</v>
      </c>
      <c r="T135" s="31"/>
      <c r="U135" s="31"/>
      <c r="V135" s="31"/>
      <c r="W135" s="31"/>
      <c r="X135" s="31"/>
      <c r="Y135">
        <v>74.239999999999995</v>
      </c>
      <c r="Z135" s="169" t="s">
        <v>511</v>
      </c>
    </row>
    <row r="136" spans="1:26" x14ac:dyDescent="0.25">
      <c r="A136" s="8"/>
      <c r="B136" s="8"/>
      <c r="C136" s="40" t="s">
        <v>174</v>
      </c>
      <c r="D136" s="40"/>
      <c r="E136" s="40"/>
      <c r="F136" s="40"/>
      <c r="G136" s="40"/>
      <c r="H136" s="198"/>
      <c r="I136" s="198"/>
      <c r="J136" s="198"/>
      <c r="K136" s="200"/>
      <c r="L136" s="198"/>
      <c r="M136" s="198"/>
      <c r="N136" s="31"/>
      <c r="O136" s="31"/>
      <c r="P136" s="31"/>
      <c r="Q136" s="31"/>
      <c r="R136" s="31"/>
      <c r="S136" s="31"/>
      <c r="T136" s="40"/>
      <c r="U136" s="40"/>
      <c r="V136" s="40"/>
      <c r="W136" s="40"/>
      <c r="X136" s="40"/>
      <c r="Y136">
        <v>74.239999999999995</v>
      </c>
      <c r="Z136" s="169" t="s">
        <v>511</v>
      </c>
    </row>
    <row r="137" spans="1:26" x14ac:dyDescent="0.25">
      <c r="A137" s="8"/>
      <c r="B137" s="8"/>
      <c r="C137" s="41" t="s">
        <v>175</v>
      </c>
      <c r="D137" s="41"/>
      <c r="E137" s="41"/>
      <c r="F137" s="41"/>
      <c r="G137" s="41"/>
      <c r="H137" s="198"/>
      <c r="I137" s="198"/>
      <c r="J137" s="198"/>
      <c r="K137" s="200"/>
      <c r="L137" s="198"/>
      <c r="M137" s="198"/>
      <c r="N137" s="31"/>
      <c r="O137" s="31"/>
      <c r="P137" s="31"/>
      <c r="Q137" s="31"/>
      <c r="R137" s="31"/>
      <c r="S137" s="31"/>
      <c r="T137" s="41"/>
      <c r="U137" s="41"/>
      <c r="V137" s="41"/>
      <c r="W137" s="41"/>
      <c r="X137" s="41"/>
      <c r="Y137">
        <v>74.239999999999995</v>
      </c>
      <c r="Z137" s="169" t="s">
        <v>511</v>
      </c>
    </row>
    <row r="138" spans="1:26" x14ac:dyDescent="0.25">
      <c r="A138" s="2" t="s">
        <v>501</v>
      </c>
      <c r="B138" s="8"/>
      <c r="C138" s="28" t="s">
        <v>178</v>
      </c>
      <c r="D138" s="28"/>
      <c r="E138" s="28"/>
      <c r="F138" s="167" t="s">
        <v>513</v>
      </c>
      <c r="G138" s="28" t="str">
        <f>CONCATENATE("USD,FLAT ",TEXT(F138,"0.00"))</f>
        <v>USD,FLAT 0.60</v>
      </c>
      <c r="H138" s="200">
        <f>K138/J138</f>
        <v>44.54</v>
      </c>
      <c r="I138" s="198" t="s">
        <v>22</v>
      </c>
      <c r="J138" s="199">
        <v>1</v>
      </c>
      <c r="K138" s="200">
        <f>ROUND(J138*F138*Y138,2)</f>
        <v>44.54</v>
      </c>
      <c r="L138" s="198" t="str">
        <f>TEXT(IFERROR(((K138-K139)/K139*100),"0.00"),"0.00")</f>
        <v>0.00</v>
      </c>
      <c r="M138" s="200">
        <f>ROUND((10+J138*3)*Y138,2)</f>
        <v>965.12</v>
      </c>
      <c r="N138" s="36">
        <f>Q138/P138</f>
        <v>0.57999999999999996</v>
      </c>
      <c r="O138" s="31" t="s">
        <v>22</v>
      </c>
      <c r="P138" s="32">
        <v>1</v>
      </c>
      <c r="Q138" s="36">
        <f>ROUND(P138*F138*Y138*Z138,2)</f>
        <v>0.57999999999999996</v>
      </c>
      <c r="R138" s="31" t="str">
        <f>TEXT(IFERROR(((Q138-Q139)/Q139*100),"0.00"),"0.00")</f>
        <v>0.00</v>
      </c>
      <c r="S138" s="36">
        <f>ROUND((10+P138*3)*Y138*Z138,2)</f>
        <v>12.55</v>
      </c>
      <c r="T138" s="33" t="s">
        <v>519</v>
      </c>
      <c r="U138" s="28" t="s">
        <v>190</v>
      </c>
      <c r="V138" s="28" t="s">
        <v>476</v>
      </c>
      <c r="W138" s="28"/>
      <c r="X138" s="28"/>
      <c r="Y138">
        <v>74.239999999999995</v>
      </c>
      <c r="Z138" s="169" t="s">
        <v>511</v>
      </c>
    </row>
    <row r="139" spans="1:26" x14ac:dyDescent="0.25">
      <c r="A139" s="8"/>
      <c r="B139" s="8"/>
      <c r="C139" s="31" t="s">
        <v>173</v>
      </c>
      <c r="D139" s="31"/>
      <c r="E139" s="31"/>
      <c r="F139" s="31"/>
      <c r="G139" s="31"/>
      <c r="H139" s="201"/>
      <c r="I139" s="198"/>
      <c r="J139" s="199"/>
      <c r="K139" s="200"/>
      <c r="L139" s="198"/>
      <c r="M139" s="201"/>
      <c r="N139" s="36"/>
      <c r="O139" s="31"/>
      <c r="P139" s="32"/>
      <c r="Q139" s="36"/>
      <c r="R139" s="31"/>
      <c r="S139" s="36"/>
      <c r="T139" s="31"/>
      <c r="U139" s="31"/>
      <c r="V139" s="31"/>
      <c r="W139" s="31"/>
      <c r="X139" s="31"/>
      <c r="Y139">
        <v>74.239999999999995</v>
      </c>
      <c r="Z139" s="169" t="s">
        <v>511</v>
      </c>
    </row>
    <row r="140" spans="1:26" x14ac:dyDescent="0.25">
      <c r="A140" s="8"/>
      <c r="B140" s="8"/>
      <c r="C140" s="232" t="s">
        <v>174</v>
      </c>
      <c r="D140" s="232"/>
      <c r="E140" s="232"/>
      <c r="F140" s="239" t="s">
        <v>696</v>
      </c>
      <c r="G140" s="232" t="str">
        <f>CONCATENATE("USD,FLAT ",TEXT(F140,"0.00"))</f>
        <v>USD,FLAT 0.50</v>
      </c>
      <c r="H140" s="234">
        <f>K140/J140</f>
        <v>37.119999999999997</v>
      </c>
      <c r="I140" s="232" t="s">
        <v>22</v>
      </c>
      <c r="J140" s="235">
        <v>1</v>
      </c>
      <c r="K140" s="234">
        <f>ROUND(J140*F140*Y140,2)</f>
        <v>37.119999999999997</v>
      </c>
      <c r="L140" s="232" t="str">
        <f>TEXT(IFERROR(((K140-K141)/K141*100),"0.00"),"0.00")</f>
        <v>0.00</v>
      </c>
      <c r="M140" s="234">
        <f>ROUND((10+J140*3)*Y140,2)</f>
        <v>965.12</v>
      </c>
      <c r="N140" s="236">
        <f>Q140/P140</f>
        <v>0.48</v>
      </c>
      <c r="O140" s="232" t="s">
        <v>22</v>
      </c>
      <c r="P140" s="235">
        <v>1</v>
      </c>
      <c r="Q140" s="236">
        <f>ROUND(P140*F140*Y140*Z140,2)</f>
        <v>0.48</v>
      </c>
      <c r="R140" s="232" t="str">
        <f>TEXT(IFERROR(((Q140-Q141)/Q141*100),"0.00"),"0.00")</f>
        <v>0.00</v>
      </c>
      <c r="S140" s="236">
        <f>ROUND((10+P140*3)*Y140*Z140,2)</f>
        <v>12.55</v>
      </c>
      <c r="T140" s="40"/>
      <c r="U140" s="40"/>
      <c r="V140" s="40"/>
      <c r="W140" s="40"/>
      <c r="X140" s="40"/>
      <c r="Y140">
        <v>74.239999999999995</v>
      </c>
      <c r="Z140" s="169" t="s">
        <v>511</v>
      </c>
    </row>
    <row r="141" spans="1:26" x14ac:dyDescent="0.25">
      <c r="A141" s="8"/>
      <c r="B141" s="8"/>
      <c r="C141" s="41" t="s">
        <v>175</v>
      </c>
      <c r="D141" s="41"/>
      <c r="E141" s="41"/>
      <c r="F141" s="41"/>
      <c r="G141" s="41"/>
      <c r="H141" s="198"/>
      <c r="I141" s="198"/>
      <c r="J141" s="198"/>
      <c r="K141" s="200"/>
      <c r="L141" s="198"/>
      <c r="M141" s="198"/>
      <c r="N141" s="31"/>
      <c r="O141" s="31"/>
      <c r="P141" s="31"/>
      <c r="Q141" s="31"/>
      <c r="R141" s="31"/>
      <c r="S141" s="31"/>
      <c r="T141" s="41"/>
      <c r="U141" s="41"/>
      <c r="V141" s="41"/>
      <c r="W141" s="41"/>
      <c r="X141" s="41"/>
      <c r="Y141">
        <v>74.239999999999995</v>
      </c>
      <c r="Z141" s="169" t="s">
        <v>511</v>
      </c>
    </row>
    <row r="142" spans="1:26" x14ac:dyDescent="0.25">
      <c r="A142" s="49" t="s">
        <v>171</v>
      </c>
      <c r="B142" s="49"/>
      <c r="C142" s="49" t="s">
        <v>178</v>
      </c>
      <c r="D142" s="49"/>
      <c r="E142" s="49"/>
      <c r="F142" s="49"/>
      <c r="G142" s="49"/>
      <c r="H142" s="194"/>
      <c r="I142" s="194"/>
      <c r="J142" s="195">
        <f>SUMIFS(J144:J151,C144:C151,C142)</f>
        <v>2</v>
      </c>
      <c r="K142" s="196">
        <f>SUMIFS(K144:K151,C144:C151,C142)</f>
        <v>8336.41</v>
      </c>
      <c r="L142" s="194"/>
      <c r="M142" s="197">
        <f>SUMIFS(M144:M151,C144:C151,C142)</f>
        <v>1930.24</v>
      </c>
      <c r="N142" s="203"/>
      <c r="O142" s="203"/>
      <c r="P142" s="204">
        <f>SUMIFS(P144:P151,C144:C151,C142)</f>
        <v>2</v>
      </c>
      <c r="Q142" s="205">
        <f>SUMIFS(Q144:Q151,C144:C151,C142)</f>
        <v>108.36999999999999</v>
      </c>
      <c r="R142" s="203"/>
      <c r="S142" s="205">
        <f>ROUND(SUMIFS(S144:S151,C144:C151,C142),2)</f>
        <v>25.1</v>
      </c>
      <c r="T142" s="49"/>
      <c r="U142" s="49"/>
      <c r="V142" s="49"/>
      <c r="W142" s="49"/>
      <c r="X142" s="49"/>
      <c r="Y142">
        <v>74.239999999999995</v>
      </c>
      <c r="Z142" s="169" t="s">
        <v>511</v>
      </c>
    </row>
    <row r="143" spans="1:26" x14ac:dyDescent="0.25">
      <c r="A143" s="49" t="s">
        <v>171</v>
      </c>
      <c r="B143" s="49"/>
      <c r="C143" s="49" t="s">
        <v>173</v>
      </c>
      <c r="D143" s="49"/>
      <c r="E143" s="49"/>
      <c r="F143" s="49"/>
      <c r="G143" s="49"/>
      <c r="H143" s="194"/>
      <c r="I143" s="194"/>
      <c r="J143" s="195">
        <f>SUMIFS(J144:J151,C144:C151,C143)</f>
        <v>0</v>
      </c>
      <c r="K143" s="196">
        <f>SUMIFS(K144:K151,C144:C151,C143)</f>
        <v>0</v>
      </c>
      <c r="L143" s="194"/>
      <c r="M143" s="197">
        <f>SUMIFS(M144:M151,C144:C151,C143)</f>
        <v>0</v>
      </c>
      <c r="N143" s="203"/>
      <c r="O143" s="203"/>
      <c r="P143" s="204">
        <f>SUMIFS(P144:P151,C144:C151,C143)</f>
        <v>0</v>
      </c>
      <c r="Q143" s="205">
        <f>SUMIFS(Q144:Q151,C144:C151,C143)</f>
        <v>0</v>
      </c>
      <c r="R143" s="203"/>
      <c r="S143" s="205">
        <f>SUMIFS(S144:S151,C144:C151,C143)</f>
        <v>0</v>
      </c>
      <c r="T143" s="49"/>
      <c r="U143" s="49"/>
      <c r="V143" s="49"/>
      <c r="W143" s="49"/>
      <c r="X143" s="49"/>
      <c r="Y143">
        <v>74.239999999999995</v>
      </c>
      <c r="Z143" s="169" t="s">
        <v>511</v>
      </c>
    </row>
    <row r="144" spans="1:26" x14ac:dyDescent="0.25">
      <c r="A144" s="2" t="s">
        <v>502</v>
      </c>
      <c r="B144" s="8"/>
      <c r="C144" s="28" t="s">
        <v>178</v>
      </c>
      <c r="D144" s="28"/>
      <c r="E144" s="28"/>
      <c r="F144" s="168" t="s">
        <v>290</v>
      </c>
      <c r="G144" s="28" t="str">
        <f>CONCATENATE("USD,FLAT ",TEXT(F144,"0.00"))</f>
        <v>USD,FLAT 0.25</v>
      </c>
      <c r="H144" s="200">
        <f>K144/J144</f>
        <v>18.559999999999999</v>
      </c>
      <c r="I144" s="198" t="s">
        <v>22</v>
      </c>
      <c r="J144" s="199">
        <v>1</v>
      </c>
      <c r="K144" s="200">
        <f>ROUND(J144*F144*Y144,2)</f>
        <v>18.559999999999999</v>
      </c>
      <c r="L144" s="198" t="str">
        <f>TEXT(IFERROR(((K144-K145)/K145*100),"0.00"),"0.00")</f>
        <v>0.00</v>
      </c>
      <c r="M144" s="200">
        <f>ROUND((10+J144*3)*Y144,2)</f>
        <v>965.12</v>
      </c>
      <c r="N144" s="36">
        <f>Q144/P144</f>
        <v>0.24</v>
      </c>
      <c r="O144" s="31" t="s">
        <v>22</v>
      </c>
      <c r="P144" s="32">
        <v>1</v>
      </c>
      <c r="Q144" s="36">
        <f>ROUND(P144*F144*Y144*Z144,2)</f>
        <v>0.24</v>
      </c>
      <c r="R144" s="31" t="str">
        <f>TEXT(IFERROR(((Q144-Q145)/Q145*100),"0.00"),"0.00")</f>
        <v>0.00</v>
      </c>
      <c r="S144" s="36">
        <f>ROUND((10+P144*3)*Y144*Z144,2)</f>
        <v>12.55</v>
      </c>
      <c r="T144" s="33" t="s">
        <v>519</v>
      </c>
      <c r="U144" s="28"/>
      <c r="V144" s="28"/>
      <c r="W144" s="28"/>
      <c r="X144" s="28"/>
      <c r="Y144">
        <v>74.239999999999995</v>
      </c>
      <c r="Z144" s="169" t="s">
        <v>511</v>
      </c>
    </row>
    <row r="145" spans="1:26" x14ac:dyDescent="0.25">
      <c r="A145" s="8"/>
      <c r="B145" s="8"/>
      <c r="C145" s="31" t="s">
        <v>173</v>
      </c>
      <c r="D145" s="31"/>
      <c r="E145" s="31"/>
      <c r="F145" s="31"/>
      <c r="G145" s="31"/>
      <c r="H145" s="201"/>
      <c r="I145" s="198"/>
      <c r="J145" s="199"/>
      <c r="K145" s="200"/>
      <c r="L145" s="198"/>
      <c r="M145" s="201"/>
      <c r="N145" s="36"/>
      <c r="O145" s="31"/>
      <c r="P145" s="32"/>
      <c r="Q145" s="38"/>
      <c r="R145" s="31"/>
      <c r="S145" s="36"/>
      <c r="T145" s="31"/>
      <c r="U145" s="31"/>
      <c r="V145" s="31"/>
      <c r="W145" s="31"/>
      <c r="X145" s="31"/>
      <c r="Y145">
        <v>74.239999999999995</v>
      </c>
      <c r="Z145" s="169" t="s">
        <v>511</v>
      </c>
    </row>
    <row r="146" spans="1:26" x14ac:dyDescent="0.25">
      <c r="A146" s="8"/>
      <c r="B146" s="8"/>
      <c r="C146" s="40" t="s">
        <v>174</v>
      </c>
      <c r="D146" s="40"/>
      <c r="E146" s="40"/>
      <c r="F146" s="40"/>
      <c r="G146" s="40"/>
      <c r="H146" s="198"/>
      <c r="I146" s="198"/>
      <c r="J146" s="198"/>
      <c r="K146" s="200"/>
      <c r="L146" s="198"/>
      <c r="M146" s="198"/>
      <c r="N146" s="31"/>
      <c r="O146" s="31"/>
      <c r="P146" s="31"/>
      <c r="Q146" s="38"/>
      <c r="R146" s="31"/>
      <c r="S146" s="31"/>
      <c r="T146" s="40"/>
      <c r="U146" s="40"/>
      <c r="V146" s="40"/>
      <c r="W146" s="40"/>
      <c r="X146" s="40"/>
      <c r="Y146">
        <v>74.239999999999995</v>
      </c>
      <c r="Z146" s="169" t="s">
        <v>511</v>
      </c>
    </row>
    <row r="147" spans="1:26" x14ac:dyDescent="0.25">
      <c r="A147" s="8"/>
      <c r="B147" s="8"/>
      <c r="C147" s="41" t="s">
        <v>175</v>
      </c>
      <c r="D147" s="41"/>
      <c r="E147" s="41"/>
      <c r="F147" s="41"/>
      <c r="G147" s="41"/>
      <c r="H147" s="198"/>
      <c r="I147" s="198"/>
      <c r="J147" s="198"/>
      <c r="K147" s="200"/>
      <c r="L147" s="198"/>
      <c r="M147" s="198"/>
      <c r="N147" s="31"/>
      <c r="O147" s="31"/>
      <c r="P147" s="31"/>
      <c r="Q147" s="38"/>
      <c r="R147" s="31"/>
      <c r="S147" s="31"/>
      <c r="T147" s="41"/>
      <c r="U147" s="41"/>
      <c r="V147" s="41"/>
      <c r="W147" s="41"/>
      <c r="X147" s="41"/>
      <c r="Y147">
        <v>74.239999999999995</v>
      </c>
      <c r="Z147" s="169" t="s">
        <v>511</v>
      </c>
    </row>
    <row r="148" spans="1:26" x14ac:dyDescent="0.25">
      <c r="A148" s="2" t="s">
        <v>503</v>
      </c>
      <c r="B148" s="8"/>
      <c r="C148" s="28" t="s">
        <v>178</v>
      </c>
      <c r="D148" s="28"/>
      <c r="E148" s="28"/>
      <c r="F148" s="29">
        <v>112.04</v>
      </c>
      <c r="G148" s="28" t="str">
        <f>CONCATENATE("USD,FLAT ",TEXT(F148,"0.00"))</f>
        <v>USD,FLAT 112.04</v>
      </c>
      <c r="H148" s="200">
        <f>K148/J148</f>
        <v>8317.85</v>
      </c>
      <c r="I148" s="198" t="s">
        <v>22</v>
      </c>
      <c r="J148" s="199">
        <v>1</v>
      </c>
      <c r="K148" s="200">
        <f>ROUND(J148*F148*Y148,2)</f>
        <v>8317.85</v>
      </c>
      <c r="L148" s="198" t="str">
        <f>TEXT(IFERROR(((K148-K149)/K149*100),"0.00"),"0.00")</f>
        <v>0.00</v>
      </c>
      <c r="M148" s="200">
        <f>ROUND((10+J148*3)*Y148,2)</f>
        <v>965.12</v>
      </c>
      <c r="N148" s="36">
        <f>Q148/P148</f>
        <v>108.13</v>
      </c>
      <c r="O148" s="31" t="s">
        <v>22</v>
      </c>
      <c r="P148" s="32">
        <v>1</v>
      </c>
      <c r="Q148" s="36">
        <f>ROUND(P148*F148*Y148*Z148,2)</f>
        <v>108.13</v>
      </c>
      <c r="R148" s="31" t="str">
        <f>TEXT(IFERROR(((Q148-Q149)/Q149*100),"0.00"),"0.00")</f>
        <v>0.00</v>
      </c>
      <c r="S148" s="36">
        <f>ROUND((10+P148*3)*Y148*Z148,2)</f>
        <v>12.55</v>
      </c>
      <c r="T148" s="33" t="s">
        <v>519</v>
      </c>
      <c r="U148" s="28" t="s">
        <v>190</v>
      </c>
      <c r="V148" s="28" t="s">
        <v>473</v>
      </c>
      <c r="W148" s="28" t="s">
        <v>637</v>
      </c>
      <c r="X148" s="28"/>
      <c r="Y148">
        <v>74.239999999999995</v>
      </c>
      <c r="Z148" s="169" t="s">
        <v>511</v>
      </c>
    </row>
    <row r="149" spans="1:26" x14ac:dyDescent="0.25">
      <c r="A149" s="8"/>
      <c r="B149" s="8"/>
      <c r="C149" s="31" t="s">
        <v>173</v>
      </c>
      <c r="D149" s="31"/>
      <c r="E149" s="31"/>
      <c r="F149" s="31"/>
      <c r="G149" s="31"/>
      <c r="H149" s="201"/>
      <c r="I149" s="198"/>
      <c r="J149" s="199"/>
      <c r="K149" s="200"/>
      <c r="L149" s="198"/>
      <c r="M149" s="198"/>
      <c r="N149" s="36"/>
      <c r="O149" s="31"/>
      <c r="P149" s="32"/>
      <c r="Q149" s="38"/>
      <c r="R149" s="31"/>
      <c r="S149" s="31"/>
      <c r="T149" s="31"/>
      <c r="U149" s="31"/>
      <c r="V149" s="31"/>
      <c r="W149" s="31"/>
      <c r="X149" s="31"/>
      <c r="Y149">
        <v>74.239999999999995</v>
      </c>
      <c r="Z149" s="169" t="s">
        <v>511</v>
      </c>
    </row>
    <row r="150" spans="1:26" x14ac:dyDescent="0.25">
      <c r="A150" s="8"/>
      <c r="B150" s="8"/>
      <c r="C150" s="40" t="s">
        <v>174</v>
      </c>
      <c r="D150" s="40"/>
      <c r="E150" s="40"/>
      <c r="F150" s="40"/>
      <c r="G150" s="40"/>
      <c r="H150" s="198"/>
      <c r="I150" s="198"/>
      <c r="J150" s="198"/>
      <c r="K150" s="200"/>
      <c r="L150" s="198"/>
      <c r="M150" s="198"/>
      <c r="N150" s="31"/>
      <c r="O150" s="31"/>
      <c r="P150" s="31"/>
      <c r="Q150" s="38"/>
      <c r="R150" s="31"/>
      <c r="S150" s="31"/>
      <c r="T150" s="40"/>
      <c r="U150" s="40"/>
      <c r="V150" s="40"/>
      <c r="W150" s="40"/>
      <c r="X150" s="40"/>
      <c r="Y150">
        <v>74.239999999999995</v>
      </c>
      <c r="Z150" s="169" t="s">
        <v>511</v>
      </c>
    </row>
    <row r="151" spans="1:26" x14ac:dyDescent="0.25">
      <c r="A151" s="8"/>
      <c r="B151" s="8"/>
      <c r="C151" s="41" t="s">
        <v>175</v>
      </c>
      <c r="D151" s="41"/>
      <c r="E151" s="41"/>
      <c r="F151" s="41"/>
      <c r="G151" s="41"/>
      <c r="H151" s="198"/>
      <c r="I151" s="198"/>
      <c r="J151" s="198"/>
      <c r="K151" s="200"/>
      <c r="L151" s="198"/>
      <c r="M151" s="198"/>
      <c r="N151" s="31"/>
      <c r="O151" s="31"/>
      <c r="P151" s="31"/>
      <c r="Q151" s="38"/>
      <c r="R151" s="31"/>
      <c r="S151" s="31"/>
      <c r="T151" s="41"/>
      <c r="U151" s="41"/>
      <c r="V151" s="41"/>
      <c r="W151" s="41"/>
      <c r="X151" s="41"/>
      <c r="Y151">
        <v>74.239999999999995</v>
      </c>
      <c r="Z151" s="169" t="s">
        <v>511</v>
      </c>
    </row>
    <row r="152" spans="1:26" x14ac:dyDescent="0.25">
      <c r="A152" s="49" t="s">
        <v>630</v>
      </c>
      <c r="B152" s="49"/>
      <c r="C152" s="49" t="s">
        <v>178</v>
      </c>
      <c r="D152" s="49"/>
      <c r="E152" s="49"/>
      <c r="F152" s="49"/>
      <c r="G152" s="49"/>
      <c r="H152" s="194"/>
      <c r="I152" s="194"/>
      <c r="J152" s="195">
        <f>SUMIFS(J154:J181,C154:C181,C152)</f>
        <v>205</v>
      </c>
      <c r="K152" s="196">
        <f>SUMIFS(K154:K181,C154:C181,C152)</f>
        <v>380480</v>
      </c>
      <c r="L152" s="194"/>
      <c r="M152" s="197">
        <f>SUMIFS(M154:M181,C154:C181,C152)</f>
        <v>50854.400000000001</v>
      </c>
      <c r="N152" s="203"/>
      <c r="O152" s="203"/>
      <c r="P152" s="204">
        <f>SUMIFS(P154:P181,C154:C181,C152)</f>
        <v>205</v>
      </c>
      <c r="Q152" s="205">
        <f>SUMIFS(Q154:Q181,C154:C181,C152)</f>
        <v>4946.25</v>
      </c>
      <c r="R152" s="203"/>
      <c r="S152" s="205">
        <f>SUMIFS(S154:S181,C154:C181,C152)</f>
        <v>661.13</v>
      </c>
      <c r="T152" s="49"/>
      <c r="U152" s="49"/>
      <c r="V152" s="49"/>
      <c r="W152" s="49"/>
      <c r="X152" s="49"/>
      <c r="Y152">
        <v>74.239999999999995</v>
      </c>
      <c r="Z152" s="169" t="s">
        <v>511</v>
      </c>
    </row>
    <row r="153" spans="1:26" x14ac:dyDescent="0.25">
      <c r="A153" s="49" t="s">
        <v>630</v>
      </c>
      <c r="B153" s="49"/>
      <c r="C153" s="49" t="s">
        <v>173</v>
      </c>
      <c r="D153" s="49"/>
      <c r="E153" s="49"/>
      <c r="F153" s="49"/>
      <c r="G153" s="49"/>
      <c r="H153" s="194"/>
      <c r="I153" s="194"/>
      <c r="J153" s="195">
        <f>SUMIFS(J154:J181,C154:C181,C153)</f>
        <v>200</v>
      </c>
      <c r="K153" s="196">
        <f>SUMIFS(K154:K181,C154:C181,C153)</f>
        <v>371200</v>
      </c>
      <c r="L153" s="194"/>
      <c r="M153" s="197">
        <f>SUMIFS(M154:M181,C154:C181,C153)</f>
        <v>46028.800000000003</v>
      </c>
      <c r="N153" s="203"/>
      <c r="O153" s="203"/>
      <c r="P153" s="204">
        <f>SUMIFS(P154:P181,C154:C181,C153)</f>
        <v>200</v>
      </c>
      <c r="Q153" s="205">
        <f>SUMIFS(Q154:Q181,C154:C181,C153)</f>
        <v>4825.6000000000004</v>
      </c>
      <c r="R153" s="203"/>
      <c r="S153" s="205">
        <f>SUMIFS(S154:S181,C154:C181,C153)</f>
        <v>598.38</v>
      </c>
      <c r="T153" s="49"/>
      <c r="U153" s="49"/>
      <c r="V153" s="49"/>
      <c r="W153" s="49"/>
      <c r="X153" s="49"/>
      <c r="Y153">
        <v>74.239999999999995</v>
      </c>
      <c r="Z153" s="169" t="s">
        <v>511</v>
      </c>
    </row>
    <row r="154" spans="1:26" x14ac:dyDescent="0.25">
      <c r="A154" s="209" t="s">
        <v>598</v>
      </c>
      <c r="B154" s="8"/>
      <c r="C154" s="28" t="s">
        <v>178</v>
      </c>
      <c r="D154" s="28"/>
      <c r="E154" s="28"/>
      <c r="F154" s="168">
        <v>25</v>
      </c>
      <c r="G154" s="28" t="str">
        <f>CONCATENATE("USD,FLAT ",TEXT(F154,"0.00"))</f>
        <v>USD,FLAT 25.00</v>
      </c>
      <c r="H154" s="200">
        <f>K154/J154</f>
        <v>1856</v>
      </c>
      <c r="I154" s="198" t="s">
        <v>22</v>
      </c>
      <c r="J154" s="199">
        <v>1</v>
      </c>
      <c r="K154" s="200">
        <f>ROUND(J154*F154*Y154,2)</f>
        <v>1856</v>
      </c>
      <c r="L154" s="198" t="str">
        <f>TEXT(IFERROR(((K154-K155)/K155*100),"0.00"),"0.00")</f>
        <v>0.00</v>
      </c>
      <c r="M154" s="200">
        <f>ROUND((10+J154*3)*Y154,2)</f>
        <v>965.12</v>
      </c>
      <c r="N154" s="36">
        <f>Q154/P154</f>
        <v>24.13</v>
      </c>
      <c r="O154" s="31" t="s">
        <v>22</v>
      </c>
      <c r="P154" s="32">
        <v>1</v>
      </c>
      <c r="Q154" s="36">
        <f>ROUND(P154*F154*Y154*Z154,2)</f>
        <v>24.13</v>
      </c>
      <c r="R154" s="31" t="str">
        <f>TEXT(IFERROR(((Q154-Q155)/Q155*100),"0.00"),"0.00")</f>
        <v>0.00</v>
      </c>
      <c r="S154" s="36">
        <f>ROUND((10+P154*3)*Y154*Z154,2)</f>
        <v>12.55</v>
      </c>
      <c r="T154" s="33" t="s">
        <v>634</v>
      </c>
      <c r="U154" s="28" t="s">
        <v>190</v>
      </c>
      <c r="V154" s="28" t="s">
        <v>473</v>
      </c>
      <c r="W154" s="28" t="s">
        <v>637</v>
      </c>
      <c r="X154" s="28"/>
      <c r="Y154">
        <v>74.239999999999995</v>
      </c>
      <c r="Z154" s="169" t="s">
        <v>511</v>
      </c>
    </row>
    <row r="155" spans="1:26" x14ac:dyDescent="0.25">
      <c r="A155" s="8"/>
      <c r="B155" s="8"/>
      <c r="C155" s="31" t="s">
        <v>173</v>
      </c>
      <c r="D155" s="31"/>
      <c r="E155" s="31"/>
      <c r="F155" s="31"/>
      <c r="G155" s="31"/>
      <c r="H155" s="201"/>
      <c r="I155" s="198"/>
      <c r="J155" s="199"/>
      <c r="K155" s="200"/>
      <c r="L155" s="198"/>
      <c r="M155" s="201"/>
      <c r="N155" s="36"/>
      <c r="O155" s="31"/>
      <c r="P155" s="32"/>
      <c r="Q155" s="38"/>
      <c r="R155" s="31"/>
      <c r="S155" s="36"/>
      <c r="T155" s="31"/>
      <c r="U155" s="31"/>
      <c r="V155" s="31"/>
      <c r="W155" s="31"/>
      <c r="X155" s="31"/>
      <c r="Y155">
        <v>74.239999999999995</v>
      </c>
      <c r="Z155" s="169" t="s">
        <v>511</v>
      </c>
    </row>
    <row r="156" spans="1:26" x14ac:dyDescent="0.25">
      <c r="A156" s="8"/>
      <c r="B156" s="8"/>
      <c r="C156" s="40" t="s">
        <v>174</v>
      </c>
      <c r="D156" s="40"/>
      <c r="E156" s="40"/>
      <c r="F156" s="40"/>
      <c r="G156" s="40"/>
      <c r="H156" s="198"/>
      <c r="I156" s="198"/>
      <c r="J156" s="198"/>
      <c r="K156" s="200"/>
      <c r="L156" s="198"/>
      <c r="M156" s="198"/>
      <c r="N156" s="31"/>
      <c r="O156" s="31"/>
      <c r="P156" s="31"/>
      <c r="Q156" s="38"/>
      <c r="R156" s="31"/>
      <c r="S156" s="31"/>
      <c r="T156" s="40"/>
      <c r="U156" s="40"/>
      <c r="V156" s="40"/>
      <c r="W156" s="40"/>
      <c r="X156" s="40"/>
      <c r="Y156">
        <v>74.239999999999995</v>
      </c>
      <c r="Z156" s="169" t="s">
        <v>511</v>
      </c>
    </row>
    <row r="157" spans="1:26" x14ac:dyDescent="0.25">
      <c r="A157" s="8"/>
      <c r="B157" s="8"/>
      <c r="C157" s="41" t="s">
        <v>175</v>
      </c>
      <c r="D157" s="41"/>
      <c r="E157" s="41"/>
      <c r="F157" s="41"/>
      <c r="G157" s="41"/>
      <c r="H157" s="198"/>
      <c r="I157" s="198"/>
      <c r="J157" s="198"/>
      <c r="K157" s="200"/>
      <c r="L157" s="198"/>
      <c r="M157" s="198"/>
      <c r="N157" s="31"/>
      <c r="O157" s="31"/>
      <c r="P157" s="31"/>
      <c r="Q157" s="38"/>
      <c r="R157" s="31"/>
      <c r="S157" s="31"/>
      <c r="T157" s="41"/>
      <c r="U157" s="41"/>
      <c r="V157" s="41"/>
      <c r="W157" s="41"/>
      <c r="X157" s="41"/>
      <c r="Y157">
        <v>74.239999999999995</v>
      </c>
      <c r="Z157" s="169" t="s">
        <v>511</v>
      </c>
    </row>
    <row r="158" spans="1:26" x14ac:dyDescent="0.25">
      <c r="A158" s="8" t="s">
        <v>590</v>
      </c>
      <c r="B158" s="8"/>
      <c r="C158" s="28" t="s">
        <v>178</v>
      </c>
      <c r="D158" s="28"/>
      <c r="E158" s="28"/>
      <c r="F158" s="168">
        <v>25</v>
      </c>
      <c r="G158" s="28" t="str">
        <f>CONCATENATE("USD,FLAT ",TEXT(F158,"0.00"))</f>
        <v>USD,FLAT 25.00</v>
      </c>
      <c r="H158" s="200">
        <f>K158/J158</f>
        <v>1856</v>
      </c>
      <c r="I158" s="198" t="s">
        <v>22</v>
      </c>
      <c r="J158" s="199">
        <v>1</v>
      </c>
      <c r="K158" s="200">
        <f>ROUND(J158*F158*Y158,2)</f>
        <v>1856</v>
      </c>
      <c r="L158" s="198" t="str">
        <f>TEXT(IFERROR(((K158-K159)/K159*100),"0.00"),"0.00")</f>
        <v>0.00</v>
      </c>
      <c r="M158" s="200">
        <f>ROUND((10+J158*3)*Y158,2)</f>
        <v>965.12</v>
      </c>
      <c r="N158" s="36">
        <f>Q158/P158</f>
        <v>24.13</v>
      </c>
      <c r="O158" s="31" t="s">
        <v>22</v>
      </c>
      <c r="P158" s="32">
        <v>1</v>
      </c>
      <c r="Q158" s="36">
        <f>ROUND(P158*F158*Y158*Z158,2)</f>
        <v>24.13</v>
      </c>
      <c r="R158" s="31" t="str">
        <f>TEXT(IFERROR(((Q158-Q159)/Q159*100),"0.00"),"0.00")</f>
        <v>0.00</v>
      </c>
      <c r="S158" s="36">
        <f>ROUND((10+P158*3)*Y158*Z158,2)</f>
        <v>12.55</v>
      </c>
      <c r="T158" s="33" t="s">
        <v>635</v>
      </c>
      <c r="U158" s="28" t="s">
        <v>190</v>
      </c>
      <c r="V158" s="28" t="s">
        <v>473</v>
      </c>
      <c r="W158" s="28" t="s">
        <v>637</v>
      </c>
      <c r="X158" s="28"/>
      <c r="Y158">
        <v>74.239999999999995</v>
      </c>
      <c r="Z158" s="169" t="s">
        <v>511</v>
      </c>
    </row>
    <row r="159" spans="1:26" x14ac:dyDescent="0.25">
      <c r="A159" s="8"/>
      <c r="B159" s="8"/>
      <c r="C159" s="31" t="s">
        <v>173</v>
      </c>
      <c r="D159" s="31"/>
      <c r="E159" s="31"/>
      <c r="F159" s="31"/>
      <c r="G159" s="31"/>
      <c r="H159" s="201"/>
      <c r="I159" s="198"/>
      <c r="J159" s="199"/>
      <c r="K159" s="200"/>
      <c r="L159" s="198"/>
      <c r="M159" s="201"/>
      <c r="N159" s="36"/>
      <c r="O159" s="31"/>
      <c r="P159" s="32"/>
      <c r="Q159" s="38"/>
      <c r="R159" s="31"/>
      <c r="S159" s="36"/>
      <c r="T159" s="31"/>
      <c r="U159" s="31"/>
      <c r="V159" s="31"/>
      <c r="W159" s="31"/>
      <c r="X159" s="31"/>
      <c r="Y159">
        <v>74.239999999999995</v>
      </c>
      <c r="Z159" s="169" t="s">
        <v>511</v>
      </c>
    </row>
    <row r="160" spans="1:26" x14ac:dyDescent="0.25">
      <c r="A160" s="8"/>
      <c r="B160" s="8"/>
      <c r="C160" s="40" t="s">
        <v>174</v>
      </c>
      <c r="D160" s="40"/>
      <c r="E160" s="40"/>
      <c r="F160" s="40"/>
      <c r="G160" s="40"/>
      <c r="H160" s="198"/>
      <c r="I160" s="198"/>
      <c r="J160" s="198"/>
      <c r="K160" s="200"/>
      <c r="L160" s="198"/>
      <c r="M160" s="198"/>
      <c r="N160" s="31"/>
      <c r="O160" s="31"/>
      <c r="P160" s="31"/>
      <c r="Q160" s="38"/>
      <c r="R160" s="31"/>
      <c r="S160" s="31"/>
      <c r="T160" s="40"/>
      <c r="U160" s="40"/>
      <c r="V160" s="40"/>
      <c r="W160" s="40"/>
      <c r="X160" s="40"/>
      <c r="Y160">
        <v>74.239999999999995</v>
      </c>
      <c r="Z160" s="169" t="s">
        <v>511</v>
      </c>
    </row>
    <row r="161" spans="1:26" x14ac:dyDescent="0.25">
      <c r="A161" s="8"/>
      <c r="B161" s="8"/>
      <c r="C161" s="41" t="s">
        <v>175</v>
      </c>
      <c r="D161" s="41"/>
      <c r="E161" s="41"/>
      <c r="F161" s="41"/>
      <c r="G161" s="41"/>
      <c r="H161" s="198"/>
      <c r="I161" s="198"/>
      <c r="J161" s="198"/>
      <c r="K161" s="200"/>
      <c r="L161" s="198"/>
      <c r="M161" s="198"/>
      <c r="N161" s="31"/>
      <c r="O161" s="31"/>
      <c r="P161" s="31"/>
      <c r="Q161" s="38"/>
      <c r="R161" s="31"/>
      <c r="S161" s="31"/>
      <c r="T161" s="41"/>
      <c r="U161" s="41"/>
      <c r="V161" s="41"/>
      <c r="W161" s="41"/>
      <c r="X161" s="41"/>
      <c r="Y161">
        <v>74.239999999999995</v>
      </c>
      <c r="Z161" s="169" t="s">
        <v>511</v>
      </c>
    </row>
    <row r="162" spans="1:26" x14ac:dyDescent="0.25">
      <c r="A162" s="2" t="s">
        <v>591</v>
      </c>
      <c r="B162" s="8"/>
      <c r="C162" s="28" t="s">
        <v>178</v>
      </c>
      <c r="D162" s="28"/>
      <c r="E162" s="28"/>
      <c r="F162" s="168">
        <v>25</v>
      </c>
      <c r="G162" s="28" t="str">
        <f>CONCATENATE("USD,FLAT ",TEXT(F162,"0.00"))</f>
        <v>USD,FLAT 25.00</v>
      </c>
      <c r="H162" s="200">
        <f>K162/J162</f>
        <v>1856</v>
      </c>
      <c r="I162" s="198" t="s">
        <v>22</v>
      </c>
      <c r="J162" s="199">
        <v>1</v>
      </c>
      <c r="K162" s="200">
        <f>ROUND(J162*F162*Y162,2)</f>
        <v>1856</v>
      </c>
      <c r="L162" s="198" t="str">
        <f>TEXT(IFERROR(((K162-K163)/K163*100),"0.00"),"0.00")</f>
        <v>0.00</v>
      </c>
      <c r="M162" s="200">
        <f>ROUND((10+J162*3)*Y162,2)</f>
        <v>965.12</v>
      </c>
      <c r="N162" s="36">
        <f>Q162/P162</f>
        <v>24.13</v>
      </c>
      <c r="O162" s="31" t="s">
        <v>22</v>
      </c>
      <c r="P162" s="32">
        <v>1</v>
      </c>
      <c r="Q162" s="36">
        <f>ROUND(P162*F162*Y162*Z162,2)</f>
        <v>24.13</v>
      </c>
      <c r="R162" s="31" t="str">
        <f>TEXT(IFERROR(((Q162-Q163)/Q163*100),"0.00"),"0.00")</f>
        <v>0.00</v>
      </c>
      <c r="S162" s="36">
        <f>ROUND((10+P162*3)*Y162*Z162,2)</f>
        <v>12.55</v>
      </c>
      <c r="T162" s="33" t="s">
        <v>635</v>
      </c>
      <c r="U162" s="28" t="s">
        <v>190</v>
      </c>
      <c r="V162" s="28" t="s">
        <v>473</v>
      </c>
      <c r="W162" s="28" t="s">
        <v>637</v>
      </c>
      <c r="X162" s="28"/>
      <c r="Y162">
        <v>74.239999999999995</v>
      </c>
      <c r="Z162" s="169" t="s">
        <v>511</v>
      </c>
    </row>
    <row r="163" spans="1:26" x14ac:dyDescent="0.25">
      <c r="A163" s="8"/>
      <c r="B163" s="8"/>
      <c r="C163" s="31" t="s">
        <v>173</v>
      </c>
      <c r="D163" s="31"/>
      <c r="E163" s="31"/>
      <c r="F163" s="31"/>
      <c r="G163" s="31"/>
      <c r="H163" s="201"/>
      <c r="I163" s="198"/>
      <c r="J163" s="199"/>
      <c r="K163" s="200"/>
      <c r="L163" s="198"/>
      <c r="M163" s="201"/>
      <c r="N163" s="36"/>
      <c r="O163" s="31"/>
      <c r="P163" s="32"/>
      <c r="Q163" s="38"/>
      <c r="R163" s="31"/>
      <c r="S163" s="36"/>
      <c r="T163" s="31"/>
      <c r="U163" s="31"/>
      <c r="V163" s="31"/>
      <c r="W163" s="31"/>
      <c r="X163" s="31"/>
      <c r="Y163">
        <v>74.239999999999995</v>
      </c>
      <c r="Z163" s="169" t="s">
        <v>511</v>
      </c>
    </row>
    <row r="164" spans="1:26" x14ac:dyDescent="0.25">
      <c r="A164" s="8"/>
      <c r="B164" s="8"/>
      <c r="C164" s="40" t="s">
        <v>174</v>
      </c>
      <c r="D164" s="40"/>
      <c r="E164" s="40"/>
      <c r="F164" s="40"/>
      <c r="G164" s="40"/>
      <c r="H164" s="198"/>
      <c r="I164" s="198"/>
      <c r="J164" s="198"/>
      <c r="K164" s="200"/>
      <c r="L164" s="198"/>
      <c r="M164" s="198"/>
      <c r="N164" s="31"/>
      <c r="O164" s="31"/>
      <c r="P164" s="31"/>
      <c r="Q164" s="38"/>
      <c r="R164" s="31"/>
      <c r="S164" s="31"/>
      <c r="T164" s="40"/>
      <c r="U164" s="40"/>
      <c r="V164" s="40"/>
      <c r="W164" s="40"/>
      <c r="X164" s="40"/>
      <c r="Y164">
        <v>74.239999999999995</v>
      </c>
      <c r="Z164" s="169" t="s">
        <v>511</v>
      </c>
    </row>
    <row r="165" spans="1:26" x14ac:dyDescent="0.25">
      <c r="A165" s="8"/>
      <c r="B165" s="8"/>
      <c r="C165" s="41" t="s">
        <v>175</v>
      </c>
      <c r="D165" s="41"/>
      <c r="E165" s="41"/>
      <c r="F165" s="41"/>
      <c r="G165" s="41"/>
      <c r="H165" s="198"/>
      <c r="I165" s="198"/>
      <c r="J165" s="198"/>
      <c r="K165" s="200"/>
      <c r="L165" s="198"/>
      <c r="M165" s="198"/>
      <c r="N165" s="31"/>
      <c r="O165" s="31"/>
      <c r="P165" s="31"/>
      <c r="Q165" s="38"/>
      <c r="R165" s="31"/>
      <c r="S165" s="31"/>
      <c r="T165" s="41"/>
      <c r="U165" s="41"/>
      <c r="V165" s="41"/>
      <c r="W165" s="41"/>
      <c r="X165" s="41"/>
      <c r="Y165">
        <v>74.239999999999995</v>
      </c>
      <c r="Z165" s="169" t="s">
        <v>511</v>
      </c>
    </row>
    <row r="166" spans="1:26" x14ac:dyDescent="0.25">
      <c r="A166" s="209" t="s">
        <v>599</v>
      </c>
      <c r="B166" s="8"/>
      <c r="C166" s="28" t="s">
        <v>178</v>
      </c>
      <c r="D166" s="28"/>
      <c r="E166" s="28"/>
      <c r="F166" s="168">
        <v>25</v>
      </c>
      <c r="G166" s="28" t="str">
        <f>CONCATENATE("USD,FLAT ",TEXT(F166,"0.00"))</f>
        <v>USD,FLAT 25.00</v>
      </c>
      <c r="H166" s="200">
        <f>K166/J166</f>
        <v>1856</v>
      </c>
      <c r="I166" s="198" t="s">
        <v>22</v>
      </c>
      <c r="J166" s="199">
        <v>1</v>
      </c>
      <c r="K166" s="200">
        <f>ROUND(J166*F166*Y166,2)</f>
        <v>1856</v>
      </c>
      <c r="L166" s="198" t="str">
        <f>TEXT(IFERROR(((K166-K167)/K167*100),"0.00"),"0.00")</f>
        <v>0.00</v>
      </c>
      <c r="M166" s="200">
        <f>ROUND((10+J166*3)*Y166,2)</f>
        <v>965.12</v>
      </c>
      <c r="N166" s="36">
        <f>Q166/P166</f>
        <v>24.13</v>
      </c>
      <c r="O166" s="31" t="s">
        <v>22</v>
      </c>
      <c r="P166" s="32">
        <v>1</v>
      </c>
      <c r="Q166" s="36">
        <f>ROUND(P166*F166*Y166*Z166,2)</f>
        <v>24.13</v>
      </c>
      <c r="R166" s="31" t="str">
        <f>TEXT(IFERROR(((Q166-Q167)/Q167*100),"0.00"),"0.00")</f>
        <v>0.00</v>
      </c>
      <c r="S166" s="36">
        <f>ROUND((10+P166*3)*Y166*Z166,2)</f>
        <v>12.55</v>
      </c>
      <c r="T166" s="33" t="s">
        <v>634</v>
      </c>
      <c r="U166" s="28" t="s">
        <v>190</v>
      </c>
      <c r="V166" s="28" t="s">
        <v>473</v>
      </c>
      <c r="W166" s="28" t="s">
        <v>637</v>
      </c>
      <c r="X166" s="28"/>
      <c r="Y166">
        <v>74.239999999999995</v>
      </c>
      <c r="Z166" s="169" t="s">
        <v>511</v>
      </c>
    </row>
    <row r="167" spans="1:26" x14ac:dyDescent="0.25">
      <c r="A167" s="8"/>
      <c r="B167" s="8"/>
      <c r="C167" s="31" t="s">
        <v>173</v>
      </c>
      <c r="D167" s="31"/>
      <c r="E167" s="31"/>
      <c r="F167" s="31"/>
      <c r="G167" s="31"/>
      <c r="H167" s="201"/>
      <c r="I167" s="198"/>
      <c r="J167" s="199"/>
      <c r="K167" s="200"/>
      <c r="L167" s="198"/>
      <c r="M167" s="201"/>
      <c r="N167" s="36"/>
      <c r="O167" s="31"/>
      <c r="P167" s="32"/>
      <c r="Q167" s="38"/>
      <c r="R167" s="31"/>
      <c r="S167" s="36"/>
      <c r="T167" s="31"/>
      <c r="U167" s="31"/>
      <c r="V167" s="31"/>
      <c r="W167" s="31"/>
      <c r="X167" s="31"/>
      <c r="Y167">
        <v>74.239999999999995</v>
      </c>
      <c r="Z167" s="169" t="s">
        <v>511</v>
      </c>
    </row>
    <row r="168" spans="1:26" x14ac:dyDescent="0.25">
      <c r="A168" s="8"/>
      <c r="B168" s="8"/>
      <c r="C168" s="40" t="s">
        <v>174</v>
      </c>
      <c r="D168" s="40"/>
      <c r="E168" s="40"/>
      <c r="F168" s="40"/>
      <c r="G168" s="40"/>
      <c r="H168" s="198"/>
      <c r="I168" s="198"/>
      <c r="J168" s="198"/>
      <c r="K168" s="200"/>
      <c r="L168" s="198"/>
      <c r="M168" s="198"/>
      <c r="N168" s="31"/>
      <c r="O168" s="31"/>
      <c r="P168" s="31"/>
      <c r="Q168" s="38"/>
      <c r="R168" s="31"/>
      <c r="S168" s="31"/>
      <c r="T168" s="40"/>
      <c r="U168" s="40"/>
      <c r="V168" s="40"/>
      <c r="W168" s="40"/>
      <c r="X168" s="40"/>
      <c r="Y168">
        <v>74.239999999999995</v>
      </c>
      <c r="Z168" s="169" t="s">
        <v>511</v>
      </c>
    </row>
    <row r="169" spans="1:26" x14ac:dyDescent="0.25">
      <c r="A169" s="8"/>
      <c r="B169" s="8"/>
      <c r="C169" s="41" t="s">
        <v>175</v>
      </c>
      <c r="D169" s="41"/>
      <c r="E169" s="41"/>
      <c r="F169" s="41"/>
      <c r="G169" s="41"/>
      <c r="H169" s="198"/>
      <c r="I169" s="198"/>
      <c r="J169" s="198"/>
      <c r="K169" s="200"/>
      <c r="L169" s="198"/>
      <c r="M169" s="198"/>
      <c r="N169" s="31"/>
      <c r="O169" s="31"/>
      <c r="P169" s="31"/>
      <c r="Q169" s="38"/>
      <c r="R169" s="31"/>
      <c r="S169" s="31"/>
      <c r="T169" s="41"/>
      <c r="U169" s="41"/>
      <c r="V169" s="41"/>
      <c r="W169" s="41"/>
      <c r="X169" s="41"/>
      <c r="Y169">
        <v>74.239999999999995</v>
      </c>
      <c r="Z169" s="169" t="s">
        <v>511</v>
      </c>
    </row>
    <row r="170" spans="1:26" x14ac:dyDescent="0.25">
      <c r="A170" s="209" t="s">
        <v>631</v>
      </c>
      <c r="B170" s="8"/>
      <c r="C170" s="28" t="s">
        <v>178</v>
      </c>
      <c r="D170" s="28"/>
      <c r="E170" s="28"/>
      <c r="F170" s="168">
        <v>25</v>
      </c>
      <c r="G170" s="28" t="str">
        <f>CONCATENATE("USD,FLAT ",TEXT(F170,"0.00"))</f>
        <v>USD,FLAT 25.00</v>
      </c>
      <c r="H170" s="200">
        <f>K170/J170</f>
        <v>1856</v>
      </c>
      <c r="I170" s="198" t="s">
        <v>22</v>
      </c>
      <c r="J170" s="199">
        <v>1</v>
      </c>
      <c r="K170" s="200">
        <f>ROUND(J170*F170*Y170,2)</f>
        <v>1856</v>
      </c>
      <c r="L170" s="198" t="str">
        <f>TEXT(IFERROR(((K170-K171)/K171*100),"0.00"),"0.00")</f>
        <v>0.00</v>
      </c>
      <c r="M170" s="200">
        <f>ROUND((10+J170*3)*Y170,2)</f>
        <v>965.12</v>
      </c>
      <c r="N170" s="36">
        <f>Q170/P170</f>
        <v>24.13</v>
      </c>
      <c r="O170" s="31" t="s">
        <v>22</v>
      </c>
      <c r="P170" s="32">
        <v>1</v>
      </c>
      <c r="Q170" s="36">
        <f>ROUND(P170*F170*Y170*Z170,2)</f>
        <v>24.13</v>
      </c>
      <c r="R170" s="31" t="str">
        <f>TEXT(IFERROR(((Q170-Q171)/Q171*100),"0.00"),"0.00")</f>
        <v>0.00</v>
      </c>
      <c r="S170" s="36">
        <f>ROUND((10+P170*3)*Y170*Z170,2)</f>
        <v>12.55</v>
      </c>
      <c r="T170" s="33" t="s">
        <v>634</v>
      </c>
      <c r="U170" s="28" t="s">
        <v>190</v>
      </c>
      <c r="V170" s="28" t="s">
        <v>473</v>
      </c>
      <c r="W170" s="28" t="s">
        <v>637</v>
      </c>
      <c r="X170" s="28"/>
      <c r="Y170">
        <v>74.239999999999995</v>
      </c>
      <c r="Z170" s="169" t="s">
        <v>511</v>
      </c>
    </row>
    <row r="171" spans="1:26" x14ac:dyDescent="0.25">
      <c r="A171" s="8"/>
      <c r="B171" s="8"/>
      <c r="C171" s="31" t="s">
        <v>173</v>
      </c>
      <c r="D171" s="31"/>
      <c r="E171" s="31"/>
      <c r="F171" s="31"/>
      <c r="G171" s="31"/>
      <c r="H171" s="201"/>
      <c r="I171" s="198"/>
      <c r="J171" s="199"/>
      <c r="K171" s="200"/>
      <c r="L171" s="198"/>
      <c r="M171" s="201"/>
      <c r="N171" s="36"/>
      <c r="O171" s="31"/>
      <c r="P171" s="32"/>
      <c r="Q171" s="36"/>
      <c r="R171" s="31"/>
      <c r="S171" s="36"/>
      <c r="T171" s="31"/>
      <c r="U171" s="31"/>
      <c r="V171" s="31"/>
      <c r="W171" s="31"/>
      <c r="X171" s="31"/>
      <c r="Y171">
        <v>74.239999999999995</v>
      </c>
      <c r="Z171" s="169" t="s">
        <v>511</v>
      </c>
    </row>
    <row r="172" spans="1:26" x14ac:dyDescent="0.25">
      <c r="A172" s="8"/>
      <c r="B172" s="8"/>
      <c r="C172" s="40" t="s">
        <v>174</v>
      </c>
      <c r="D172" s="40"/>
      <c r="E172" s="40"/>
      <c r="F172" s="40"/>
      <c r="G172" s="40"/>
      <c r="H172" s="198"/>
      <c r="I172" s="198"/>
      <c r="J172" s="198"/>
      <c r="K172" s="200"/>
      <c r="L172" s="198"/>
      <c r="M172" s="198"/>
      <c r="N172" s="31"/>
      <c r="O172" s="31"/>
      <c r="P172" s="31"/>
      <c r="Q172" s="38"/>
      <c r="R172" s="31"/>
      <c r="S172" s="31"/>
      <c r="T172" s="40"/>
      <c r="U172" s="40"/>
      <c r="V172" s="40"/>
      <c r="W172" s="40"/>
      <c r="X172" s="40"/>
      <c r="Y172">
        <v>74.239999999999995</v>
      </c>
      <c r="Z172" s="169" t="s">
        <v>511</v>
      </c>
    </row>
    <row r="173" spans="1:26" x14ac:dyDescent="0.25">
      <c r="A173" s="8"/>
      <c r="B173" s="8"/>
      <c r="C173" s="41" t="s">
        <v>175</v>
      </c>
      <c r="D173" s="41"/>
      <c r="E173" s="41"/>
      <c r="F173" s="41"/>
      <c r="G173" s="41"/>
      <c r="H173" s="198"/>
      <c r="I173" s="198"/>
      <c r="J173" s="198"/>
      <c r="K173" s="200"/>
      <c r="L173" s="198"/>
      <c r="M173" s="198"/>
      <c r="N173" s="31"/>
      <c r="O173" s="31"/>
      <c r="P173" s="31"/>
      <c r="Q173" s="38"/>
      <c r="R173" s="31"/>
      <c r="S173" s="31"/>
      <c r="T173" s="41"/>
      <c r="U173" s="41"/>
      <c r="V173" s="41"/>
      <c r="W173" s="41"/>
      <c r="X173" s="41"/>
      <c r="Y173">
        <v>74.239999999999995</v>
      </c>
      <c r="Z173" s="169" t="s">
        <v>511</v>
      </c>
    </row>
    <row r="174" spans="1:26" x14ac:dyDescent="0.25">
      <c r="A174" s="2" t="s">
        <v>632</v>
      </c>
      <c r="B174" s="8"/>
      <c r="C174" s="28" t="s">
        <v>178</v>
      </c>
      <c r="D174" s="28"/>
      <c r="E174" s="28"/>
      <c r="F174" s="168">
        <v>25</v>
      </c>
      <c r="G174" s="28" t="str">
        <f>CONCATENATE("USD,FLAT ",TEXT(F174,"0.00"))</f>
        <v>USD,FLAT 25.00</v>
      </c>
      <c r="H174" s="200">
        <f>K174/J174</f>
        <v>1856</v>
      </c>
      <c r="I174" s="198" t="s">
        <v>22</v>
      </c>
      <c r="J174" s="199">
        <v>100</v>
      </c>
      <c r="K174" s="200">
        <f>ROUND(J174*F174*Y174,2)</f>
        <v>185600</v>
      </c>
      <c r="L174" s="198" t="str">
        <f>TEXT(IFERROR(((K174-K175)/K175*100),"0.00"),"0.00")</f>
        <v>0.00</v>
      </c>
      <c r="M174" s="200">
        <f>ROUND((10+J174*3)*Y174,2)</f>
        <v>23014.400000000001</v>
      </c>
      <c r="N174" s="36">
        <f>Q174/P174</f>
        <v>24.128</v>
      </c>
      <c r="O174" s="31" t="s">
        <v>22</v>
      </c>
      <c r="P174" s="32">
        <v>100</v>
      </c>
      <c r="Q174" s="36">
        <f>ROUND(P174*F174*Y174*Z174,2)</f>
        <v>2412.8000000000002</v>
      </c>
      <c r="R174" s="31" t="str">
        <f>TEXT(IFERROR(((Q174-Q175)/Q175*100),"0.00"),"0.00")</f>
        <v>0.00</v>
      </c>
      <c r="S174" s="36">
        <f>ROUND((10+P174*3)*Y174*Z174,2)</f>
        <v>299.19</v>
      </c>
      <c r="T174" s="33" t="s">
        <v>636</v>
      </c>
      <c r="U174" s="28" t="s">
        <v>190</v>
      </c>
      <c r="V174" s="28" t="s">
        <v>473</v>
      </c>
      <c r="W174" s="28" t="s">
        <v>637</v>
      </c>
      <c r="X174" s="28"/>
      <c r="Y174">
        <v>74.239999999999995</v>
      </c>
      <c r="Z174" s="169" t="s">
        <v>511</v>
      </c>
    </row>
    <row r="175" spans="1:26" x14ac:dyDescent="0.25">
      <c r="A175" s="8"/>
      <c r="B175" s="8"/>
      <c r="C175" s="31" t="s">
        <v>173</v>
      </c>
      <c r="D175" s="31"/>
      <c r="E175" s="31"/>
      <c r="F175" s="31">
        <v>25</v>
      </c>
      <c r="G175" s="31" t="str">
        <f>CONCATENATE("USD,FLAT ",TEXT(F175,"0.00"))</f>
        <v>USD,FLAT 25.00</v>
      </c>
      <c r="H175" s="200">
        <f>K175/J175</f>
        <v>1856</v>
      </c>
      <c r="I175" s="198" t="s">
        <v>22</v>
      </c>
      <c r="J175" s="199">
        <v>100</v>
      </c>
      <c r="K175" s="200">
        <f>ROUND(J175*F175*Y175,2)</f>
        <v>185600</v>
      </c>
      <c r="L175" s="198"/>
      <c r="M175" s="200">
        <f>ROUND((10+J175*3)*Y175,2)</f>
        <v>23014.400000000001</v>
      </c>
      <c r="N175" s="36">
        <f>Q175/P175</f>
        <v>24.128</v>
      </c>
      <c r="O175" s="31" t="s">
        <v>22</v>
      </c>
      <c r="P175" s="32">
        <v>100</v>
      </c>
      <c r="Q175" s="36">
        <f>ROUND(P175*F175*Y175*Z175,2)</f>
        <v>2412.8000000000002</v>
      </c>
      <c r="R175" s="31"/>
      <c r="S175" s="36">
        <f>ROUND((10+P175*3)*Y175*Z175,2)</f>
        <v>299.19</v>
      </c>
      <c r="T175" s="31"/>
      <c r="U175" s="31"/>
      <c r="V175" s="31"/>
      <c r="W175" s="31"/>
      <c r="X175" s="31"/>
      <c r="Y175">
        <v>74.239999999999995</v>
      </c>
      <c r="Z175" s="169" t="s">
        <v>511</v>
      </c>
    </row>
    <row r="176" spans="1:26" x14ac:dyDescent="0.25">
      <c r="A176" s="8"/>
      <c r="B176" s="8"/>
      <c r="C176" s="40" t="s">
        <v>174</v>
      </c>
      <c r="D176" s="40"/>
      <c r="E176" s="40"/>
      <c r="F176" s="40"/>
      <c r="G176" s="40"/>
      <c r="H176" s="198"/>
      <c r="I176" s="198"/>
      <c r="J176" s="198"/>
      <c r="K176" s="200"/>
      <c r="L176" s="198"/>
      <c r="M176" s="198"/>
      <c r="N176" s="31"/>
      <c r="O176" s="31"/>
      <c r="P176" s="31"/>
      <c r="Q176" s="38"/>
      <c r="R176" s="31"/>
      <c r="S176" s="31"/>
      <c r="T176" s="40"/>
      <c r="U176" s="40"/>
      <c r="V176" s="40"/>
      <c r="W176" s="40"/>
      <c r="X176" s="40"/>
      <c r="Y176">
        <v>74.239999999999995</v>
      </c>
      <c r="Z176" s="169" t="s">
        <v>511</v>
      </c>
    </row>
    <row r="177" spans="1:26" x14ac:dyDescent="0.25">
      <c r="A177" s="8"/>
      <c r="B177" s="8"/>
      <c r="C177" s="41" t="s">
        <v>175</v>
      </c>
      <c r="D177" s="41"/>
      <c r="E177" s="41"/>
      <c r="F177" s="41"/>
      <c r="G177" s="41"/>
      <c r="H177" s="198"/>
      <c r="I177" s="198"/>
      <c r="J177" s="198"/>
      <c r="K177" s="200"/>
      <c r="L177" s="198"/>
      <c r="M177" s="198"/>
      <c r="N177" s="31"/>
      <c r="O177" s="31"/>
      <c r="P177" s="31"/>
      <c r="Q177" s="38"/>
      <c r="R177" s="31"/>
      <c r="S177" s="31"/>
      <c r="T177" s="41"/>
      <c r="U177" s="41"/>
      <c r="V177" s="41"/>
      <c r="W177" s="41"/>
      <c r="X177" s="41"/>
      <c r="Y177">
        <v>74.239999999999995</v>
      </c>
      <c r="Z177" s="169" t="s">
        <v>511</v>
      </c>
    </row>
    <row r="178" spans="1:26" x14ac:dyDescent="0.25">
      <c r="A178" s="2" t="s">
        <v>633</v>
      </c>
      <c r="B178" s="8"/>
      <c r="C178" s="28" t="s">
        <v>178</v>
      </c>
      <c r="D178" s="28"/>
      <c r="E178" s="28"/>
      <c r="F178" s="168">
        <v>25</v>
      </c>
      <c r="G178" s="28" t="str">
        <f>CONCATENATE("USD,FLAT ",TEXT(F178,"0.00"))</f>
        <v>USD,FLAT 25.00</v>
      </c>
      <c r="H178" s="200">
        <f>K178/J178</f>
        <v>1856</v>
      </c>
      <c r="I178" s="198" t="s">
        <v>22</v>
      </c>
      <c r="J178" s="199">
        <v>100</v>
      </c>
      <c r="K178" s="200">
        <f>ROUND(J178*F178*Y178,2)</f>
        <v>185600</v>
      </c>
      <c r="L178" s="198" t="str">
        <f>TEXT(IFERROR(((K178-K179)/K179*100),"0.00"),"0.00")</f>
        <v>0.00</v>
      </c>
      <c r="M178" s="200">
        <f>ROUND((10+J178*3)*Y178,2)</f>
        <v>23014.400000000001</v>
      </c>
      <c r="N178" s="36">
        <f>Q178/P178</f>
        <v>24.128</v>
      </c>
      <c r="O178" s="31" t="s">
        <v>22</v>
      </c>
      <c r="P178" s="32">
        <v>100</v>
      </c>
      <c r="Q178" s="36">
        <f>ROUND(P178*F178*Y178*Z178,2)</f>
        <v>2412.8000000000002</v>
      </c>
      <c r="R178" s="31" t="str">
        <f>TEXT(IFERROR(((Q178-Q179)/Q179*100),"0.00"),"0.00")</f>
        <v>0.00</v>
      </c>
      <c r="S178" s="36">
        <f>ROUND((10+P178*3)*Y178*Z178,2)</f>
        <v>299.19</v>
      </c>
      <c r="T178" s="33" t="s">
        <v>636</v>
      </c>
      <c r="U178" s="28" t="s">
        <v>190</v>
      </c>
      <c r="V178" s="28" t="s">
        <v>473</v>
      </c>
      <c r="W178" s="28" t="s">
        <v>637</v>
      </c>
      <c r="X178" s="28"/>
      <c r="Y178">
        <v>74.239999999999995</v>
      </c>
      <c r="Z178" s="169" t="s">
        <v>511</v>
      </c>
    </row>
    <row r="179" spans="1:26" x14ac:dyDescent="0.25">
      <c r="A179" s="8"/>
      <c r="B179" s="8"/>
      <c r="C179" s="31" t="s">
        <v>173</v>
      </c>
      <c r="D179" s="31"/>
      <c r="E179" s="31"/>
      <c r="F179" s="31">
        <v>25</v>
      </c>
      <c r="G179" s="31" t="str">
        <f>CONCATENATE("USD,FLAT ",TEXT(F179,"0.00"))</f>
        <v>USD,FLAT 25.00</v>
      </c>
      <c r="H179" s="200">
        <f>K179/J179</f>
        <v>1856</v>
      </c>
      <c r="I179" s="198" t="s">
        <v>22</v>
      </c>
      <c r="J179" s="199">
        <v>100</v>
      </c>
      <c r="K179" s="200">
        <f>ROUND(J179*F179*Y179,2)</f>
        <v>185600</v>
      </c>
      <c r="L179" s="198"/>
      <c r="M179" s="200">
        <f>ROUND((10+J179*3)*Y179,2)</f>
        <v>23014.400000000001</v>
      </c>
      <c r="N179" s="36">
        <f>Q179/P179</f>
        <v>24.128</v>
      </c>
      <c r="O179" s="31" t="s">
        <v>22</v>
      </c>
      <c r="P179" s="32">
        <v>100</v>
      </c>
      <c r="Q179" s="36">
        <f>ROUND(P179*F179*Y179*Z179,2)</f>
        <v>2412.8000000000002</v>
      </c>
      <c r="R179" s="31"/>
      <c r="S179" s="36">
        <f>ROUND((10+P179*3)*Y179*Z179,2)</f>
        <v>299.19</v>
      </c>
      <c r="T179" s="31"/>
      <c r="U179" s="31"/>
      <c r="V179" s="31"/>
      <c r="W179" s="31"/>
      <c r="X179" s="31"/>
      <c r="Y179">
        <v>74.239999999999995</v>
      </c>
      <c r="Z179" s="169" t="s">
        <v>511</v>
      </c>
    </row>
    <row r="180" spans="1:26" x14ac:dyDescent="0.25">
      <c r="A180" s="8"/>
      <c r="B180" s="8"/>
      <c r="C180" s="40" t="s">
        <v>174</v>
      </c>
      <c r="D180" s="40"/>
      <c r="E180" s="40"/>
      <c r="F180" s="40"/>
      <c r="G180" s="40"/>
      <c r="H180" s="198"/>
      <c r="I180" s="198"/>
      <c r="J180" s="198"/>
      <c r="K180" s="200"/>
      <c r="L180" s="198"/>
      <c r="M180" s="198"/>
      <c r="N180" s="31"/>
      <c r="O180" s="31"/>
      <c r="P180" s="31"/>
      <c r="Q180" s="38"/>
      <c r="R180" s="31"/>
      <c r="S180" s="31"/>
      <c r="T180" s="40"/>
      <c r="U180" s="40"/>
      <c r="V180" s="40"/>
      <c r="W180" s="40"/>
      <c r="X180" s="40"/>
      <c r="Y180">
        <v>74.239999999999995</v>
      </c>
      <c r="Z180" s="169" t="s">
        <v>511</v>
      </c>
    </row>
    <row r="181" spans="1:26" x14ac:dyDescent="0.25">
      <c r="A181" s="8"/>
      <c r="B181" s="8"/>
      <c r="C181" s="41" t="s">
        <v>175</v>
      </c>
      <c r="D181" s="41"/>
      <c r="E181" s="41"/>
      <c r="F181" s="41"/>
      <c r="G181" s="41"/>
      <c r="H181" s="198"/>
      <c r="I181" s="198"/>
      <c r="J181" s="198"/>
      <c r="K181" s="200"/>
      <c r="L181" s="198"/>
      <c r="M181" s="198"/>
      <c r="N181" s="31"/>
      <c r="O181" s="31"/>
      <c r="P181" s="31"/>
      <c r="Q181" s="38"/>
      <c r="R181" s="31"/>
      <c r="S181" s="31"/>
      <c r="T181" s="41"/>
      <c r="U181" s="41"/>
      <c r="V181" s="41"/>
      <c r="W181" s="41"/>
      <c r="X181" s="41"/>
      <c r="Y181">
        <v>74.239999999999995</v>
      </c>
      <c r="Z181" s="169" t="s">
        <v>511</v>
      </c>
    </row>
    <row r="182" spans="1:26" x14ac:dyDescent="0.25">
      <c r="Z182" s="176"/>
    </row>
    <row r="183" spans="1:26" x14ac:dyDescent="0.25">
      <c r="A183" s="324" t="s">
        <v>644</v>
      </c>
      <c r="B183" s="325"/>
      <c r="C183" s="325"/>
      <c r="D183" s="325"/>
      <c r="E183" s="325"/>
      <c r="F183" s="325"/>
      <c r="Z183" s="176"/>
    </row>
    <row r="184" spans="1:26" x14ac:dyDescent="0.25">
      <c r="A184" s="202"/>
      <c r="B184" s="202"/>
      <c r="C184" s="378" t="s">
        <v>641</v>
      </c>
      <c r="D184" s="354"/>
      <c r="E184" s="354"/>
      <c r="F184" s="379"/>
      <c r="G184" s="380" t="s">
        <v>651</v>
      </c>
      <c r="H184" s="381"/>
      <c r="I184" s="381"/>
      <c r="J184" s="382"/>
      <c r="Z184" s="176"/>
    </row>
    <row r="185" spans="1:26" x14ac:dyDescent="0.25">
      <c r="A185" s="373" t="s">
        <v>565</v>
      </c>
      <c r="B185" s="22"/>
      <c r="C185" s="331" t="s">
        <v>640</v>
      </c>
      <c r="D185" s="333"/>
      <c r="E185" s="334" t="s">
        <v>202</v>
      </c>
      <c r="F185" s="336"/>
      <c r="G185" s="331" t="s">
        <v>640</v>
      </c>
      <c r="H185" s="333"/>
      <c r="I185" s="334" t="s">
        <v>202</v>
      </c>
      <c r="J185" s="336"/>
      <c r="Z185" s="176"/>
    </row>
    <row r="186" spans="1:26" x14ac:dyDescent="0.25">
      <c r="A186" s="374"/>
      <c r="B186" s="22" t="s">
        <v>663</v>
      </c>
      <c r="C186" s="216" t="s">
        <v>638</v>
      </c>
      <c r="D186" s="216" t="s">
        <v>639</v>
      </c>
      <c r="E186" s="215" t="s">
        <v>638</v>
      </c>
      <c r="F186" s="215" t="s">
        <v>639</v>
      </c>
      <c r="G186" s="216" t="s">
        <v>638</v>
      </c>
      <c r="H186" s="216" t="s">
        <v>639</v>
      </c>
      <c r="I186" s="215" t="s">
        <v>638</v>
      </c>
      <c r="J186" s="215" t="s">
        <v>639</v>
      </c>
      <c r="Z186" s="176"/>
    </row>
    <row r="187" spans="1:26" x14ac:dyDescent="0.25">
      <c r="A187" s="8" t="s">
        <v>578</v>
      </c>
      <c r="B187" s="212" t="str">
        <f>TEXT(IFERROR(((C187-E187)/E187*100),"0.00"),"0.00")</f>
        <v>0.00</v>
      </c>
      <c r="C187" s="284" t="s">
        <v>786</v>
      </c>
      <c r="D187" s="284" t="s">
        <v>787</v>
      </c>
      <c r="E187" s="284" t="s">
        <v>819</v>
      </c>
      <c r="F187" s="284" t="s">
        <v>819</v>
      </c>
      <c r="G187" s="290" t="s">
        <v>799</v>
      </c>
      <c r="H187" s="290" t="s">
        <v>814</v>
      </c>
      <c r="I187" s="285" t="s">
        <v>820</v>
      </c>
      <c r="J187" s="285" t="s">
        <v>820</v>
      </c>
      <c r="K187" s="143" t="s">
        <v>587</v>
      </c>
      <c r="L187" s="143" t="s">
        <v>588</v>
      </c>
      <c r="M187" s="143" t="s">
        <v>589</v>
      </c>
      <c r="Z187" s="176"/>
    </row>
    <row r="188" spans="1:26" x14ac:dyDescent="0.25">
      <c r="A188" s="8" t="s">
        <v>581</v>
      </c>
      <c r="B188" s="212" t="str">
        <f>TEXT(IFERROR(((C188-E188)/E188*100),"0.00"),"0.00")</f>
        <v>0.00</v>
      </c>
      <c r="C188" s="284" t="s">
        <v>792</v>
      </c>
      <c r="D188" s="284" t="s">
        <v>793</v>
      </c>
      <c r="E188" s="284" t="s">
        <v>819</v>
      </c>
      <c r="F188" s="284" t="s">
        <v>819</v>
      </c>
      <c r="G188" s="285" t="s">
        <v>803</v>
      </c>
      <c r="H188" s="290" t="s">
        <v>815</v>
      </c>
      <c r="I188" s="285" t="s">
        <v>820</v>
      </c>
      <c r="J188" s="285" t="s">
        <v>820</v>
      </c>
      <c r="K188" s="143" t="s">
        <v>590</v>
      </c>
      <c r="L188" s="143" t="s">
        <v>591</v>
      </c>
      <c r="M188" s="177"/>
      <c r="Z188" s="176"/>
    </row>
    <row r="189" spans="1:26" x14ac:dyDescent="0.25">
      <c r="A189" s="8" t="s">
        <v>584</v>
      </c>
      <c r="B189" s="212" t="str">
        <f>TEXT(IFERROR(((C189-E189)/E189*100),"0.00"),"0.00")</f>
        <v>0.00</v>
      </c>
      <c r="C189" s="284" t="s">
        <v>795</v>
      </c>
      <c r="D189" s="284" t="s">
        <v>796</v>
      </c>
      <c r="E189" s="284" t="s">
        <v>795</v>
      </c>
      <c r="F189" s="284" t="s">
        <v>796</v>
      </c>
      <c r="G189" s="285" t="s">
        <v>804</v>
      </c>
      <c r="H189" s="290" t="s">
        <v>816</v>
      </c>
      <c r="I189" s="285" t="s">
        <v>804</v>
      </c>
      <c r="J189" s="290" t="s">
        <v>816</v>
      </c>
      <c r="K189" s="143" t="s">
        <v>592</v>
      </c>
      <c r="L189" s="143" t="s">
        <v>593</v>
      </c>
      <c r="M189" s="177"/>
      <c r="Z189" s="176"/>
    </row>
    <row r="190" spans="1:26" x14ac:dyDescent="0.25">
      <c r="Z190" s="176"/>
    </row>
    <row r="191" spans="1:26" ht="13.35" customHeight="1" x14ac:dyDescent="0.25">
      <c r="A191" s="347" t="s">
        <v>197</v>
      </c>
      <c r="B191" s="348"/>
      <c r="C191" s="348"/>
      <c r="D191" s="348"/>
      <c r="E191" s="348"/>
      <c r="F191" s="348"/>
      <c r="G191" s="348"/>
      <c r="H191" s="348"/>
    </row>
    <row r="192" spans="1:26" x14ac:dyDescent="0.25">
      <c r="A192" s="349" t="s">
        <v>1</v>
      </c>
      <c r="B192" s="349" t="s">
        <v>649</v>
      </c>
      <c r="C192" s="350" t="s">
        <v>181</v>
      </c>
      <c r="D192" s="351" t="s">
        <v>664</v>
      </c>
      <c r="E192" s="354" t="s">
        <v>641</v>
      </c>
      <c r="F192" s="354"/>
      <c r="G192" s="354"/>
      <c r="H192" s="354"/>
      <c r="I192" s="355" t="s">
        <v>650</v>
      </c>
      <c r="J192" s="355"/>
      <c r="K192" s="355"/>
      <c r="L192" s="355"/>
    </row>
    <row r="193" spans="1:26" x14ac:dyDescent="0.25">
      <c r="A193" s="326"/>
      <c r="B193" s="326"/>
      <c r="C193" s="328"/>
      <c r="D193" s="352"/>
      <c r="E193" s="331" t="s">
        <v>648</v>
      </c>
      <c r="F193" s="333"/>
      <c r="G193" s="334" t="s">
        <v>202</v>
      </c>
      <c r="H193" s="336"/>
      <c r="I193" s="331" t="s">
        <v>648</v>
      </c>
      <c r="J193" s="333"/>
      <c r="K193" s="334" t="s">
        <v>202</v>
      </c>
      <c r="L193" s="336"/>
    </row>
    <row r="194" spans="1:26" x14ac:dyDescent="0.25">
      <c r="A194" s="327"/>
      <c r="B194" s="327" t="s">
        <v>0</v>
      </c>
      <c r="C194" s="329"/>
      <c r="D194" s="353"/>
      <c r="E194" s="216" t="s">
        <v>203</v>
      </c>
      <c r="F194" s="216" t="s">
        <v>204</v>
      </c>
      <c r="G194" s="215" t="s">
        <v>193</v>
      </c>
      <c r="H194" s="215" t="s">
        <v>194</v>
      </c>
      <c r="I194" s="216" t="s">
        <v>203</v>
      </c>
      <c r="J194" s="216" t="s">
        <v>204</v>
      </c>
      <c r="K194" s="215" t="s">
        <v>193</v>
      </c>
      <c r="L194" s="215" t="s">
        <v>194</v>
      </c>
    </row>
    <row r="195" spans="1:26" x14ac:dyDescent="0.25">
      <c r="A195" s="19" t="str">
        <f>C4</f>
        <v>CurrConv_Cust1Auto,IND</v>
      </c>
      <c r="B195" s="21" t="s">
        <v>13</v>
      </c>
      <c r="C195" s="19" t="s">
        <v>195</v>
      </c>
      <c r="D195" s="52" t="str">
        <f>TEXT(4.72,"0.00")</f>
        <v>4.72</v>
      </c>
      <c r="E195" s="272" t="str">
        <f>"Rs"&amp;TEXT(391830.55,"0.00")</f>
        <v>Rs391830.55</v>
      </c>
      <c r="F195" s="272" t="str">
        <f>"Rs"&amp;TEXT(76764.16,"0.00")</f>
        <v>Rs76764.16</v>
      </c>
      <c r="G195" s="272" t="str">
        <f>"Rs"&amp;TEXT(374169.6,"0.00")</f>
        <v>Rs374169.60</v>
      </c>
      <c r="H195" s="272" t="str">
        <f>"Rs"&amp;TEXT(69043.2,"0.00")</f>
        <v>Rs69043.20</v>
      </c>
      <c r="I195" s="276" t="str">
        <f>"$"&amp;TEXT(5093.8,"0.00")</f>
        <v>$5093.80</v>
      </c>
      <c r="J195" s="275" t="str">
        <f>"$"&amp;TEXT(997.93,"0.00")</f>
        <v>$997.93</v>
      </c>
      <c r="K195" s="275" t="str">
        <f>"$"&amp;TEXT(4864.2,"0.00")</f>
        <v>$4864.20</v>
      </c>
      <c r="L195" s="275" t="str">
        <f>"$"&amp;TEXT(897.56,"0.00")</f>
        <v>$897.56</v>
      </c>
      <c r="M195" s="246">
        <f>N192</f>
        <v>0</v>
      </c>
      <c r="R195" s="301"/>
    </row>
    <row r="196" spans="1:26" x14ac:dyDescent="0.25">
      <c r="A196" s="19" t="str">
        <f>CONCATENATE(I8," - ",J8)</f>
        <v>External Account Identifier - ACCT_IND_02</v>
      </c>
      <c r="B196" s="21" t="s">
        <v>13</v>
      </c>
      <c r="C196" s="19" t="s">
        <v>195</v>
      </c>
      <c r="D196" s="52" t="str">
        <f>TEXT(4.72,"0.00")</f>
        <v>4.72</v>
      </c>
      <c r="E196" s="272" t="str">
        <f>"Rs"&amp;TEXT(391830.55,"0.00")</f>
        <v>Rs391830.55</v>
      </c>
      <c r="F196" s="272" t="str">
        <f>"Rs"&amp;TEXT(76764.16,"0.00")</f>
        <v>Rs76764.16</v>
      </c>
      <c r="G196" s="272" t="str">
        <f>"Rs"&amp;TEXT(374169.6,"0.00")</f>
        <v>Rs374169.60</v>
      </c>
      <c r="H196" s="272" t="str">
        <f>"Rs"&amp;TEXT(69043.2,"0.00")</f>
        <v>Rs69043.20</v>
      </c>
      <c r="I196" s="276" t="str">
        <f>"$"&amp;TEXT(5093.8,"0.00")</f>
        <v>$5093.80</v>
      </c>
      <c r="J196" s="275" t="str">
        <f>"$"&amp;TEXT(997.93,"0.00")</f>
        <v>$997.93</v>
      </c>
      <c r="K196" s="275" t="str">
        <f>"$"&amp;TEXT(4864.2,"0.00")</f>
        <v>$4864.20</v>
      </c>
      <c r="L196" s="275" t="str">
        <f>"$"&amp;TEXT(897.56,"0.00")</f>
        <v>$897.56</v>
      </c>
    </row>
    <row r="197" spans="1:26" x14ac:dyDescent="0.25">
      <c r="A197" s="213"/>
      <c r="B197" s="214"/>
      <c r="C197" s="213"/>
      <c r="D197" s="72"/>
      <c r="E197" s="71"/>
      <c r="F197" s="71"/>
      <c r="G197" s="71"/>
      <c r="H197" s="71"/>
    </row>
    <row r="198" spans="1:26" x14ac:dyDescent="0.25">
      <c r="A198" s="324" t="s">
        <v>645</v>
      </c>
      <c r="B198" s="325"/>
      <c r="C198" s="325"/>
      <c r="D198" s="325"/>
      <c r="E198" s="325"/>
      <c r="F198" s="325"/>
      <c r="Z198" s="176"/>
    </row>
    <row r="199" spans="1:26" x14ac:dyDescent="0.25">
      <c r="A199" s="339" t="s">
        <v>565</v>
      </c>
      <c r="B199" s="339" t="s">
        <v>448</v>
      </c>
      <c r="C199" s="383" t="s">
        <v>646</v>
      </c>
      <c r="D199" s="340" t="s">
        <v>641</v>
      </c>
      <c r="E199" s="340"/>
      <c r="F199" s="340"/>
      <c r="G199" s="340"/>
      <c r="H199" s="340"/>
      <c r="I199" s="340"/>
      <c r="J199" s="340"/>
      <c r="K199" s="340"/>
      <c r="L199" s="341" t="s">
        <v>652</v>
      </c>
      <c r="M199" s="342"/>
      <c r="N199" s="342"/>
      <c r="O199" s="342"/>
      <c r="P199" s="342"/>
      <c r="Q199" s="342"/>
      <c r="R199" s="342"/>
      <c r="S199" s="342"/>
      <c r="T199" s="343" t="s">
        <v>665</v>
      </c>
      <c r="Z199" s="176"/>
    </row>
    <row r="200" spans="1:26" x14ac:dyDescent="0.25">
      <c r="A200" s="339"/>
      <c r="B200" s="339"/>
      <c r="C200" s="383"/>
      <c r="D200" s="344" t="s">
        <v>640</v>
      </c>
      <c r="E200" s="344"/>
      <c r="F200" s="344"/>
      <c r="G200" s="344"/>
      <c r="H200" s="345" t="s">
        <v>202</v>
      </c>
      <c r="I200" s="345"/>
      <c r="J200" s="345"/>
      <c r="K200" s="345"/>
      <c r="L200" s="344" t="s">
        <v>640</v>
      </c>
      <c r="M200" s="344"/>
      <c r="N200" s="344"/>
      <c r="O200" s="344"/>
      <c r="P200" s="345" t="s">
        <v>202</v>
      </c>
      <c r="Q200" s="345"/>
      <c r="R200" s="345"/>
      <c r="S200" s="346"/>
      <c r="T200" s="343"/>
      <c r="Z200" s="176"/>
    </row>
    <row r="201" spans="1:26" x14ac:dyDescent="0.25">
      <c r="A201" s="339"/>
      <c r="B201" s="339" t="s">
        <v>448</v>
      </c>
      <c r="C201" s="383"/>
      <c r="D201" s="216" t="s">
        <v>164</v>
      </c>
      <c r="E201" s="216" t="s">
        <v>166</v>
      </c>
      <c r="F201" s="216" t="s">
        <v>199</v>
      </c>
      <c r="G201" s="216" t="s">
        <v>205</v>
      </c>
      <c r="H201" s="215" t="s">
        <v>164</v>
      </c>
      <c r="I201" s="215" t="s">
        <v>166</v>
      </c>
      <c r="J201" s="215" t="s">
        <v>199</v>
      </c>
      <c r="K201" s="215" t="s">
        <v>205</v>
      </c>
      <c r="L201" s="216" t="s">
        <v>164</v>
      </c>
      <c r="M201" s="216" t="s">
        <v>166</v>
      </c>
      <c r="N201" s="216" t="s">
        <v>199</v>
      </c>
      <c r="O201" s="216" t="s">
        <v>205</v>
      </c>
      <c r="P201" s="215" t="s">
        <v>164</v>
      </c>
      <c r="Q201" s="215" t="s">
        <v>166</v>
      </c>
      <c r="R201" s="215" t="s">
        <v>199</v>
      </c>
      <c r="S201" s="217" t="s">
        <v>205</v>
      </c>
      <c r="T201" s="343"/>
    </row>
    <row r="202" spans="1:26" x14ac:dyDescent="0.25">
      <c r="A202" s="8" t="s">
        <v>578</v>
      </c>
      <c r="B202" s="21" t="s">
        <v>13</v>
      </c>
      <c r="C202" s="52"/>
      <c r="D202" s="280" t="s">
        <v>786</v>
      </c>
      <c r="E202" s="280" t="s">
        <v>787</v>
      </c>
      <c r="F202" s="280" t="s">
        <v>788</v>
      </c>
      <c r="G202" s="280" t="s">
        <v>789</v>
      </c>
      <c r="H202" s="280" t="s">
        <v>790</v>
      </c>
      <c r="I202" s="280" t="s">
        <v>790</v>
      </c>
      <c r="J202" s="280" t="s">
        <v>790</v>
      </c>
      <c r="K202" s="280" t="s">
        <v>791</v>
      </c>
      <c r="L202" s="279" t="s">
        <v>799</v>
      </c>
      <c r="M202" s="279" t="s">
        <v>814</v>
      </c>
      <c r="N202" s="281" t="s">
        <v>813</v>
      </c>
      <c r="O202" s="281" t="s">
        <v>789</v>
      </c>
      <c r="P202" s="281" t="s">
        <v>800</v>
      </c>
      <c r="Q202" s="281" t="s">
        <v>800</v>
      </c>
      <c r="R202" s="281" t="s">
        <v>800</v>
      </c>
      <c r="S202" s="282" t="s">
        <v>791</v>
      </c>
      <c r="T202" s="283" t="s">
        <v>791</v>
      </c>
    </row>
    <row r="203" spans="1:26" x14ac:dyDescent="0.25">
      <c r="A203" s="8" t="s">
        <v>581</v>
      </c>
      <c r="B203" s="21" t="s">
        <v>13</v>
      </c>
      <c r="C203" s="52"/>
      <c r="D203" s="280" t="s">
        <v>792</v>
      </c>
      <c r="E203" s="280" t="s">
        <v>793</v>
      </c>
      <c r="F203" s="280" t="s">
        <v>794</v>
      </c>
      <c r="G203" s="280" t="s">
        <v>789</v>
      </c>
      <c r="H203" s="280" t="s">
        <v>790</v>
      </c>
      <c r="I203" s="280" t="s">
        <v>790</v>
      </c>
      <c r="J203" s="280" t="s">
        <v>790</v>
      </c>
      <c r="K203" s="280" t="s">
        <v>791</v>
      </c>
      <c r="L203" s="281" t="s">
        <v>803</v>
      </c>
      <c r="M203" s="279" t="s">
        <v>815</v>
      </c>
      <c r="N203" s="281" t="s">
        <v>807</v>
      </c>
      <c r="O203" s="279" t="s">
        <v>789</v>
      </c>
      <c r="P203" s="281" t="s">
        <v>800</v>
      </c>
      <c r="Q203" s="281" t="s">
        <v>800</v>
      </c>
      <c r="R203" s="281" t="s">
        <v>800</v>
      </c>
      <c r="S203" s="282" t="s">
        <v>791</v>
      </c>
      <c r="T203" s="283" t="s">
        <v>791</v>
      </c>
    </row>
    <row r="204" spans="1:26" x14ac:dyDescent="0.25">
      <c r="A204" s="8" t="s">
        <v>584</v>
      </c>
      <c r="B204" s="21" t="s">
        <v>13</v>
      </c>
      <c r="C204" s="52"/>
      <c r="D204" s="280" t="s">
        <v>795</v>
      </c>
      <c r="E204" s="280" t="s">
        <v>796</v>
      </c>
      <c r="F204" s="280" t="s">
        <v>797</v>
      </c>
      <c r="G204" s="280" t="s">
        <v>798</v>
      </c>
      <c r="H204" s="280" t="s">
        <v>795</v>
      </c>
      <c r="I204" s="280" t="s">
        <v>796</v>
      </c>
      <c r="J204" s="280" t="s">
        <v>797</v>
      </c>
      <c r="K204" s="280" t="s">
        <v>798</v>
      </c>
      <c r="L204" s="281" t="s">
        <v>804</v>
      </c>
      <c r="M204" s="279" t="s">
        <v>816</v>
      </c>
      <c r="N204" s="279" t="s">
        <v>817</v>
      </c>
      <c r="O204" s="281" t="s">
        <v>798</v>
      </c>
      <c r="P204" s="281" t="s">
        <v>804</v>
      </c>
      <c r="Q204" s="279" t="s">
        <v>816</v>
      </c>
      <c r="R204" s="279" t="s">
        <v>817</v>
      </c>
      <c r="S204" s="282" t="s">
        <v>798</v>
      </c>
      <c r="T204" s="283" t="s">
        <v>791</v>
      </c>
    </row>
    <row r="205" spans="1:26" x14ac:dyDescent="0.25">
      <c r="A205" s="213"/>
      <c r="B205" s="214"/>
      <c r="C205" s="72"/>
      <c r="D205" s="72"/>
      <c r="E205" s="71"/>
      <c r="F205" s="71"/>
      <c r="G205" s="71"/>
      <c r="H205" s="71"/>
    </row>
    <row r="206" spans="1:26" ht="23.45" customHeight="1" x14ac:dyDescent="0.25">
      <c r="A206" s="324" t="s">
        <v>647</v>
      </c>
      <c r="B206" s="325"/>
      <c r="C206" s="325"/>
      <c r="D206" s="325"/>
      <c r="E206" s="325"/>
      <c r="F206" s="325"/>
      <c r="Z206" s="176"/>
    </row>
    <row r="207" spans="1:26" x14ac:dyDescent="0.25">
      <c r="A207" s="326" t="s">
        <v>448</v>
      </c>
      <c r="B207" s="328" t="s">
        <v>198</v>
      </c>
      <c r="C207" s="330" t="s">
        <v>641</v>
      </c>
      <c r="D207" s="330"/>
      <c r="E207" s="330"/>
      <c r="F207" s="330"/>
      <c r="G207" s="330"/>
      <c r="H207" s="330"/>
      <c r="I207" s="330"/>
      <c r="J207" s="330"/>
      <c r="K207" s="330"/>
      <c r="L207" s="330" t="s">
        <v>652</v>
      </c>
      <c r="M207" s="330"/>
      <c r="N207" s="330"/>
      <c r="O207" s="330"/>
      <c r="P207" s="330"/>
      <c r="Q207" s="330"/>
      <c r="R207" s="330"/>
      <c r="S207" s="330"/>
      <c r="T207" s="330"/>
      <c r="Z207" s="176"/>
    </row>
    <row r="208" spans="1:26" x14ac:dyDescent="0.25">
      <c r="A208" s="326"/>
      <c r="B208" s="328"/>
      <c r="C208" s="331" t="s">
        <v>201</v>
      </c>
      <c r="D208" s="332"/>
      <c r="E208" s="332"/>
      <c r="F208" s="333"/>
      <c r="G208" s="334" t="s">
        <v>202</v>
      </c>
      <c r="H208" s="335"/>
      <c r="I208" s="335"/>
      <c r="J208" s="336"/>
      <c r="K208" s="337" t="s">
        <v>664</v>
      </c>
      <c r="L208" s="331" t="s">
        <v>201</v>
      </c>
      <c r="M208" s="332"/>
      <c r="N208" s="332"/>
      <c r="O208" s="333"/>
      <c r="P208" s="334" t="s">
        <v>202</v>
      </c>
      <c r="Q208" s="335"/>
      <c r="R208" s="335"/>
      <c r="S208" s="336"/>
      <c r="T208" s="337" t="s">
        <v>665</v>
      </c>
    </row>
    <row r="209" spans="1:26" x14ac:dyDescent="0.25">
      <c r="A209" s="327"/>
      <c r="B209" s="329"/>
      <c r="C209" s="216" t="s">
        <v>164</v>
      </c>
      <c r="D209" s="216" t="s">
        <v>166</v>
      </c>
      <c r="E209" s="216" t="s">
        <v>199</v>
      </c>
      <c r="F209" s="216" t="s">
        <v>205</v>
      </c>
      <c r="G209" s="215" t="s">
        <v>164</v>
      </c>
      <c r="H209" s="215" t="s">
        <v>166</v>
      </c>
      <c r="I209" s="215" t="s">
        <v>199</v>
      </c>
      <c r="J209" s="215" t="s">
        <v>205</v>
      </c>
      <c r="K209" s="338"/>
      <c r="L209" s="216" t="s">
        <v>164</v>
      </c>
      <c r="M209" s="216" t="s">
        <v>166</v>
      </c>
      <c r="N209" s="216" t="s">
        <v>199</v>
      </c>
      <c r="O209" s="216" t="s">
        <v>205</v>
      </c>
      <c r="P209" s="215" t="s">
        <v>164</v>
      </c>
      <c r="Q209" s="215" t="s">
        <v>166</v>
      </c>
      <c r="R209" s="215" t="s">
        <v>199</v>
      </c>
      <c r="S209" s="215" t="s">
        <v>205</v>
      </c>
      <c r="T209" s="338"/>
    </row>
    <row r="210" spans="1:26" x14ac:dyDescent="0.25">
      <c r="A210" s="19" t="s">
        <v>13</v>
      </c>
      <c r="B210" s="53"/>
      <c r="C210" s="277" t="s">
        <v>767</v>
      </c>
      <c r="D210" s="271" t="s">
        <v>768</v>
      </c>
      <c r="E210" s="271" t="s">
        <v>771</v>
      </c>
      <c r="F210" s="271" t="str">
        <f>TEXT(80.41,"0.00")</f>
        <v>80.41</v>
      </c>
      <c r="G210" s="271" t="s">
        <v>770</v>
      </c>
      <c r="H210" s="271" t="s">
        <v>769</v>
      </c>
      <c r="I210" s="271" t="s">
        <v>772</v>
      </c>
      <c r="J210" s="271" t="str">
        <f>TEXT(81.55,"0.00")</f>
        <v>81.55</v>
      </c>
      <c r="K210" s="271" t="str">
        <f>TEXT(4.72,"0.00")</f>
        <v>4.72</v>
      </c>
      <c r="L210" s="21" t="s">
        <v>773</v>
      </c>
      <c r="M210" s="279" t="s">
        <v>779</v>
      </c>
      <c r="N210" s="279" t="s">
        <v>780</v>
      </c>
      <c r="O210" s="271" t="str">
        <f>TEXT(80.41,"0.00")</f>
        <v>80.41</v>
      </c>
      <c r="P210" s="21" t="s">
        <v>776</v>
      </c>
      <c r="Q210" s="279" t="s">
        <v>781</v>
      </c>
      <c r="R210" s="279" t="s">
        <v>782</v>
      </c>
      <c r="S210" s="271" t="str">
        <f>TEXT(81.55,"0.00")</f>
        <v>81.55</v>
      </c>
      <c r="T210" s="271" t="str">
        <f>TEXT(4.72,"0.00")</f>
        <v>4.72</v>
      </c>
    </row>
    <row r="211" spans="1:26" x14ac:dyDescent="0.25">
      <c r="A211" s="251"/>
      <c r="B211" s="251"/>
      <c r="C211" s="278"/>
      <c r="D211" s="251"/>
      <c r="E211" s="251"/>
      <c r="F211" s="251"/>
      <c r="G211" s="251"/>
      <c r="H211" s="251"/>
      <c r="I211" s="251"/>
      <c r="J211" s="251"/>
      <c r="K211" s="251" t="s">
        <v>173</v>
      </c>
      <c r="L211" s="21" t="s">
        <v>773</v>
      </c>
      <c r="M211" s="21" t="s">
        <v>774</v>
      </c>
      <c r="N211" s="21" t="s">
        <v>775</v>
      </c>
      <c r="O211" s="271" t="str">
        <f>TEXT(80.41,"0.00")</f>
        <v>80.41</v>
      </c>
      <c r="P211" s="21" t="s">
        <v>776</v>
      </c>
      <c r="Q211" s="21" t="s">
        <v>777</v>
      </c>
      <c r="R211" s="21" t="s">
        <v>778</v>
      </c>
      <c r="S211" s="271" t="str">
        <f>TEXT(81.55,"0.00")</f>
        <v>81.55</v>
      </c>
      <c r="T211" s="271" t="str">
        <f>TEXT(4.72,"0.00")</f>
        <v>4.72</v>
      </c>
    </row>
    <row r="212" spans="1:26" x14ac:dyDescent="0.25">
      <c r="A212" s="347" t="s">
        <v>196</v>
      </c>
      <c r="B212" s="348"/>
      <c r="C212" s="348"/>
      <c r="D212" s="348"/>
      <c r="E212" s="348"/>
      <c r="F212" s="348"/>
      <c r="G212" s="348"/>
      <c r="H212" s="348"/>
      <c r="I212" s="348"/>
      <c r="J212" s="348"/>
    </row>
    <row r="213" spans="1:26" x14ac:dyDescent="0.25">
      <c r="A213" s="185"/>
      <c r="B213" s="186"/>
      <c r="C213" s="330" t="s">
        <v>641</v>
      </c>
      <c r="D213" s="330"/>
      <c r="E213" s="330"/>
      <c r="F213" s="330"/>
      <c r="G213" s="330"/>
      <c r="H213" s="330"/>
      <c r="I213" s="330"/>
      <c r="J213" s="330"/>
      <c r="K213" s="330"/>
      <c r="Z213" s="176"/>
    </row>
    <row r="214" spans="1:26" x14ac:dyDescent="0.25">
      <c r="A214" s="373" t="s">
        <v>448</v>
      </c>
      <c r="B214" s="373" t="s">
        <v>198</v>
      </c>
      <c r="C214" s="331" t="s">
        <v>201</v>
      </c>
      <c r="D214" s="332"/>
      <c r="E214" s="332"/>
      <c r="F214" s="333"/>
      <c r="G214" s="334" t="s">
        <v>202</v>
      </c>
      <c r="H214" s="335"/>
      <c r="I214" s="335"/>
      <c r="J214" s="336"/>
      <c r="K214" s="337" t="s">
        <v>665</v>
      </c>
    </row>
    <row r="215" spans="1:26" x14ac:dyDescent="0.25">
      <c r="A215" s="374"/>
      <c r="B215" s="374"/>
      <c r="C215" s="216" t="s">
        <v>164</v>
      </c>
      <c r="D215" s="216" t="s">
        <v>166</v>
      </c>
      <c r="E215" s="216" t="s">
        <v>199</v>
      </c>
      <c r="F215" s="216" t="s">
        <v>205</v>
      </c>
      <c r="G215" s="215" t="s">
        <v>164</v>
      </c>
      <c r="H215" s="215" t="s">
        <v>166</v>
      </c>
      <c r="I215" s="215" t="s">
        <v>199</v>
      </c>
      <c r="J215" s="215" t="s">
        <v>205</v>
      </c>
      <c r="K215" s="338"/>
    </row>
    <row r="216" spans="1:26" x14ac:dyDescent="0.25">
      <c r="A216" s="19" t="s">
        <v>13</v>
      </c>
      <c r="B216" s="53"/>
      <c r="C216" s="277" t="s">
        <v>767</v>
      </c>
      <c r="D216" s="271" t="s">
        <v>768</v>
      </c>
      <c r="E216" s="271" t="s">
        <v>771</v>
      </c>
      <c r="F216" s="271" t="str">
        <f>TEXT(80.41,"0.00")</f>
        <v>80.41</v>
      </c>
      <c r="G216" s="271" t="s">
        <v>770</v>
      </c>
      <c r="H216" s="271" t="s">
        <v>769</v>
      </c>
      <c r="I216" s="271" t="s">
        <v>772</v>
      </c>
      <c r="J216" s="271" t="str">
        <f>TEXT(81.55,"0.00")</f>
        <v>81.55</v>
      </c>
      <c r="K216" s="271" t="str">
        <f>TEXT(4.72,"0.00")</f>
        <v>4.72</v>
      </c>
    </row>
    <row r="217" spans="1:26" x14ac:dyDescent="0.25">
      <c r="N217" t="s">
        <v>566</v>
      </c>
    </row>
    <row r="219" spans="1:26" x14ac:dyDescent="0.25">
      <c r="A219" s="54" t="s">
        <v>136</v>
      </c>
      <c r="B219" s="55"/>
      <c r="C219" s="55"/>
    </row>
    <row r="220" spans="1:26" x14ac:dyDescent="0.25">
      <c r="A220" s="22" t="s">
        <v>136</v>
      </c>
      <c r="B220" s="22" t="s">
        <v>144</v>
      </c>
      <c r="C220" s="22" t="s">
        <v>145</v>
      </c>
      <c r="D220" s="22" t="s">
        <v>469</v>
      </c>
      <c r="E220" s="22" t="s">
        <v>125</v>
      </c>
      <c r="F220" s="22" t="s">
        <v>54</v>
      </c>
      <c r="G220" s="22" t="s">
        <v>55</v>
      </c>
      <c r="H220" s="22" t="s">
        <v>470</v>
      </c>
      <c r="I220" s="22" t="s">
        <v>471</v>
      </c>
      <c r="J220" s="22" t="s">
        <v>140</v>
      </c>
      <c r="K220" s="22" t="s">
        <v>122</v>
      </c>
      <c r="L220" s="22" t="s">
        <v>120</v>
      </c>
    </row>
    <row r="221" spans="1:26" ht="45" x14ac:dyDescent="0.25">
      <c r="A221" s="24" t="s">
        <v>137</v>
      </c>
      <c r="B221" s="25" t="s">
        <v>216</v>
      </c>
      <c r="C221" s="25" t="s">
        <v>216</v>
      </c>
      <c r="D221" s="25" t="s">
        <v>134</v>
      </c>
      <c r="E221" s="25" t="s">
        <v>325</v>
      </c>
      <c r="F221" s="25"/>
      <c r="G221" s="25"/>
      <c r="H221" s="25"/>
      <c r="I221" s="25"/>
      <c r="J221" s="150">
        <f ca="1">TODAY()</f>
        <v>45142</v>
      </c>
      <c r="K221" s="150" t="str">
        <f ca="1">E87</f>
        <v>08-04-2023</v>
      </c>
      <c r="L221" s="25" t="s">
        <v>609</v>
      </c>
    </row>
    <row r="223" spans="1:26" x14ac:dyDescent="0.25">
      <c r="A223" s="54" t="s">
        <v>667</v>
      </c>
      <c r="B223" s="55"/>
      <c r="C223" s="55"/>
    </row>
    <row r="224" spans="1:26" x14ac:dyDescent="0.25">
      <c r="A224" s="22" t="s">
        <v>666</v>
      </c>
      <c r="B224" s="22" t="s">
        <v>657</v>
      </c>
      <c r="C224" s="22" t="s">
        <v>345</v>
      </c>
      <c r="D224" s="22" t="s">
        <v>658</v>
      </c>
    </row>
    <row r="225" spans="1:26" x14ac:dyDescent="0.25">
      <c r="A225" s="247" t="str">
        <f ca="1">TEXT(TODAY(),"YYYY-MM-DD")</f>
        <v>2023-08-04</v>
      </c>
      <c r="B225" s="17" t="s">
        <v>661</v>
      </c>
      <c r="C225" s="17" t="s">
        <v>660</v>
      </c>
      <c r="D225" s="17" t="s">
        <v>659</v>
      </c>
      <c r="E225" s="248" t="str">
        <f ca="1">TEXT(TODAY(),"MM-DD-YYYY h:mm AM/PM")</f>
        <v>08-04-2023 12:00 AM</v>
      </c>
    </row>
    <row r="227" spans="1:26" x14ac:dyDescent="0.25">
      <c r="A227" s="376" t="s">
        <v>654</v>
      </c>
      <c r="B227" s="376"/>
      <c r="C227" s="376"/>
      <c r="D227" s="376"/>
      <c r="E227" s="376"/>
    </row>
    <row r="228" spans="1:26" x14ac:dyDescent="0.25">
      <c r="A228" s="347" t="s">
        <v>207</v>
      </c>
      <c r="B228" s="348"/>
      <c r="C228" s="348"/>
      <c r="D228" s="348"/>
      <c r="E228" s="348"/>
      <c r="F228" s="348"/>
      <c r="G228" s="348"/>
      <c r="H228" s="348"/>
    </row>
    <row r="229" spans="1:26" x14ac:dyDescent="0.25">
      <c r="A229" s="22" t="s">
        <v>208</v>
      </c>
      <c r="B229" s="22" t="s">
        <v>209</v>
      </c>
      <c r="C229" s="22" t="s">
        <v>210</v>
      </c>
      <c r="D229" s="22" t="s">
        <v>0</v>
      </c>
      <c r="E229" s="22" t="s">
        <v>9</v>
      </c>
      <c r="F229" s="22" t="s">
        <v>211</v>
      </c>
      <c r="G229" s="22" t="s">
        <v>212</v>
      </c>
      <c r="H229" s="22"/>
    </row>
    <row r="230" spans="1:26" x14ac:dyDescent="0.25">
      <c r="A230" s="17">
        <v>10</v>
      </c>
      <c r="B230" s="17" t="s">
        <v>742</v>
      </c>
      <c r="C230" s="17">
        <v>1000</v>
      </c>
      <c r="D230" s="17" t="s">
        <v>13</v>
      </c>
      <c r="E230" s="17"/>
      <c r="F230" s="17" t="s">
        <v>206</v>
      </c>
      <c r="G230" s="17" t="s">
        <v>164</v>
      </c>
      <c r="H230" s="17"/>
    </row>
    <row r="231" spans="1:26" x14ac:dyDescent="0.25">
      <c r="A231" s="17">
        <v>20</v>
      </c>
      <c r="B231" s="17" t="s">
        <v>742</v>
      </c>
      <c r="C231" s="17">
        <v>1000</v>
      </c>
      <c r="D231" s="17" t="s">
        <v>13</v>
      </c>
      <c r="E231" s="17"/>
      <c r="F231" s="17" t="s">
        <v>215</v>
      </c>
      <c r="G231" s="17" t="s">
        <v>164</v>
      </c>
      <c r="H231" s="17"/>
    </row>
    <row r="232" spans="1:26" x14ac:dyDescent="0.25">
      <c r="A232" s="17">
        <v>30</v>
      </c>
      <c r="B232" s="17" t="s">
        <v>742</v>
      </c>
      <c r="C232" s="17">
        <v>1000</v>
      </c>
      <c r="D232" s="17" t="s">
        <v>13</v>
      </c>
      <c r="E232" s="17"/>
      <c r="F232" s="17" t="s">
        <v>213</v>
      </c>
      <c r="G232" s="17" t="s">
        <v>166</v>
      </c>
      <c r="H232" s="17"/>
    </row>
    <row r="233" spans="1:26" x14ac:dyDescent="0.25">
      <c r="A233" s="17">
        <v>40</v>
      </c>
      <c r="B233" s="17" t="s">
        <v>742</v>
      </c>
      <c r="C233" s="17">
        <v>1000</v>
      </c>
      <c r="D233" s="17" t="s">
        <v>13</v>
      </c>
      <c r="E233" s="17"/>
      <c r="F233" s="17" t="s">
        <v>214</v>
      </c>
      <c r="G233" s="17" t="s">
        <v>166</v>
      </c>
      <c r="H233" s="17"/>
    </row>
    <row r="234" spans="1:26" x14ac:dyDescent="0.25">
      <c r="A234" s="223"/>
      <c r="B234" s="224"/>
      <c r="C234" s="224"/>
      <c r="D234" s="224"/>
      <c r="E234" s="224"/>
      <c r="F234" s="224"/>
      <c r="G234" s="224"/>
      <c r="H234" s="224"/>
    </row>
    <row r="235" spans="1:26" x14ac:dyDescent="0.25">
      <c r="A235" s="54" t="s">
        <v>136</v>
      </c>
      <c r="B235" s="55"/>
      <c r="C235" s="55"/>
      <c r="D235" s="9"/>
      <c r="E235" s="9"/>
      <c r="F235" s="9"/>
      <c r="G235" s="9"/>
      <c r="H235" s="9"/>
    </row>
    <row r="236" spans="1:26" x14ac:dyDescent="0.25">
      <c r="A236" s="22" t="s">
        <v>136</v>
      </c>
      <c r="B236" s="22" t="s">
        <v>144</v>
      </c>
      <c r="C236" s="22" t="s">
        <v>145</v>
      </c>
      <c r="D236" s="9"/>
      <c r="E236" s="9"/>
      <c r="F236" s="9"/>
      <c r="G236" s="9"/>
      <c r="H236" s="9"/>
    </row>
    <row r="237" spans="1:26" ht="45" x14ac:dyDescent="0.25">
      <c r="A237" s="57" t="s">
        <v>137</v>
      </c>
      <c r="B237" s="58" t="s">
        <v>146</v>
      </c>
      <c r="C237" s="58" t="s">
        <v>146</v>
      </c>
      <c r="D237" s="9"/>
      <c r="E237" s="9"/>
      <c r="F237" s="9"/>
      <c r="G237" s="9"/>
      <c r="H237" s="9"/>
    </row>
    <row r="239" spans="1:26" ht="39.6" customHeight="1" x14ac:dyDescent="0.5">
      <c r="A239" s="359" t="s">
        <v>653</v>
      </c>
      <c r="B239" s="359"/>
      <c r="C239" s="359"/>
      <c r="D239" s="359"/>
      <c r="E239" s="359"/>
      <c r="F239" s="359"/>
      <c r="G239" s="359"/>
      <c r="H239" s="359"/>
      <c r="I239" s="359"/>
      <c r="J239" s="359"/>
      <c r="K239" s="359"/>
      <c r="L239" s="359"/>
      <c r="M239" s="359"/>
      <c r="N239" s="359"/>
      <c r="O239" s="359"/>
      <c r="P239" s="359"/>
      <c r="Q239" s="359"/>
      <c r="R239" s="359"/>
      <c r="S239" s="359"/>
      <c r="T239" s="359"/>
      <c r="U239" s="359"/>
      <c r="V239" s="359"/>
      <c r="W239" s="359"/>
      <c r="X239" s="359"/>
      <c r="Y239" s="359"/>
      <c r="Z239" s="359"/>
    </row>
    <row r="240" spans="1:26" hidden="1" x14ac:dyDescent="0.25">
      <c r="A240" s="324" t="s">
        <v>159</v>
      </c>
      <c r="B240" s="325"/>
      <c r="C240" s="325"/>
      <c r="D240" s="325"/>
      <c r="E240" s="325"/>
      <c r="H240" s="377" t="s">
        <v>514</v>
      </c>
      <c r="I240" s="377"/>
      <c r="J240" s="377"/>
      <c r="K240" s="377"/>
      <c r="L240" s="377"/>
      <c r="M240" s="377"/>
      <c r="N240" s="375" t="s">
        <v>515</v>
      </c>
      <c r="O240" s="375"/>
      <c r="P240" s="375"/>
      <c r="Q240" s="375"/>
      <c r="R240" s="375"/>
      <c r="S240" s="375"/>
    </row>
    <row r="241" spans="1:26" hidden="1" x14ac:dyDescent="0.25">
      <c r="A241" s="187" t="s">
        <v>160</v>
      </c>
      <c r="B241" s="187" t="s">
        <v>43</v>
      </c>
      <c r="C241" s="187" t="s">
        <v>168</v>
      </c>
      <c r="D241" s="39" t="s">
        <v>176</v>
      </c>
      <c r="E241" s="39" t="s">
        <v>177</v>
      </c>
      <c r="F241" s="39" t="s">
        <v>56</v>
      </c>
      <c r="G241" s="207" t="s">
        <v>161</v>
      </c>
      <c r="H241" s="194" t="s">
        <v>162</v>
      </c>
      <c r="I241" s="194" t="s">
        <v>18</v>
      </c>
      <c r="J241" s="194" t="s">
        <v>163</v>
      </c>
      <c r="K241" s="194" t="s">
        <v>164</v>
      </c>
      <c r="L241" s="194" t="s">
        <v>662</v>
      </c>
      <c r="M241" s="194" t="s">
        <v>166</v>
      </c>
      <c r="N241" s="208" t="s">
        <v>162</v>
      </c>
      <c r="O241" s="39" t="s">
        <v>18</v>
      </c>
      <c r="P241" s="39" t="s">
        <v>163</v>
      </c>
      <c r="Q241" s="39" t="s">
        <v>164</v>
      </c>
      <c r="R241" s="39" t="s">
        <v>662</v>
      </c>
      <c r="S241" s="39" t="s">
        <v>166</v>
      </c>
      <c r="T241" s="39" t="s">
        <v>183</v>
      </c>
      <c r="U241" s="39" t="s">
        <v>180</v>
      </c>
      <c r="V241" s="39" t="s">
        <v>181</v>
      </c>
      <c r="W241" s="39" t="s">
        <v>182</v>
      </c>
      <c r="X241" s="39" t="s">
        <v>167</v>
      </c>
      <c r="Y241" s="39" t="s">
        <v>510</v>
      </c>
    </row>
    <row r="242" spans="1:26" hidden="1" x14ac:dyDescent="0.25">
      <c r="A242" s="46" t="s">
        <v>169</v>
      </c>
      <c r="B242" s="46"/>
      <c r="C242" s="46" t="s">
        <v>178</v>
      </c>
      <c r="D242" s="46"/>
      <c r="E242" s="46"/>
      <c r="F242" s="46"/>
      <c r="G242" s="46"/>
      <c r="H242" s="194"/>
      <c r="I242" s="194"/>
      <c r="J242" s="195">
        <f>J244+J254+J264</f>
        <v>308</v>
      </c>
      <c r="K242" s="196">
        <f>SUMIFS(K244:K293,C244:C293,C242,A244:A293,"*"&amp;"DE_"&amp;"*")</f>
        <v>391830.55</v>
      </c>
      <c r="L242" s="194"/>
      <c r="M242" s="197">
        <f>SUMIFS(M244:M293,C244:C293,C242,A244:A293,"*"&amp;"DE_"&amp;"*")</f>
        <v>76764.160000000003</v>
      </c>
      <c r="N242" s="203"/>
      <c r="O242" s="203"/>
      <c r="P242" s="204">
        <f>P244+P254+P264</f>
        <v>308</v>
      </c>
      <c r="Q242" s="205">
        <f>SUMIFS(Q244:Q293,C244:C293,C242,A244:A293,"*"&amp;"DE_"&amp;"*")</f>
        <v>5093.8</v>
      </c>
      <c r="R242" s="203"/>
      <c r="S242" s="205">
        <f>SUMIFS(S244:S293,C244:C293,C242,A244:A293,"*"&amp;"DE_"&amp;"*")</f>
        <v>997.97</v>
      </c>
      <c r="T242" s="46"/>
      <c r="U242" s="46"/>
      <c r="V242" s="46"/>
      <c r="W242" s="46"/>
      <c r="X242" s="46" t="s">
        <v>479</v>
      </c>
      <c r="Y242">
        <v>74.239999999999995</v>
      </c>
    </row>
    <row r="243" spans="1:26" hidden="1" x14ac:dyDescent="0.25">
      <c r="A243" s="46" t="s">
        <v>169</v>
      </c>
      <c r="B243" s="46"/>
      <c r="C243" s="46" t="s">
        <v>173</v>
      </c>
      <c r="D243" s="46"/>
      <c r="E243" s="46"/>
      <c r="F243" s="46"/>
      <c r="G243" s="46"/>
      <c r="H243" s="194"/>
      <c r="I243" s="194"/>
      <c r="J243" s="195">
        <f>(J245+J255+J265)</f>
        <v>300</v>
      </c>
      <c r="K243" s="196">
        <f>SUMIFS(K244:K293,C244:C293,C243,A244:A293,"*"&amp;"DE_"&amp;"*")</f>
        <v>374169.59999999998</v>
      </c>
      <c r="L243" s="194"/>
      <c r="M243" s="197">
        <f>SUMIFS(M244:M293,C244:C293,C243,A244:A293,"*"&amp;"DE_"&amp;"*")</f>
        <v>69043.200000000012</v>
      </c>
      <c r="N243" s="203"/>
      <c r="O243" s="203"/>
      <c r="P243" s="204">
        <f>(P245+P255+P265)</f>
        <v>300</v>
      </c>
      <c r="Q243" s="205">
        <f>SUMIFS(Q244:Q293,C244:C293,C243,A244:A293,"*"&amp;"DE_"&amp;"*")</f>
        <v>4864.2000000000007</v>
      </c>
      <c r="R243" s="203"/>
      <c r="S243" s="205">
        <f>SUMIFS(S244:S293,C244:C293,C243,A244:A293,"*"&amp;"DE_"&amp;"*")</f>
        <v>897.56999999999994</v>
      </c>
      <c r="T243" s="46"/>
      <c r="U243" s="46"/>
      <c r="V243" s="46"/>
      <c r="W243" s="46"/>
      <c r="X243" s="46"/>
    </row>
    <row r="244" spans="1:26" hidden="1" x14ac:dyDescent="0.25">
      <c r="A244" s="49" t="s">
        <v>170</v>
      </c>
      <c r="B244" s="49"/>
      <c r="C244" s="49" t="s">
        <v>178</v>
      </c>
      <c r="D244" s="49"/>
      <c r="E244" s="49"/>
      <c r="F244" s="49"/>
      <c r="G244" s="49"/>
      <c r="H244" s="194"/>
      <c r="I244" s="194"/>
      <c r="J244" s="195">
        <f>SUMIFS(J246:J253,C246:C253,C244)</f>
        <v>101</v>
      </c>
      <c r="K244" s="196">
        <f>SUMIFS(K246:K253,C246:C253,C244)</f>
        <v>3014.14</v>
      </c>
      <c r="L244" s="194"/>
      <c r="M244" s="197">
        <f>SUMIFS(M246:M253,C246:C253,C244)</f>
        <v>23979.52</v>
      </c>
      <c r="N244" s="203"/>
      <c r="O244" s="203"/>
      <c r="P244" s="204">
        <f>SUMIFS(P246:P253,C246:C253,C244)</f>
        <v>101</v>
      </c>
      <c r="Q244" s="205">
        <f>SUMIFS(Q246:Q253,C246:C253,C244)</f>
        <v>39.18</v>
      </c>
      <c r="R244" s="203"/>
      <c r="S244" s="205">
        <f>SUMIFS(S246:S253,C246:C253,C244)</f>
        <v>311.74</v>
      </c>
      <c r="T244" s="49"/>
      <c r="U244" s="49"/>
      <c r="V244" s="49"/>
      <c r="W244" s="49"/>
      <c r="X244" s="49" t="s">
        <v>478</v>
      </c>
    </row>
    <row r="245" spans="1:26" hidden="1" x14ac:dyDescent="0.25">
      <c r="A245" s="49" t="s">
        <v>170</v>
      </c>
      <c r="B245" s="49"/>
      <c r="C245" s="49" t="s">
        <v>173</v>
      </c>
      <c r="D245" s="49"/>
      <c r="E245" s="49"/>
      <c r="F245" s="49"/>
      <c r="G245" s="49"/>
      <c r="H245" s="194"/>
      <c r="I245" s="194"/>
      <c r="J245" s="195">
        <f>SUMIFS(J246:J253,C246:C253,C245)</f>
        <v>100</v>
      </c>
      <c r="K245" s="196">
        <f>SUMIFS(K246:K253,C246:C253,C245)</f>
        <v>2969.6</v>
      </c>
      <c r="L245" s="194"/>
      <c r="M245" s="197">
        <f>SUMIFS(M246:M253,C246:C253,C245)</f>
        <v>23014.400000000001</v>
      </c>
      <c r="N245" s="203"/>
      <c r="O245" s="203"/>
      <c r="P245" s="204">
        <f>SUMIFS(P246:P253,C246:C253,C245)</f>
        <v>100</v>
      </c>
      <c r="Q245" s="205">
        <f>SUMIFS(Q246:Q253,C246:C253,C245)</f>
        <v>38.6</v>
      </c>
      <c r="R245" s="203"/>
      <c r="S245" s="205">
        <f>SUMIFS(S246:S253,C246:C253,C245)</f>
        <v>299.19</v>
      </c>
      <c r="T245" s="49"/>
      <c r="U245" s="49"/>
      <c r="V245" s="49"/>
      <c r="W245" s="49"/>
      <c r="X245" s="49"/>
    </row>
    <row r="246" spans="1:26" hidden="1" x14ac:dyDescent="0.25">
      <c r="A246" s="2" t="s">
        <v>500</v>
      </c>
      <c r="B246" s="8"/>
      <c r="C246" s="28" t="s">
        <v>178</v>
      </c>
      <c r="D246" s="28"/>
      <c r="E246" s="28"/>
      <c r="F246" s="167" t="s">
        <v>512</v>
      </c>
      <c r="G246" s="28" t="str">
        <f>CONCATENATE("USD,FLAT ",TEXT(F246,"0.00"))</f>
        <v>USD,FLAT 0.40</v>
      </c>
      <c r="H246" s="200">
        <f>K246/J246</f>
        <v>29.695999999999998</v>
      </c>
      <c r="I246" s="198" t="s">
        <v>22</v>
      </c>
      <c r="J246" s="199">
        <v>100</v>
      </c>
      <c r="K246" s="200">
        <f>ROUND(J246*F246*Y246,2)</f>
        <v>2969.6</v>
      </c>
      <c r="L246" s="198" t="str">
        <f>TEXT(IFERROR(((K246-K247)/K247*100),"0.00"),"0.00")</f>
        <v>0.00</v>
      </c>
      <c r="M246" s="200">
        <f>ROUND((10+J246*3)*Y246,2)</f>
        <v>23014.400000000001</v>
      </c>
      <c r="N246" s="36">
        <f>Q246/P246</f>
        <v>0.38600000000000001</v>
      </c>
      <c r="O246" s="31" t="s">
        <v>22</v>
      </c>
      <c r="P246" s="32">
        <v>100</v>
      </c>
      <c r="Q246" s="36">
        <f>ROUND(P246*F246*Y246*Z246,2)</f>
        <v>38.6</v>
      </c>
      <c r="R246" s="31" t="str">
        <f>TEXT(IFERROR(((Q246-Q247)/Q247*100),"0.00"),"0.00")</f>
        <v>0.00</v>
      </c>
      <c r="S246" s="36">
        <f>ROUND((10+P246*3)*Y246*Z246,2)</f>
        <v>299.19</v>
      </c>
      <c r="T246" s="33" t="s">
        <v>519</v>
      </c>
      <c r="U246" s="28" t="s">
        <v>190</v>
      </c>
      <c r="V246" s="28"/>
      <c r="W246" s="28"/>
      <c r="X246" s="28"/>
      <c r="Y246">
        <v>74.239999999999995</v>
      </c>
      <c r="Z246" s="169" t="s">
        <v>511</v>
      </c>
    </row>
    <row r="247" spans="1:26" hidden="1" x14ac:dyDescent="0.25">
      <c r="A247" s="8"/>
      <c r="B247" s="8"/>
      <c r="C247" s="31" t="s">
        <v>173</v>
      </c>
      <c r="D247" s="31"/>
      <c r="E247" s="31"/>
      <c r="F247" s="206" t="s">
        <v>512</v>
      </c>
      <c r="G247" s="31" t="str">
        <f>CONCATENATE("USD,FLAT ",TEXT(F247,"0.00"))</f>
        <v>USD,FLAT 0.40</v>
      </c>
      <c r="H247" s="200">
        <f>K247/J247</f>
        <v>29.695999999999998</v>
      </c>
      <c r="I247" s="198" t="s">
        <v>22</v>
      </c>
      <c r="J247" s="199">
        <v>100</v>
      </c>
      <c r="K247" s="200">
        <f>ROUND(J247*F247*Y247,2)</f>
        <v>2969.6</v>
      </c>
      <c r="L247" s="198"/>
      <c r="M247" s="200">
        <f>ROUND((10+J247*3)*Y247,2)</f>
        <v>23014.400000000001</v>
      </c>
      <c r="N247" s="36">
        <f>Q247/P247</f>
        <v>0.38600000000000001</v>
      </c>
      <c r="O247" s="31" t="s">
        <v>22</v>
      </c>
      <c r="P247" s="32">
        <v>100</v>
      </c>
      <c r="Q247" s="36">
        <f>ROUND(P247*F247*Y247*Z247,2)</f>
        <v>38.6</v>
      </c>
      <c r="R247" s="31"/>
      <c r="S247" s="36">
        <f>ROUND((10+P247*3)*Y247*Z247,2)</f>
        <v>299.19</v>
      </c>
      <c r="T247" s="31"/>
      <c r="U247" s="31"/>
      <c r="V247" s="31"/>
      <c r="W247" s="31"/>
      <c r="X247" s="31"/>
      <c r="Y247">
        <v>74.239999999999995</v>
      </c>
      <c r="Z247" s="169" t="s">
        <v>511</v>
      </c>
    </row>
    <row r="248" spans="1:26" hidden="1" x14ac:dyDescent="0.25">
      <c r="A248" s="8"/>
      <c r="B248" s="8"/>
      <c r="C248" s="40" t="s">
        <v>174</v>
      </c>
      <c r="D248" s="40"/>
      <c r="E248" s="40"/>
      <c r="F248" s="40"/>
      <c r="G248" s="40"/>
      <c r="H248" s="198"/>
      <c r="I248" s="198"/>
      <c r="J248" s="198"/>
      <c r="K248" s="200"/>
      <c r="L248" s="198"/>
      <c r="M248" s="198"/>
      <c r="N248" s="31"/>
      <c r="O248" s="31"/>
      <c r="P248" s="31"/>
      <c r="Q248" s="31"/>
      <c r="R248" s="31"/>
      <c r="S248" s="31"/>
      <c r="T248" s="40"/>
      <c r="U248" s="40"/>
      <c r="V248" s="40"/>
      <c r="W248" s="40"/>
      <c r="X248" s="40"/>
      <c r="Y248">
        <v>74.239999999999995</v>
      </c>
      <c r="Z248" s="169" t="s">
        <v>511</v>
      </c>
    </row>
    <row r="249" spans="1:26" hidden="1" x14ac:dyDescent="0.25">
      <c r="A249" s="8"/>
      <c r="B249" s="8"/>
      <c r="C249" s="41" t="s">
        <v>175</v>
      </c>
      <c r="D249" s="41"/>
      <c r="E249" s="41"/>
      <c r="F249" s="41"/>
      <c r="G249" s="41"/>
      <c r="H249" s="198"/>
      <c r="I249" s="198"/>
      <c r="J249" s="198"/>
      <c r="K249" s="200"/>
      <c r="L249" s="198"/>
      <c r="M249" s="198"/>
      <c r="N249" s="31"/>
      <c r="O249" s="31"/>
      <c r="P249" s="31"/>
      <c r="Q249" s="31"/>
      <c r="R249" s="31"/>
      <c r="S249" s="31"/>
      <c r="T249" s="41"/>
      <c r="U249" s="41"/>
      <c r="V249" s="41"/>
      <c r="W249" s="41"/>
      <c r="X249" s="41"/>
      <c r="Y249">
        <v>74.239999999999995</v>
      </c>
      <c r="Z249" s="169" t="s">
        <v>511</v>
      </c>
    </row>
    <row r="250" spans="1:26" hidden="1" x14ac:dyDescent="0.25">
      <c r="A250" s="2" t="s">
        <v>501</v>
      </c>
      <c r="B250" s="8"/>
      <c r="C250" s="28" t="s">
        <v>178</v>
      </c>
      <c r="D250" s="28"/>
      <c r="E250" s="28"/>
      <c r="F250" s="167" t="s">
        <v>513</v>
      </c>
      <c r="G250" s="28" t="str">
        <f>CONCATENATE("USD,FLAT ",TEXT(F250,"0.00"))</f>
        <v>USD,FLAT 0.60</v>
      </c>
      <c r="H250" s="200">
        <f>K250/J250</f>
        <v>44.54</v>
      </c>
      <c r="I250" s="198" t="s">
        <v>22</v>
      </c>
      <c r="J250" s="199">
        <v>1</v>
      </c>
      <c r="K250" s="200">
        <f>ROUND(J250*F250*Y250,2)</f>
        <v>44.54</v>
      </c>
      <c r="L250" s="198" t="str">
        <f>TEXT(IFERROR(((K250-K251)/K251*100),"0.00"),"0.00")</f>
        <v>0.00</v>
      </c>
      <c r="M250" s="200">
        <f>ROUND((10+J250*3)*Y250,2)</f>
        <v>965.12</v>
      </c>
      <c r="N250" s="36">
        <f>Q250/P250</f>
        <v>0.57999999999999996</v>
      </c>
      <c r="O250" s="31" t="s">
        <v>22</v>
      </c>
      <c r="P250" s="32">
        <v>1</v>
      </c>
      <c r="Q250" s="36">
        <f>ROUND(P250*F250*Y250*Z250,2)</f>
        <v>0.57999999999999996</v>
      </c>
      <c r="R250" s="31" t="str">
        <f>TEXT(IFERROR(((Q250-Q251)/Q251*100),"0.00"),"0.00")</f>
        <v>0.00</v>
      </c>
      <c r="S250" s="36">
        <f>ROUND((10+P250*3)*Y250*Z250,2)</f>
        <v>12.55</v>
      </c>
      <c r="T250" s="33" t="s">
        <v>519</v>
      </c>
      <c r="U250" s="28" t="s">
        <v>190</v>
      </c>
      <c r="V250" s="28" t="s">
        <v>476</v>
      </c>
      <c r="W250" s="28"/>
      <c r="X250" s="28"/>
      <c r="Y250">
        <v>74.239999999999995</v>
      </c>
      <c r="Z250" s="169" t="s">
        <v>511</v>
      </c>
    </row>
    <row r="251" spans="1:26" hidden="1" x14ac:dyDescent="0.25">
      <c r="A251" s="8"/>
      <c r="B251" s="8"/>
      <c r="C251" s="31" t="s">
        <v>173</v>
      </c>
      <c r="D251" s="31"/>
      <c r="E251" s="31"/>
      <c r="F251" s="31"/>
      <c r="G251" s="31"/>
      <c r="H251" s="201"/>
      <c r="I251" s="198"/>
      <c r="J251" s="199"/>
      <c r="K251" s="200"/>
      <c r="L251" s="198"/>
      <c r="M251" s="201"/>
      <c r="N251" s="36"/>
      <c r="O251" s="31"/>
      <c r="P251" s="32"/>
      <c r="Q251" s="36"/>
      <c r="R251" s="31"/>
      <c r="S251" s="36"/>
      <c r="T251" s="31"/>
      <c r="U251" s="31"/>
      <c r="V251" s="31"/>
      <c r="W251" s="31"/>
      <c r="X251" s="31"/>
      <c r="Y251">
        <v>74.239999999999995</v>
      </c>
      <c r="Z251" s="169" t="s">
        <v>511</v>
      </c>
    </row>
    <row r="252" spans="1:26" hidden="1" x14ac:dyDescent="0.25">
      <c r="A252" s="8"/>
      <c r="B252" s="8"/>
      <c r="C252" s="40" t="s">
        <v>174</v>
      </c>
      <c r="D252" s="40"/>
      <c r="E252" s="40"/>
      <c r="F252" s="40"/>
      <c r="G252" s="40"/>
      <c r="H252" s="198"/>
      <c r="I252" s="198"/>
      <c r="J252" s="198"/>
      <c r="K252" s="200"/>
      <c r="L252" s="198"/>
      <c r="M252" s="198"/>
      <c r="N252" s="31"/>
      <c r="O252" s="31"/>
      <c r="P252" s="31"/>
      <c r="Q252" s="31"/>
      <c r="R252" s="31"/>
      <c r="S252" s="31"/>
      <c r="T252" s="40"/>
      <c r="U252" s="40"/>
      <c r="V252" s="40"/>
      <c r="W252" s="40"/>
      <c r="X252" s="40"/>
      <c r="Y252">
        <v>74.239999999999995</v>
      </c>
      <c r="Z252" s="169" t="s">
        <v>511</v>
      </c>
    </row>
    <row r="253" spans="1:26" hidden="1" x14ac:dyDescent="0.25">
      <c r="A253" s="8"/>
      <c r="B253" s="8"/>
      <c r="C253" s="41" t="s">
        <v>175</v>
      </c>
      <c r="D253" s="41"/>
      <c r="E253" s="41"/>
      <c r="F253" s="41"/>
      <c r="G253" s="41"/>
      <c r="H253" s="198"/>
      <c r="I253" s="198"/>
      <c r="J253" s="198"/>
      <c r="K253" s="200"/>
      <c r="L253" s="198"/>
      <c r="M253" s="198"/>
      <c r="N253" s="31"/>
      <c r="O253" s="31"/>
      <c r="P253" s="31"/>
      <c r="Q253" s="31"/>
      <c r="R253" s="31"/>
      <c r="S253" s="31"/>
      <c r="T253" s="41"/>
      <c r="U253" s="41"/>
      <c r="V253" s="41"/>
      <c r="W253" s="41"/>
      <c r="X253" s="41"/>
      <c r="Y253">
        <v>74.239999999999995</v>
      </c>
      <c r="Z253" s="169" t="s">
        <v>511</v>
      </c>
    </row>
    <row r="254" spans="1:26" hidden="1" x14ac:dyDescent="0.25">
      <c r="A254" s="49" t="s">
        <v>171</v>
      </c>
      <c r="B254" s="49"/>
      <c r="C254" s="49" t="s">
        <v>178</v>
      </c>
      <c r="D254" s="49"/>
      <c r="E254" s="49"/>
      <c r="F254" s="49"/>
      <c r="G254" s="49"/>
      <c r="H254" s="194"/>
      <c r="I254" s="194"/>
      <c r="J254" s="195">
        <f>SUMIFS(J256:J263,C256:C263,C254)</f>
        <v>2</v>
      </c>
      <c r="K254" s="196">
        <f>SUMIFS(K256:K263,C256:C263,C254)</f>
        <v>8336.41</v>
      </c>
      <c r="L254" s="194"/>
      <c r="M254" s="197">
        <f>SUMIFS(M256:M263,C256:C263,C254)</f>
        <v>1930.24</v>
      </c>
      <c r="N254" s="203"/>
      <c r="O254" s="203"/>
      <c r="P254" s="204">
        <f>SUMIFS(P256:P263,C256:C263,C254)</f>
        <v>2</v>
      </c>
      <c r="Q254" s="205">
        <f>SUMIFS(Q256:Q263,C256:C263,C254)</f>
        <v>108.36999999999999</v>
      </c>
      <c r="R254" s="203"/>
      <c r="S254" s="205">
        <f>ROUND(SUMIFS(S256:S263,C256:C263,C254),2)</f>
        <v>25.1</v>
      </c>
      <c r="T254" s="49"/>
      <c r="U254" s="49"/>
      <c r="V254" s="49"/>
      <c r="W254" s="49"/>
      <c r="X254" s="49"/>
      <c r="Y254">
        <v>74.239999999999995</v>
      </c>
      <c r="Z254" s="169" t="s">
        <v>511</v>
      </c>
    </row>
    <row r="255" spans="1:26" hidden="1" x14ac:dyDescent="0.25">
      <c r="A255" s="49" t="s">
        <v>171</v>
      </c>
      <c r="B255" s="49"/>
      <c r="C255" s="49" t="s">
        <v>173</v>
      </c>
      <c r="D255" s="49"/>
      <c r="E255" s="49"/>
      <c r="F255" s="49"/>
      <c r="G255" s="49"/>
      <c r="H255" s="194"/>
      <c r="I255" s="194"/>
      <c r="J255" s="195">
        <f>SUMIFS(J256:J263,C256:C263,C255)</f>
        <v>0</v>
      </c>
      <c r="K255" s="196">
        <f>SUMIFS(K256:K263,C256:C263,C255)</f>
        <v>0</v>
      </c>
      <c r="L255" s="194"/>
      <c r="M255" s="197">
        <f>SUMIFS(M256:M263,C256:C263,C255)</f>
        <v>0</v>
      </c>
      <c r="N255" s="203"/>
      <c r="O255" s="203"/>
      <c r="P255" s="204">
        <f>SUMIFS(P256:P263,C256:C263,C255)</f>
        <v>0</v>
      </c>
      <c r="Q255" s="205">
        <f>SUMIFS(Q256:Q263,C256:C263,C255)</f>
        <v>0</v>
      </c>
      <c r="R255" s="203"/>
      <c r="S255" s="205">
        <f>SUMIFS(S256:S263,C256:C263,C255)</f>
        <v>0</v>
      </c>
      <c r="T255" s="49"/>
      <c r="U255" s="49"/>
      <c r="V255" s="49"/>
      <c r="W255" s="49"/>
      <c r="X255" s="49"/>
      <c r="Y255">
        <v>74.239999999999995</v>
      </c>
      <c r="Z255" s="169" t="s">
        <v>511</v>
      </c>
    </row>
    <row r="256" spans="1:26" hidden="1" x14ac:dyDescent="0.25">
      <c r="A256" s="2" t="s">
        <v>502</v>
      </c>
      <c r="B256" s="8"/>
      <c r="C256" s="28" t="s">
        <v>178</v>
      </c>
      <c r="D256" s="28"/>
      <c r="E256" s="28"/>
      <c r="F256" s="168" t="s">
        <v>290</v>
      </c>
      <c r="G256" s="28" t="str">
        <f>CONCATENATE("USD,FLAT ",TEXT(F256,"0.00"))</f>
        <v>USD,FLAT 0.25</v>
      </c>
      <c r="H256" s="200">
        <f>K256/J256</f>
        <v>18.559999999999999</v>
      </c>
      <c r="I256" s="198" t="s">
        <v>22</v>
      </c>
      <c r="J256" s="199">
        <v>1</v>
      </c>
      <c r="K256" s="200">
        <f>ROUND(J256*F256*Y256,2)</f>
        <v>18.559999999999999</v>
      </c>
      <c r="L256" s="198" t="str">
        <f>TEXT(IFERROR(((K256-K257)/K257*100),"0.00"),"0.00")</f>
        <v>0.00</v>
      </c>
      <c r="M256" s="200">
        <f>ROUND((10+J256*3)*Y256,2)</f>
        <v>965.12</v>
      </c>
      <c r="N256" s="36">
        <f>Q256/P256</f>
        <v>0.24</v>
      </c>
      <c r="O256" s="31" t="s">
        <v>22</v>
      </c>
      <c r="P256" s="32">
        <v>1</v>
      </c>
      <c r="Q256" s="36">
        <f>ROUND(P256*F256*Y256*Z256,2)</f>
        <v>0.24</v>
      </c>
      <c r="R256" s="31" t="str">
        <f>TEXT(IFERROR(((Q256-Q257)/Q257*100),"0.00"),"0.00")</f>
        <v>0.00</v>
      </c>
      <c r="S256" s="36">
        <f>ROUND((10+P256*3)*Y256*Z256,2)</f>
        <v>12.55</v>
      </c>
      <c r="T256" s="33" t="s">
        <v>519</v>
      </c>
      <c r="U256" s="28"/>
      <c r="V256" s="28"/>
      <c r="W256" s="28"/>
      <c r="X256" s="28"/>
      <c r="Y256">
        <v>74.239999999999995</v>
      </c>
      <c r="Z256" s="169" t="s">
        <v>511</v>
      </c>
    </row>
    <row r="257" spans="1:26" hidden="1" x14ac:dyDescent="0.25">
      <c r="A257" s="8"/>
      <c r="B257" s="8"/>
      <c r="C257" s="31" t="s">
        <v>173</v>
      </c>
      <c r="D257" s="31"/>
      <c r="E257" s="31"/>
      <c r="F257" s="31"/>
      <c r="G257" s="31"/>
      <c r="H257" s="201"/>
      <c r="I257" s="198"/>
      <c r="J257" s="199"/>
      <c r="K257" s="200"/>
      <c r="L257" s="198"/>
      <c r="M257" s="201"/>
      <c r="N257" s="36"/>
      <c r="O257" s="31"/>
      <c r="P257" s="32"/>
      <c r="Q257" s="38"/>
      <c r="R257" s="31"/>
      <c r="S257" s="36"/>
      <c r="T257" s="31"/>
      <c r="U257" s="31"/>
      <c r="V257" s="31"/>
      <c r="W257" s="31"/>
      <c r="X257" s="31"/>
      <c r="Y257">
        <v>74.239999999999995</v>
      </c>
      <c r="Z257" s="169" t="s">
        <v>511</v>
      </c>
    </row>
    <row r="258" spans="1:26" hidden="1" x14ac:dyDescent="0.25">
      <c r="A258" s="8"/>
      <c r="B258" s="8"/>
      <c r="C258" s="40" t="s">
        <v>174</v>
      </c>
      <c r="D258" s="40"/>
      <c r="E258" s="40"/>
      <c r="F258" s="40"/>
      <c r="G258" s="40"/>
      <c r="H258" s="198"/>
      <c r="I258" s="198"/>
      <c r="J258" s="198"/>
      <c r="K258" s="200"/>
      <c r="L258" s="198"/>
      <c r="M258" s="198"/>
      <c r="N258" s="31"/>
      <c r="O258" s="31"/>
      <c r="P258" s="31"/>
      <c r="Q258" s="38"/>
      <c r="R258" s="31"/>
      <c r="S258" s="31"/>
      <c r="T258" s="40"/>
      <c r="U258" s="40"/>
      <c r="V258" s="40"/>
      <c r="W258" s="40"/>
      <c r="X258" s="40"/>
      <c r="Y258">
        <v>74.239999999999995</v>
      </c>
      <c r="Z258" s="169" t="s">
        <v>511</v>
      </c>
    </row>
    <row r="259" spans="1:26" hidden="1" x14ac:dyDescent="0.25">
      <c r="A259" s="8"/>
      <c r="B259" s="8"/>
      <c r="C259" s="41" t="s">
        <v>175</v>
      </c>
      <c r="D259" s="41"/>
      <c r="E259" s="41"/>
      <c r="F259" s="41"/>
      <c r="G259" s="41"/>
      <c r="H259" s="198"/>
      <c r="I259" s="198"/>
      <c r="J259" s="198"/>
      <c r="K259" s="200"/>
      <c r="L259" s="198"/>
      <c r="M259" s="198"/>
      <c r="N259" s="31"/>
      <c r="O259" s="31"/>
      <c r="P259" s="31"/>
      <c r="Q259" s="38"/>
      <c r="R259" s="31"/>
      <c r="S259" s="31"/>
      <c r="T259" s="41"/>
      <c r="U259" s="41"/>
      <c r="V259" s="41"/>
      <c r="W259" s="41"/>
      <c r="X259" s="41"/>
      <c r="Y259">
        <v>74.239999999999995</v>
      </c>
      <c r="Z259" s="169" t="s">
        <v>511</v>
      </c>
    </row>
    <row r="260" spans="1:26" hidden="1" x14ac:dyDescent="0.25">
      <c r="A260" s="2" t="s">
        <v>503</v>
      </c>
      <c r="B260" s="8"/>
      <c r="C260" s="28" t="s">
        <v>178</v>
      </c>
      <c r="D260" s="28"/>
      <c r="E260" s="28"/>
      <c r="F260" s="29">
        <v>112.04</v>
      </c>
      <c r="G260" s="28" t="str">
        <f>CONCATENATE("USD,FLAT ",TEXT(F260,"0.00"))</f>
        <v>USD,FLAT 112.04</v>
      </c>
      <c r="H260" s="200">
        <f>K260/J260</f>
        <v>8317.85</v>
      </c>
      <c r="I260" s="198" t="s">
        <v>22</v>
      </c>
      <c r="J260" s="199">
        <v>1</v>
      </c>
      <c r="K260" s="200">
        <f>ROUND(J260*F260*Y260,2)</f>
        <v>8317.85</v>
      </c>
      <c r="L260" s="198" t="str">
        <f>TEXT(IFERROR(((K260-K261)/K261*100),"0.00"),"0.00")</f>
        <v>0.00</v>
      </c>
      <c r="M260" s="200">
        <f>ROUND((10+J260*3)*Y260,2)</f>
        <v>965.12</v>
      </c>
      <c r="N260" s="36">
        <f>Q260/P260</f>
        <v>108.13</v>
      </c>
      <c r="O260" s="31" t="s">
        <v>22</v>
      </c>
      <c r="P260" s="32">
        <v>1</v>
      </c>
      <c r="Q260" s="36">
        <f>ROUND(P260*F260*Y260*Z260,2)</f>
        <v>108.13</v>
      </c>
      <c r="R260" s="31" t="str">
        <f>TEXT(IFERROR(((Q260-Q261)/Q261*100),"0.00"),"0.00")</f>
        <v>0.00</v>
      </c>
      <c r="S260" s="36">
        <f>ROUND((10+P260*3)*Y260*Z260,2)</f>
        <v>12.55</v>
      </c>
      <c r="T260" s="33" t="s">
        <v>519</v>
      </c>
      <c r="U260" s="28" t="s">
        <v>190</v>
      </c>
      <c r="V260" s="28" t="s">
        <v>473</v>
      </c>
      <c r="W260" s="28" t="s">
        <v>637</v>
      </c>
      <c r="X260" s="28"/>
      <c r="Y260">
        <v>74.239999999999995</v>
      </c>
      <c r="Z260" s="169" t="s">
        <v>511</v>
      </c>
    </row>
    <row r="261" spans="1:26" hidden="1" x14ac:dyDescent="0.25">
      <c r="A261" s="8"/>
      <c r="B261" s="8"/>
      <c r="C261" s="31" t="s">
        <v>173</v>
      </c>
      <c r="D261" s="31"/>
      <c r="E261" s="31"/>
      <c r="F261" s="31"/>
      <c r="G261" s="31"/>
      <c r="H261" s="201"/>
      <c r="I261" s="198"/>
      <c r="J261" s="199"/>
      <c r="K261" s="200"/>
      <c r="L261" s="198"/>
      <c r="M261" s="198"/>
      <c r="N261" s="36"/>
      <c r="O261" s="31"/>
      <c r="P261" s="32"/>
      <c r="Q261" s="38"/>
      <c r="R261" s="31"/>
      <c r="S261" s="31"/>
      <c r="T261" s="31"/>
      <c r="U261" s="31"/>
      <c r="V261" s="31"/>
      <c r="W261" s="31"/>
      <c r="X261" s="31"/>
      <c r="Y261">
        <v>74.239999999999995</v>
      </c>
      <c r="Z261" s="169" t="s">
        <v>511</v>
      </c>
    </row>
    <row r="262" spans="1:26" hidden="1" x14ac:dyDescent="0.25">
      <c r="A262" s="8"/>
      <c r="B262" s="8"/>
      <c r="C262" s="40" t="s">
        <v>174</v>
      </c>
      <c r="D262" s="40"/>
      <c r="E262" s="40"/>
      <c r="F262" s="40"/>
      <c r="G262" s="40"/>
      <c r="H262" s="198"/>
      <c r="I262" s="198"/>
      <c r="J262" s="198"/>
      <c r="K262" s="200"/>
      <c r="L262" s="198"/>
      <c r="M262" s="198"/>
      <c r="N262" s="31"/>
      <c r="O262" s="31"/>
      <c r="P262" s="31"/>
      <c r="Q262" s="38"/>
      <c r="R262" s="31"/>
      <c r="S262" s="31"/>
      <c r="T262" s="40"/>
      <c r="U262" s="40"/>
      <c r="V262" s="40"/>
      <c r="W262" s="40"/>
      <c r="X262" s="40"/>
      <c r="Y262">
        <v>74.239999999999995</v>
      </c>
      <c r="Z262" s="169" t="s">
        <v>511</v>
      </c>
    </row>
    <row r="263" spans="1:26" hidden="1" x14ac:dyDescent="0.25">
      <c r="A263" s="8"/>
      <c r="B263" s="8"/>
      <c r="C263" s="41" t="s">
        <v>175</v>
      </c>
      <c r="D263" s="41"/>
      <c r="E263" s="41"/>
      <c r="F263" s="41"/>
      <c r="G263" s="41"/>
      <c r="H263" s="198"/>
      <c r="I263" s="198"/>
      <c r="J263" s="198"/>
      <c r="K263" s="200"/>
      <c r="L263" s="198"/>
      <c r="M263" s="198"/>
      <c r="N263" s="31"/>
      <c r="O263" s="31"/>
      <c r="P263" s="31"/>
      <c r="Q263" s="38"/>
      <c r="R263" s="31"/>
      <c r="S263" s="31"/>
      <c r="T263" s="41"/>
      <c r="U263" s="41"/>
      <c r="V263" s="41"/>
      <c r="W263" s="41"/>
      <c r="X263" s="41"/>
      <c r="Y263">
        <v>74.239999999999995</v>
      </c>
      <c r="Z263" s="169" t="s">
        <v>511</v>
      </c>
    </row>
    <row r="264" spans="1:26" hidden="1" x14ac:dyDescent="0.25">
      <c r="A264" s="49" t="s">
        <v>630</v>
      </c>
      <c r="B264" s="49"/>
      <c r="C264" s="49" t="s">
        <v>178</v>
      </c>
      <c r="D264" s="49"/>
      <c r="E264" s="49"/>
      <c r="F264" s="49"/>
      <c r="G264" s="49"/>
      <c r="H264" s="194"/>
      <c r="I264" s="194"/>
      <c r="J264" s="195">
        <f>SUMIFS(J266:J293,C266:C293,C264)</f>
        <v>205</v>
      </c>
      <c r="K264" s="196">
        <f>SUMIFS(K266:K293,C266:C293,C264)</f>
        <v>380480</v>
      </c>
      <c r="L264" s="194"/>
      <c r="M264" s="197">
        <f>SUMIFS(M266:M293,C266:C293,C264)</f>
        <v>50854.400000000001</v>
      </c>
      <c r="N264" s="203"/>
      <c r="O264" s="203"/>
      <c r="P264" s="204">
        <f>SUMIFS(P266:P293,C266:C293,C264)</f>
        <v>205</v>
      </c>
      <c r="Q264" s="205">
        <f>SUMIFS(Q266:Q293,C266:C293,C264)</f>
        <v>4946.25</v>
      </c>
      <c r="R264" s="203"/>
      <c r="S264" s="205">
        <f>SUMIFS(S266:S293,C266:C293,C264)</f>
        <v>661.13</v>
      </c>
      <c r="T264" s="49"/>
      <c r="U264" s="49"/>
      <c r="V264" s="49"/>
      <c r="W264" s="49"/>
      <c r="X264" s="49"/>
      <c r="Y264">
        <v>74.239999999999995</v>
      </c>
      <c r="Z264" s="169" t="s">
        <v>511</v>
      </c>
    </row>
    <row r="265" spans="1:26" hidden="1" x14ac:dyDescent="0.25">
      <c r="A265" s="49" t="s">
        <v>630</v>
      </c>
      <c r="B265" s="49"/>
      <c r="C265" s="49" t="s">
        <v>173</v>
      </c>
      <c r="D265" s="49"/>
      <c r="E265" s="49"/>
      <c r="F265" s="49"/>
      <c r="G265" s="49"/>
      <c r="H265" s="194"/>
      <c r="I265" s="194"/>
      <c r="J265" s="195">
        <f>SUMIFS(J266:J293,C266:C293,C265)</f>
        <v>200</v>
      </c>
      <c r="K265" s="196">
        <f>SUMIFS(K266:K293,C266:C293,C265)</f>
        <v>371200</v>
      </c>
      <c r="L265" s="194"/>
      <c r="M265" s="197">
        <f>SUMIFS(M266:M293,C266:C293,C265)</f>
        <v>46028.800000000003</v>
      </c>
      <c r="N265" s="203"/>
      <c r="O265" s="203"/>
      <c r="P265" s="204">
        <f>SUMIFS(P266:P293,C266:C293,C265)</f>
        <v>200</v>
      </c>
      <c r="Q265" s="205">
        <f>SUMIFS(Q266:Q293,C266:C293,C265)</f>
        <v>4825.6000000000004</v>
      </c>
      <c r="R265" s="203"/>
      <c r="S265" s="205">
        <f>SUMIFS(S266:S293,C266:C293,C265)</f>
        <v>598.38</v>
      </c>
      <c r="T265" s="49"/>
      <c r="U265" s="49"/>
      <c r="V265" s="49"/>
      <c r="W265" s="49"/>
      <c r="X265" s="49"/>
      <c r="Y265">
        <v>74.239999999999995</v>
      </c>
      <c r="Z265" s="169" t="s">
        <v>511</v>
      </c>
    </row>
    <row r="266" spans="1:26" hidden="1" x14ac:dyDescent="0.25">
      <c r="A266" s="209" t="s">
        <v>598</v>
      </c>
      <c r="B266" s="8"/>
      <c r="C266" s="28" t="s">
        <v>178</v>
      </c>
      <c r="D266" s="28"/>
      <c r="E266" s="28"/>
      <c r="F266" s="168">
        <v>25</v>
      </c>
      <c r="G266" s="28" t="str">
        <f>CONCATENATE("USD,FLAT ",TEXT(F266,"0.00"))</f>
        <v>USD,FLAT 25.00</v>
      </c>
      <c r="H266" s="200">
        <f>K266/J266</f>
        <v>1856</v>
      </c>
      <c r="I266" s="198" t="s">
        <v>22</v>
      </c>
      <c r="J266" s="199">
        <v>1</v>
      </c>
      <c r="K266" s="200">
        <f>ROUND(J266*F266*Y266,2)</f>
        <v>1856</v>
      </c>
      <c r="L266" s="198" t="str">
        <f>TEXT(IFERROR(((K266-K267)/K267*100),"0.00"),"0.00")</f>
        <v>0.00</v>
      </c>
      <c r="M266" s="200">
        <f>ROUND((10+J266*3)*Y266,2)</f>
        <v>965.12</v>
      </c>
      <c r="N266" s="36">
        <f>Q266/P266</f>
        <v>24.13</v>
      </c>
      <c r="O266" s="31" t="s">
        <v>22</v>
      </c>
      <c r="P266" s="32">
        <v>1</v>
      </c>
      <c r="Q266" s="36">
        <f>ROUND(P266*F266*Y266*Z266,2)</f>
        <v>24.13</v>
      </c>
      <c r="R266" s="31" t="str">
        <f>TEXT(IFERROR(((Q266-Q267)/Q267*100),"0.00"),"0.00")</f>
        <v>0.00</v>
      </c>
      <c r="S266" s="36">
        <f>ROUND((10+P266*3)*Y266*Z266,2)</f>
        <v>12.55</v>
      </c>
      <c r="T266" s="33" t="s">
        <v>634</v>
      </c>
      <c r="U266" s="28" t="s">
        <v>190</v>
      </c>
      <c r="V266" s="28" t="s">
        <v>473</v>
      </c>
      <c r="W266" s="28" t="s">
        <v>637</v>
      </c>
      <c r="X266" s="28"/>
      <c r="Y266">
        <v>74.239999999999995</v>
      </c>
      <c r="Z266" s="169" t="s">
        <v>511</v>
      </c>
    </row>
    <row r="267" spans="1:26" hidden="1" x14ac:dyDescent="0.25">
      <c r="A267" s="8"/>
      <c r="B267" s="8"/>
      <c r="C267" s="31" t="s">
        <v>173</v>
      </c>
      <c r="D267" s="31"/>
      <c r="E267" s="31"/>
      <c r="F267" s="31"/>
      <c r="G267" s="31"/>
      <c r="H267" s="201"/>
      <c r="I267" s="198"/>
      <c r="J267" s="199"/>
      <c r="K267" s="200"/>
      <c r="L267" s="198"/>
      <c r="M267" s="201"/>
      <c r="N267" s="36"/>
      <c r="O267" s="31"/>
      <c r="P267" s="32"/>
      <c r="Q267" s="38"/>
      <c r="R267" s="31"/>
      <c r="S267" s="36"/>
      <c r="T267" s="31"/>
      <c r="U267" s="31"/>
      <c r="V267" s="31"/>
      <c r="W267" s="31"/>
      <c r="X267" s="31"/>
      <c r="Y267">
        <v>74.239999999999995</v>
      </c>
      <c r="Z267" s="169" t="s">
        <v>511</v>
      </c>
    </row>
    <row r="268" spans="1:26" hidden="1" x14ac:dyDescent="0.25">
      <c r="A268" s="8"/>
      <c r="B268" s="8"/>
      <c r="C268" s="40" t="s">
        <v>174</v>
      </c>
      <c r="D268" s="40"/>
      <c r="E268" s="40"/>
      <c r="F268" s="40"/>
      <c r="G268" s="40"/>
      <c r="H268" s="198"/>
      <c r="I268" s="198"/>
      <c r="J268" s="198"/>
      <c r="K268" s="200"/>
      <c r="L268" s="198"/>
      <c r="M268" s="198"/>
      <c r="N268" s="31"/>
      <c r="O268" s="31"/>
      <c r="P268" s="31"/>
      <c r="Q268" s="38"/>
      <c r="R268" s="31"/>
      <c r="S268" s="31"/>
      <c r="T268" s="40"/>
      <c r="U268" s="40"/>
      <c r="V268" s="40"/>
      <c r="W268" s="40"/>
      <c r="X268" s="40"/>
      <c r="Y268">
        <v>74.239999999999995</v>
      </c>
      <c r="Z268" s="169" t="s">
        <v>511</v>
      </c>
    </row>
    <row r="269" spans="1:26" hidden="1" x14ac:dyDescent="0.25">
      <c r="A269" s="8"/>
      <c r="B269" s="8"/>
      <c r="C269" s="41" t="s">
        <v>175</v>
      </c>
      <c r="D269" s="41"/>
      <c r="E269" s="41"/>
      <c r="F269" s="41"/>
      <c r="G269" s="41"/>
      <c r="H269" s="198"/>
      <c r="I269" s="198"/>
      <c r="J269" s="198"/>
      <c r="K269" s="200"/>
      <c r="L269" s="198"/>
      <c r="M269" s="198"/>
      <c r="N269" s="31"/>
      <c r="O269" s="31"/>
      <c r="P269" s="31"/>
      <c r="Q269" s="38"/>
      <c r="R269" s="31"/>
      <c r="S269" s="31"/>
      <c r="T269" s="41"/>
      <c r="U269" s="41"/>
      <c r="V269" s="41"/>
      <c r="W269" s="41"/>
      <c r="X269" s="41"/>
      <c r="Y269">
        <v>74.239999999999995</v>
      </c>
      <c r="Z269" s="169" t="s">
        <v>511</v>
      </c>
    </row>
    <row r="270" spans="1:26" hidden="1" x14ac:dyDescent="0.25">
      <c r="A270" s="8" t="s">
        <v>590</v>
      </c>
      <c r="B270" s="8"/>
      <c r="C270" s="28" t="s">
        <v>178</v>
      </c>
      <c r="D270" s="28"/>
      <c r="E270" s="28"/>
      <c r="F270" s="168">
        <v>25</v>
      </c>
      <c r="G270" s="28" t="str">
        <f>CONCATENATE("USD,FLAT ",TEXT(F270,"0.00"))</f>
        <v>USD,FLAT 25.00</v>
      </c>
      <c r="H270" s="200">
        <f>K270/J270</f>
        <v>1856</v>
      </c>
      <c r="I270" s="198" t="s">
        <v>22</v>
      </c>
      <c r="J270" s="199">
        <v>1</v>
      </c>
      <c r="K270" s="200">
        <f>ROUND(J270*F270*Y270,2)</f>
        <v>1856</v>
      </c>
      <c r="L270" s="198" t="str">
        <f>TEXT(IFERROR(((K270-K271)/K271*100),"0.00"),"0.00")</f>
        <v>0.00</v>
      </c>
      <c r="M270" s="200">
        <f>ROUND((10+J270*3)*Y270,2)</f>
        <v>965.12</v>
      </c>
      <c r="N270" s="36">
        <f>Q270/P270</f>
        <v>24.13</v>
      </c>
      <c r="O270" s="31" t="s">
        <v>22</v>
      </c>
      <c r="P270" s="32">
        <v>1</v>
      </c>
      <c r="Q270" s="36">
        <f>ROUND(P270*F270*Y270*Z270,2)</f>
        <v>24.13</v>
      </c>
      <c r="R270" s="31" t="str">
        <f>TEXT(IFERROR(((Q270-Q271)/Q271*100),"0.00"),"0.00")</f>
        <v>0.00</v>
      </c>
      <c r="S270" s="36">
        <f>ROUND((10+P270*3)*Y270*Z270,2)</f>
        <v>12.55</v>
      </c>
      <c r="T270" s="33" t="s">
        <v>635</v>
      </c>
      <c r="U270" s="28" t="s">
        <v>190</v>
      </c>
      <c r="V270" s="28" t="s">
        <v>473</v>
      </c>
      <c r="W270" s="28" t="s">
        <v>637</v>
      </c>
      <c r="X270" s="28"/>
      <c r="Y270">
        <v>74.239999999999995</v>
      </c>
      <c r="Z270" s="169" t="s">
        <v>511</v>
      </c>
    </row>
    <row r="271" spans="1:26" hidden="1" x14ac:dyDescent="0.25">
      <c r="A271" s="8"/>
      <c r="B271" s="8"/>
      <c r="C271" s="31" t="s">
        <v>173</v>
      </c>
      <c r="D271" s="31"/>
      <c r="E271" s="31"/>
      <c r="F271" s="31"/>
      <c r="G271" s="31"/>
      <c r="H271" s="201"/>
      <c r="I271" s="198"/>
      <c r="J271" s="199"/>
      <c r="K271" s="200"/>
      <c r="L271" s="198"/>
      <c r="M271" s="201"/>
      <c r="N271" s="36"/>
      <c r="O271" s="31"/>
      <c r="P271" s="32"/>
      <c r="Q271" s="38"/>
      <c r="R271" s="31"/>
      <c r="S271" s="36"/>
      <c r="T271" s="31"/>
      <c r="U271" s="31"/>
      <c r="V271" s="31"/>
      <c r="W271" s="31"/>
      <c r="X271" s="31"/>
      <c r="Y271">
        <v>74.239999999999995</v>
      </c>
      <c r="Z271" s="169" t="s">
        <v>511</v>
      </c>
    </row>
    <row r="272" spans="1:26" hidden="1" x14ac:dyDescent="0.25">
      <c r="A272" s="8"/>
      <c r="B272" s="8"/>
      <c r="C272" s="40" t="s">
        <v>174</v>
      </c>
      <c r="D272" s="40"/>
      <c r="E272" s="40"/>
      <c r="F272" s="40"/>
      <c r="G272" s="40"/>
      <c r="H272" s="198"/>
      <c r="I272" s="198"/>
      <c r="J272" s="198"/>
      <c r="K272" s="200"/>
      <c r="L272" s="198"/>
      <c r="M272" s="198"/>
      <c r="N272" s="31"/>
      <c r="O272" s="31"/>
      <c r="P272" s="31"/>
      <c r="Q272" s="38"/>
      <c r="R272" s="31"/>
      <c r="S272" s="31"/>
      <c r="T272" s="40"/>
      <c r="U272" s="40"/>
      <c r="V272" s="40"/>
      <c r="W272" s="40"/>
      <c r="X272" s="40"/>
      <c r="Y272">
        <v>74.239999999999995</v>
      </c>
      <c r="Z272" s="169" t="s">
        <v>511</v>
      </c>
    </row>
    <row r="273" spans="1:26" hidden="1" x14ac:dyDescent="0.25">
      <c r="A273" s="8"/>
      <c r="B273" s="8"/>
      <c r="C273" s="41" t="s">
        <v>175</v>
      </c>
      <c r="D273" s="41"/>
      <c r="E273" s="41"/>
      <c r="F273" s="41"/>
      <c r="G273" s="41"/>
      <c r="H273" s="198"/>
      <c r="I273" s="198"/>
      <c r="J273" s="198"/>
      <c r="K273" s="200"/>
      <c r="L273" s="198"/>
      <c r="M273" s="198"/>
      <c r="N273" s="31"/>
      <c r="O273" s="31"/>
      <c r="P273" s="31"/>
      <c r="Q273" s="38"/>
      <c r="R273" s="31"/>
      <c r="S273" s="31"/>
      <c r="T273" s="41"/>
      <c r="U273" s="41"/>
      <c r="V273" s="41"/>
      <c r="W273" s="41"/>
      <c r="X273" s="41"/>
      <c r="Y273">
        <v>74.239999999999995</v>
      </c>
      <c r="Z273" s="169" t="s">
        <v>511</v>
      </c>
    </row>
    <row r="274" spans="1:26" hidden="1" x14ac:dyDescent="0.25">
      <c r="A274" s="2" t="s">
        <v>591</v>
      </c>
      <c r="B274" s="8"/>
      <c r="C274" s="28" t="s">
        <v>178</v>
      </c>
      <c r="D274" s="28"/>
      <c r="E274" s="28"/>
      <c r="F274" s="168">
        <v>25</v>
      </c>
      <c r="G274" s="28" t="str">
        <f>CONCATENATE("USD,FLAT ",TEXT(F274,"0.00"))</f>
        <v>USD,FLAT 25.00</v>
      </c>
      <c r="H274" s="200">
        <f>K274/J274</f>
        <v>1856</v>
      </c>
      <c r="I274" s="198" t="s">
        <v>22</v>
      </c>
      <c r="J274" s="199">
        <v>1</v>
      </c>
      <c r="K274" s="200">
        <f>ROUND(J274*F274*Y274,2)</f>
        <v>1856</v>
      </c>
      <c r="L274" s="198" t="str">
        <f>TEXT(IFERROR(((K274-K275)/K275*100),"0.00"),"0.00")</f>
        <v>0.00</v>
      </c>
      <c r="M274" s="200">
        <f>ROUND((10+J274*3)*Y274,2)</f>
        <v>965.12</v>
      </c>
      <c r="N274" s="36">
        <f>Q274/P274</f>
        <v>24.13</v>
      </c>
      <c r="O274" s="31" t="s">
        <v>22</v>
      </c>
      <c r="P274" s="32">
        <v>1</v>
      </c>
      <c r="Q274" s="36">
        <f>ROUND(P274*F274*Y274*Z274,2)</f>
        <v>24.13</v>
      </c>
      <c r="R274" s="31" t="str">
        <f>TEXT(IFERROR(((Q274-Q275)/Q275*100),"0.00"),"0.00")</f>
        <v>0.00</v>
      </c>
      <c r="S274" s="36">
        <f>ROUND((10+P274*3)*Y274*Z274,2)</f>
        <v>12.55</v>
      </c>
      <c r="T274" s="33" t="s">
        <v>635</v>
      </c>
      <c r="U274" s="28" t="s">
        <v>190</v>
      </c>
      <c r="V274" s="28" t="s">
        <v>473</v>
      </c>
      <c r="W274" s="28" t="s">
        <v>637</v>
      </c>
      <c r="X274" s="28"/>
      <c r="Y274">
        <v>74.239999999999995</v>
      </c>
      <c r="Z274" s="169" t="s">
        <v>511</v>
      </c>
    </row>
    <row r="275" spans="1:26" hidden="1" x14ac:dyDescent="0.25">
      <c r="A275" s="8"/>
      <c r="B275" s="8"/>
      <c r="C275" s="31" t="s">
        <v>173</v>
      </c>
      <c r="D275" s="31"/>
      <c r="E275" s="31"/>
      <c r="F275" s="31"/>
      <c r="G275" s="31"/>
      <c r="H275" s="201"/>
      <c r="I275" s="198"/>
      <c r="J275" s="199"/>
      <c r="K275" s="200"/>
      <c r="L275" s="198"/>
      <c r="M275" s="201"/>
      <c r="N275" s="36"/>
      <c r="O275" s="31"/>
      <c r="P275" s="32"/>
      <c r="Q275" s="38"/>
      <c r="R275" s="31"/>
      <c r="S275" s="36"/>
      <c r="T275" s="31"/>
      <c r="U275" s="31"/>
      <c r="V275" s="31"/>
      <c r="W275" s="31"/>
      <c r="X275" s="31"/>
      <c r="Y275">
        <v>74.239999999999995</v>
      </c>
      <c r="Z275" s="169" t="s">
        <v>511</v>
      </c>
    </row>
    <row r="276" spans="1:26" hidden="1" x14ac:dyDescent="0.25">
      <c r="A276" s="8"/>
      <c r="B276" s="8"/>
      <c r="C276" s="40" t="s">
        <v>174</v>
      </c>
      <c r="D276" s="40"/>
      <c r="E276" s="40"/>
      <c r="F276" s="40"/>
      <c r="G276" s="40"/>
      <c r="H276" s="198"/>
      <c r="I276" s="198"/>
      <c r="J276" s="198"/>
      <c r="K276" s="200"/>
      <c r="L276" s="198"/>
      <c r="M276" s="198"/>
      <c r="N276" s="31"/>
      <c r="O276" s="31"/>
      <c r="P276" s="31"/>
      <c r="Q276" s="38"/>
      <c r="R276" s="31"/>
      <c r="S276" s="31"/>
      <c r="T276" s="40"/>
      <c r="U276" s="40"/>
      <c r="V276" s="40"/>
      <c r="W276" s="40"/>
      <c r="X276" s="40"/>
      <c r="Y276">
        <v>74.239999999999995</v>
      </c>
      <c r="Z276" s="169" t="s">
        <v>511</v>
      </c>
    </row>
    <row r="277" spans="1:26" hidden="1" x14ac:dyDescent="0.25">
      <c r="A277" s="8"/>
      <c r="B277" s="8"/>
      <c r="C277" s="41" t="s">
        <v>175</v>
      </c>
      <c r="D277" s="41"/>
      <c r="E277" s="41"/>
      <c r="F277" s="41"/>
      <c r="G277" s="41"/>
      <c r="H277" s="198"/>
      <c r="I277" s="198"/>
      <c r="J277" s="198"/>
      <c r="K277" s="200"/>
      <c r="L277" s="198"/>
      <c r="M277" s="198"/>
      <c r="N277" s="31"/>
      <c r="O277" s="31"/>
      <c r="P277" s="31"/>
      <c r="Q277" s="38"/>
      <c r="R277" s="31"/>
      <c r="S277" s="31"/>
      <c r="T277" s="41"/>
      <c r="U277" s="41"/>
      <c r="V277" s="41"/>
      <c r="W277" s="41"/>
      <c r="X277" s="41"/>
      <c r="Y277">
        <v>74.239999999999995</v>
      </c>
      <c r="Z277" s="169" t="s">
        <v>511</v>
      </c>
    </row>
    <row r="278" spans="1:26" hidden="1" x14ac:dyDescent="0.25">
      <c r="A278" s="209" t="s">
        <v>599</v>
      </c>
      <c r="B278" s="8"/>
      <c r="C278" s="28" t="s">
        <v>178</v>
      </c>
      <c r="D278" s="28"/>
      <c r="E278" s="28"/>
      <c r="F278" s="168">
        <v>25</v>
      </c>
      <c r="G278" s="28" t="str">
        <f>CONCATENATE("USD,FLAT ",TEXT(F278,"0.00"))</f>
        <v>USD,FLAT 25.00</v>
      </c>
      <c r="H278" s="200">
        <f>K278/J278</f>
        <v>1856</v>
      </c>
      <c r="I278" s="198" t="s">
        <v>22</v>
      </c>
      <c r="J278" s="199">
        <v>1</v>
      </c>
      <c r="K278" s="200">
        <f>ROUND(J278*F278*Y278,2)</f>
        <v>1856</v>
      </c>
      <c r="L278" s="198" t="str">
        <f>TEXT(IFERROR(((K278-K279)/K279*100),"0.00"),"0.00")</f>
        <v>0.00</v>
      </c>
      <c r="M278" s="200">
        <f>ROUND((10+J278*3)*Y278,2)</f>
        <v>965.12</v>
      </c>
      <c r="N278" s="36">
        <f>Q278/P278</f>
        <v>24.13</v>
      </c>
      <c r="O278" s="31" t="s">
        <v>22</v>
      </c>
      <c r="P278" s="32">
        <v>1</v>
      </c>
      <c r="Q278" s="36">
        <f>ROUND(P278*F278*Y278*Z278,2)</f>
        <v>24.13</v>
      </c>
      <c r="R278" s="31" t="str">
        <f>TEXT(IFERROR(((Q278-Q279)/Q279*100),"0.00"),"0.00")</f>
        <v>0.00</v>
      </c>
      <c r="S278" s="36">
        <f>ROUND((10+P278*3)*Y278*Z278,2)</f>
        <v>12.55</v>
      </c>
      <c r="T278" s="33" t="s">
        <v>634</v>
      </c>
      <c r="U278" s="28" t="s">
        <v>190</v>
      </c>
      <c r="V278" s="28" t="s">
        <v>473</v>
      </c>
      <c r="W278" s="28" t="s">
        <v>637</v>
      </c>
      <c r="X278" s="28"/>
      <c r="Y278">
        <v>74.239999999999995</v>
      </c>
      <c r="Z278" s="169" t="s">
        <v>511</v>
      </c>
    </row>
    <row r="279" spans="1:26" hidden="1" x14ac:dyDescent="0.25">
      <c r="A279" s="8"/>
      <c r="B279" s="8"/>
      <c r="C279" s="31" t="s">
        <v>173</v>
      </c>
      <c r="D279" s="31"/>
      <c r="E279" s="31"/>
      <c r="F279" s="31"/>
      <c r="G279" s="31"/>
      <c r="H279" s="201"/>
      <c r="I279" s="198"/>
      <c r="J279" s="199"/>
      <c r="K279" s="200"/>
      <c r="L279" s="198"/>
      <c r="M279" s="201"/>
      <c r="N279" s="36"/>
      <c r="O279" s="31"/>
      <c r="P279" s="32"/>
      <c r="Q279" s="38"/>
      <c r="R279" s="31"/>
      <c r="S279" s="36"/>
      <c r="T279" s="31"/>
      <c r="U279" s="31"/>
      <c r="V279" s="31"/>
      <c r="W279" s="31"/>
      <c r="X279" s="31"/>
      <c r="Y279">
        <v>74.239999999999995</v>
      </c>
      <c r="Z279" s="169" t="s">
        <v>511</v>
      </c>
    </row>
    <row r="280" spans="1:26" hidden="1" x14ac:dyDescent="0.25">
      <c r="A280" s="8"/>
      <c r="B280" s="8"/>
      <c r="C280" s="40" t="s">
        <v>174</v>
      </c>
      <c r="D280" s="40"/>
      <c r="E280" s="40"/>
      <c r="F280" s="40"/>
      <c r="G280" s="40"/>
      <c r="H280" s="198"/>
      <c r="I280" s="198"/>
      <c r="J280" s="198"/>
      <c r="K280" s="200"/>
      <c r="L280" s="198"/>
      <c r="M280" s="198"/>
      <c r="N280" s="31"/>
      <c r="O280" s="31"/>
      <c r="P280" s="31"/>
      <c r="Q280" s="38"/>
      <c r="R280" s="31"/>
      <c r="S280" s="31"/>
      <c r="T280" s="40"/>
      <c r="U280" s="40"/>
      <c r="V280" s="40"/>
      <c r="W280" s="40"/>
      <c r="X280" s="40"/>
      <c r="Y280">
        <v>74.239999999999995</v>
      </c>
      <c r="Z280" s="169" t="s">
        <v>511</v>
      </c>
    </row>
    <row r="281" spans="1:26" hidden="1" x14ac:dyDescent="0.25">
      <c r="A281" s="8"/>
      <c r="B281" s="8"/>
      <c r="C281" s="41" t="s">
        <v>175</v>
      </c>
      <c r="D281" s="41"/>
      <c r="E281" s="41"/>
      <c r="F281" s="41"/>
      <c r="G281" s="41"/>
      <c r="H281" s="198"/>
      <c r="I281" s="198"/>
      <c r="J281" s="198"/>
      <c r="K281" s="200"/>
      <c r="L281" s="198"/>
      <c r="M281" s="198"/>
      <c r="N281" s="31"/>
      <c r="O281" s="31"/>
      <c r="P281" s="31"/>
      <c r="Q281" s="38"/>
      <c r="R281" s="31"/>
      <c r="S281" s="31"/>
      <c r="T281" s="41"/>
      <c r="U281" s="41"/>
      <c r="V281" s="41"/>
      <c r="W281" s="41"/>
      <c r="X281" s="41"/>
      <c r="Y281">
        <v>74.239999999999995</v>
      </c>
      <c r="Z281" s="169" t="s">
        <v>511</v>
      </c>
    </row>
    <row r="282" spans="1:26" hidden="1" x14ac:dyDescent="0.25">
      <c r="A282" s="209" t="s">
        <v>631</v>
      </c>
      <c r="B282" s="8"/>
      <c r="C282" s="28" t="s">
        <v>178</v>
      </c>
      <c r="D282" s="28"/>
      <c r="E282" s="28"/>
      <c r="F282" s="168">
        <v>25</v>
      </c>
      <c r="G282" s="28" t="str">
        <f>CONCATENATE("USD,FLAT ",TEXT(F282,"0.00"))</f>
        <v>USD,FLAT 25.00</v>
      </c>
      <c r="H282" s="200">
        <f>K282/J282</f>
        <v>1856</v>
      </c>
      <c r="I282" s="198" t="s">
        <v>22</v>
      </c>
      <c r="J282" s="199">
        <v>1</v>
      </c>
      <c r="K282" s="200">
        <f>ROUND(J282*F282*Y282,2)</f>
        <v>1856</v>
      </c>
      <c r="L282" s="198" t="str">
        <f>TEXT(IFERROR(((K282-K283)/K283*100),"0.00"),"0.00")</f>
        <v>0.00</v>
      </c>
      <c r="M282" s="200">
        <f>ROUND((10+J282*3)*Y282,2)</f>
        <v>965.12</v>
      </c>
      <c r="N282" s="36">
        <f>Q282/P282</f>
        <v>24.13</v>
      </c>
      <c r="O282" s="31" t="s">
        <v>22</v>
      </c>
      <c r="P282" s="32">
        <v>1</v>
      </c>
      <c r="Q282" s="36">
        <f>ROUND(P282*F282*Y282*Z282,2)</f>
        <v>24.13</v>
      </c>
      <c r="R282" s="31" t="str">
        <f>TEXT(IFERROR(((Q282-Q283)/Q283*100),"0.00"),"0.00")</f>
        <v>0.00</v>
      </c>
      <c r="S282" s="36">
        <f>ROUND((10+P282*3)*Y282*Z282,2)</f>
        <v>12.55</v>
      </c>
      <c r="T282" s="33" t="s">
        <v>634</v>
      </c>
      <c r="U282" s="28" t="s">
        <v>190</v>
      </c>
      <c r="V282" s="28" t="s">
        <v>473</v>
      </c>
      <c r="W282" s="28" t="s">
        <v>637</v>
      </c>
      <c r="X282" s="28"/>
      <c r="Y282">
        <v>74.239999999999995</v>
      </c>
      <c r="Z282" s="169" t="s">
        <v>511</v>
      </c>
    </row>
    <row r="283" spans="1:26" hidden="1" x14ac:dyDescent="0.25">
      <c r="A283" s="8"/>
      <c r="B283" s="8"/>
      <c r="C283" s="31" t="s">
        <v>173</v>
      </c>
      <c r="D283" s="31"/>
      <c r="E283" s="31"/>
      <c r="F283" s="31"/>
      <c r="G283" s="31"/>
      <c r="H283" s="201"/>
      <c r="I283" s="198"/>
      <c r="J283" s="199"/>
      <c r="K283" s="200"/>
      <c r="L283" s="198"/>
      <c r="M283" s="201"/>
      <c r="N283" s="36"/>
      <c r="O283" s="31"/>
      <c r="P283" s="32"/>
      <c r="Q283" s="36"/>
      <c r="R283" s="31"/>
      <c r="S283" s="36"/>
      <c r="T283" s="31"/>
      <c r="U283" s="31"/>
      <c r="V283" s="31"/>
      <c r="W283" s="31"/>
      <c r="X283" s="31"/>
      <c r="Y283">
        <v>74.239999999999995</v>
      </c>
      <c r="Z283" s="169" t="s">
        <v>511</v>
      </c>
    </row>
    <row r="284" spans="1:26" hidden="1" x14ac:dyDescent="0.25">
      <c r="A284" s="8"/>
      <c r="B284" s="8"/>
      <c r="C284" s="40" t="s">
        <v>174</v>
      </c>
      <c r="D284" s="40"/>
      <c r="E284" s="40"/>
      <c r="F284" s="40"/>
      <c r="G284" s="40"/>
      <c r="H284" s="198"/>
      <c r="I284" s="198"/>
      <c r="J284" s="198"/>
      <c r="K284" s="200"/>
      <c r="L284" s="198"/>
      <c r="M284" s="198"/>
      <c r="N284" s="31"/>
      <c r="O284" s="31"/>
      <c r="P284" s="31"/>
      <c r="Q284" s="38"/>
      <c r="R284" s="31"/>
      <c r="S284" s="31"/>
      <c r="T284" s="40"/>
      <c r="U284" s="40"/>
      <c r="V284" s="40"/>
      <c r="W284" s="40"/>
      <c r="X284" s="40"/>
      <c r="Y284">
        <v>74.239999999999995</v>
      </c>
      <c r="Z284" s="169" t="s">
        <v>511</v>
      </c>
    </row>
    <row r="285" spans="1:26" hidden="1" x14ac:dyDescent="0.25">
      <c r="A285" s="8"/>
      <c r="B285" s="8"/>
      <c r="C285" s="41" t="s">
        <v>175</v>
      </c>
      <c r="D285" s="41"/>
      <c r="E285" s="41"/>
      <c r="F285" s="41"/>
      <c r="G285" s="41"/>
      <c r="H285" s="198"/>
      <c r="I285" s="198"/>
      <c r="J285" s="198"/>
      <c r="K285" s="200"/>
      <c r="L285" s="198"/>
      <c r="M285" s="198"/>
      <c r="N285" s="31"/>
      <c r="O285" s="31"/>
      <c r="P285" s="31"/>
      <c r="Q285" s="38"/>
      <c r="R285" s="31"/>
      <c r="S285" s="31"/>
      <c r="T285" s="41"/>
      <c r="U285" s="41"/>
      <c r="V285" s="41"/>
      <c r="W285" s="41"/>
      <c r="X285" s="41"/>
      <c r="Y285">
        <v>74.239999999999995</v>
      </c>
      <c r="Z285" s="169" t="s">
        <v>511</v>
      </c>
    </row>
    <row r="286" spans="1:26" hidden="1" x14ac:dyDescent="0.25">
      <c r="A286" s="2" t="s">
        <v>632</v>
      </c>
      <c r="B286" s="8"/>
      <c r="C286" s="28" t="s">
        <v>178</v>
      </c>
      <c r="D286" s="28"/>
      <c r="E286" s="28"/>
      <c r="F286" s="168">
        <v>25</v>
      </c>
      <c r="G286" s="28" t="str">
        <f>CONCATENATE("USD,FLAT ",TEXT(F286,"0.00"))</f>
        <v>USD,FLAT 25.00</v>
      </c>
      <c r="H286" s="200">
        <f>K286/J286</f>
        <v>1856</v>
      </c>
      <c r="I286" s="198" t="s">
        <v>22</v>
      </c>
      <c r="J286" s="199">
        <v>100</v>
      </c>
      <c r="K286" s="200">
        <f>ROUND(J286*F286*Y286,2)</f>
        <v>185600</v>
      </c>
      <c r="L286" s="198" t="str">
        <f>TEXT(IFERROR(((K286-K287)/K287*100),"0.00"),"0.00")</f>
        <v>0.00</v>
      </c>
      <c r="M286" s="200">
        <f>ROUND((10+J286*3)*Y286,2)</f>
        <v>23014.400000000001</v>
      </c>
      <c r="N286" s="36">
        <f>Q286/P286</f>
        <v>24.128</v>
      </c>
      <c r="O286" s="31" t="s">
        <v>22</v>
      </c>
      <c r="P286" s="32">
        <v>100</v>
      </c>
      <c r="Q286" s="36">
        <f>ROUND(P286*F286*Y286*Z286,2)</f>
        <v>2412.8000000000002</v>
      </c>
      <c r="R286" s="31" t="str">
        <f>TEXT(IFERROR(((Q286-Q287)/Q287*100),"0.00"),"0.00")</f>
        <v>0.00</v>
      </c>
      <c r="S286" s="36">
        <f>ROUND((10+P286*3)*Y286*Z286,2)</f>
        <v>299.19</v>
      </c>
      <c r="T286" s="33" t="s">
        <v>636</v>
      </c>
      <c r="U286" s="28" t="s">
        <v>190</v>
      </c>
      <c r="V286" s="28" t="s">
        <v>473</v>
      </c>
      <c r="W286" s="28" t="s">
        <v>637</v>
      </c>
      <c r="X286" s="28"/>
      <c r="Y286">
        <v>74.239999999999995</v>
      </c>
      <c r="Z286" s="169" t="s">
        <v>511</v>
      </c>
    </row>
    <row r="287" spans="1:26" hidden="1" x14ac:dyDescent="0.25">
      <c r="A287" s="8"/>
      <c r="B287" s="8"/>
      <c r="C287" s="31" t="s">
        <v>173</v>
      </c>
      <c r="D287" s="31"/>
      <c r="E287" s="31"/>
      <c r="F287" s="31">
        <v>25</v>
      </c>
      <c r="G287" s="31" t="str">
        <f>CONCATENATE("USD,FLAT ",TEXT(F287,"0.00"))</f>
        <v>USD,FLAT 25.00</v>
      </c>
      <c r="H287" s="200">
        <f>K287/J287</f>
        <v>1856</v>
      </c>
      <c r="I287" s="198" t="s">
        <v>22</v>
      </c>
      <c r="J287" s="199">
        <v>100</v>
      </c>
      <c r="K287" s="200">
        <f>ROUND(J287*F287*Y287,2)</f>
        <v>185600</v>
      </c>
      <c r="L287" s="198"/>
      <c r="M287" s="200">
        <f>ROUND((10+J287*3)*Y287,2)</f>
        <v>23014.400000000001</v>
      </c>
      <c r="N287" s="36">
        <f>Q287/P287</f>
        <v>24.128</v>
      </c>
      <c r="O287" s="31" t="s">
        <v>22</v>
      </c>
      <c r="P287" s="32">
        <v>100</v>
      </c>
      <c r="Q287" s="36">
        <f>ROUND(P287*F287*Y287*Z287,2)</f>
        <v>2412.8000000000002</v>
      </c>
      <c r="R287" s="31"/>
      <c r="S287" s="36">
        <f>ROUND((10+P287*3)*Y287*Z287,2)</f>
        <v>299.19</v>
      </c>
      <c r="T287" s="31"/>
      <c r="U287" s="31"/>
      <c r="V287" s="31"/>
      <c r="W287" s="31"/>
      <c r="X287" s="31"/>
      <c r="Y287">
        <v>74.239999999999995</v>
      </c>
      <c r="Z287" s="169" t="s">
        <v>511</v>
      </c>
    </row>
    <row r="288" spans="1:26" hidden="1" x14ac:dyDescent="0.25">
      <c r="A288" s="8"/>
      <c r="B288" s="8"/>
      <c r="C288" s="40" t="s">
        <v>174</v>
      </c>
      <c r="D288" s="40"/>
      <c r="E288" s="40"/>
      <c r="F288" s="40"/>
      <c r="G288" s="40"/>
      <c r="H288" s="198"/>
      <c r="I288" s="198"/>
      <c r="J288" s="198"/>
      <c r="K288" s="200"/>
      <c r="L288" s="198"/>
      <c r="M288" s="198"/>
      <c r="N288" s="31"/>
      <c r="O288" s="31"/>
      <c r="P288" s="31"/>
      <c r="Q288" s="38"/>
      <c r="R288" s="31"/>
      <c r="S288" s="31"/>
      <c r="T288" s="40"/>
      <c r="U288" s="40"/>
      <c r="V288" s="40"/>
      <c r="W288" s="40"/>
      <c r="X288" s="40"/>
      <c r="Y288">
        <v>74.239999999999995</v>
      </c>
      <c r="Z288" s="169" t="s">
        <v>511</v>
      </c>
    </row>
    <row r="289" spans="1:26" hidden="1" x14ac:dyDescent="0.25">
      <c r="A289" s="8"/>
      <c r="B289" s="8"/>
      <c r="C289" s="41" t="s">
        <v>175</v>
      </c>
      <c r="D289" s="41"/>
      <c r="E289" s="41"/>
      <c r="F289" s="41"/>
      <c r="G289" s="41"/>
      <c r="H289" s="198"/>
      <c r="I289" s="198"/>
      <c r="J289" s="198"/>
      <c r="K289" s="200"/>
      <c r="L289" s="198"/>
      <c r="M289" s="198"/>
      <c r="N289" s="31"/>
      <c r="O289" s="31"/>
      <c r="P289" s="31"/>
      <c r="Q289" s="38"/>
      <c r="R289" s="31"/>
      <c r="S289" s="31"/>
      <c r="T289" s="41"/>
      <c r="U289" s="41"/>
      <c r="V289" s="41"/>
      <c r="W289" s="41"/>
      <c r="X289" s="41"/>
      <c r="Y289">
        <v>74.239999999999995</v>
      </c>
      <c r="Z289" s="169" t="s">
        <v>511</v>
      </c>
    </row>
    <row r="290" spans="1:26" hidden="1" x14ac:dyDescent="0.25">
      <c r="A290" s="2" t="s">
        <v>633</v>
      </c>
      <c r="B290" s="8"/>
      <c r="C290" s="28" t="s">
        <v>178</v>
      </c>
      <c r="D290" s="28"/>
      <c r="E290" s="28"/>
      <c r="F290" s="168">
        <v>25</v>
      </c>
      <c r="G290" s="28" t="str">
        <f>CONCATENATE("USD,FLAT ",TEXT(F290,"0.00"))</f>
        <v>USD,FLAT 25.00</v>
      </c>
      <c r="H290" s="200">
        <f>K290/J290</f>
        <v>1856</v>
      </c>
      <c r="I290" s="198" t="s">
        <v>22</v>
      </c>
      <c r="J290" s="199">
        <v>100</v>
      </c>
      <c r="K290" s="200">
        <f>ROUND(J290*F290*Y290,2)</f>
        <v>185600</v>
      </c>
      <c r="L290" s="198" t="str">
        <f>TEXT(IFERROR(((K290-K291)/K291*100),"0.00"),"0.00")</f>
        <v>0.00</v>
      </c>
      <c r="M290" s="200">
        <f>ROUND((10+J290*3)*Y290,2)</f>
        <v>23014.400000000001</v>
      </c>
      <c r="N290" s="36">
        <f>Q290/P290</f>
        <v>24.128</v>
      </c>
      <c r="O290" s="31" t="s">
        <v>22</v>
      </c>
      <c r="P290" s="32">
        <v>100</v>
      </c>
      <c r="Q290" s="36">
        <f>ROUND(P290*F290*Y290*Z290,2)</f>
        <v>2412.8000000000002</v>
      </c>
      <c r="R290" s="31" t="str">
        <f>TEXT(IFERROR(((Q290-Q291)/Q291*100),"0.00"),"0.00")</f>
        <v>0.00</v>
      </c>
      <c r="S290" s="36">
        <f>ROUND((10+P290*3)*Y290*Z290,2)</f>
        <v>299.19</v>
      </c>
      <c r="T290" s="33" t="s">
        <v>636</v>
      </c>
      <c r="U290" s="28" t="s">
        <v>190</v>
      </c>
      <c r="V290" s="28" t="s">
        <v>473</v>
      </c>
      <c r="W290" s="28" t="s">
        <v>637</v>
      </c>
      <c r="X290" s="28"/>
      <c r="Y290">
        <v>74.239999999999995</v>
      </c>
      <c r="Z290" s="169" t="s">
        <v>511</v>
      </c>
    </row>
    <row r="291" spans="1:26" hidden="1" x14ac:dyDescent="0.25">
      <c r="A291" s="8"/>
      <c r="B291" s="8"/>
      <c r="C291" s="31" t="s">
        <v>173</v>
      </c>
      <c r="D291" s="31"/>
      <c r="E291" s="31"/>
      <c r="F291" s="31">
        <v>25</v>
      </c>
      <c r="G291" s="31" t="str">
        <f>CONCATENATE("USD,FLAT ",TEXT(F291,"0.00"))</f>
        <v>USD,FLAT 25.00</v>
      </c>
      <c r="H291" s="200">
        <f>K291/J291</f>
        <v>1856</v>
      </c>
      <c r="I291" s="198" t="s">
        <v>22</v>
      </c>
      <c r="J291" s="199">
        <v>100</v>
      </c>
      <c r="K291" s="200">
        <f>ROUND(J291*F291*Y291,2)</f>
        <v>185600</v>
      </c>
      <c r="L291" s="198"/>
      <c r="M291" s="200">
        <f>ROUND((10+J291*3)*Y291,2)</f>
        <v>23014.400000000001</v>
      </c>
      <c r="N291" s="36">
        <f>Q291/P291</f>
        <v>24.128</v>
      </c>
      <c r="O291" s="31" t="s">
        <v>22</v>
      </c>
      <c r="P291" s="32">
        <v>100</v>
      </c>
      <c r="Q291" s="36">
        <f>ROUND(P291*F291*Y291*Z291,2)</f>
        <v>2412.8000000000002</v>
      </c>
      <c r="R291" s="31"/>
      <c r="S291" s="36">
        <f>ROUND((10+P291*3)*Y291*Z291,2)</f>
        <v>299.19</v>
      </c>
      <c r="T291" s="31"/>
      <c r="U291" s="31"/>
      <c r="V291" s="31"/>
      <c r="W291" s="31"/>
      <c r="X291" s="31"/>
      <c r="Y291">
        <v>74.239999999999995</v>
      </c>
      <c r="Z291" s="169" t="s">
        <v>511</v>
      </c>
    </row>
    <row r="292" spans="1:26" hidden="1" x14ac:dyDescent="0.25">
      <c r="A292" s="8"/>
      <c r="B292" s="8"/>
      <c r="C292" s="40" t="s">
        <v>174</v>
      </c>
      <c r="D292" s="40"/>
      <c r="E292" s="40"/>
      <c r="F292" s="40"/>
      <c r="G292" s="40"/>
      <c r="H292" s="198"/>
      <c r="I292" s="198"/>
      <c r="J292" s="198"/>
      <c r="K292" s="200"/>
      <c r="L292" s="198"/>
      <c r="M292" s="198"/>
      <c r="N292" s="31"/>
      <c r="O292" s="31"/>
      <c r="P292" s="31"/>
      <c r="Q292" s="38"/>
      <c r="R292" s="31"/>
      <c r="S292" s="31"/>
      <c r="T292" s="40"/>
      <c r="U292" s="40"/>
      <c r="V292" s="40"/>
      <c r="W292" s="40"/>
      <c r="X292" s="40"/>
      <c r="Y292">
        <v>74.239999999999995</v>
      </c>
      <c r="Z292" s="169" t="s">
        <v>511</v>
      </c>
    </row>
    <row r="293" spans="1:26" hidden="1" x14ac:dyDescent="0.25">
      <c r="A293" s="8"/>
      <c r="B293" s="8"/>
      <c r="C293" s="41" t="s">
        <v>175</v>
      </c>
      <c r="D293" s="41"/>
      <c r="E293" s="41"/>
      <c r="F293" s="41"/>
      <c r="G293" s="41"/>
      <c r="H293" s="198"/>
      <c r="I293" s="198"/>
      <c r="J293" s="198"/>
      <c r="K293" s="200"/>
      <c r="L293" s="198"/>
      <c r="M293" s="198"/>
      <c r="N293" s="31"/>
      <c r="O293" s="31"/>
      <c r="P293" s="31"/>
      <c r="Q293" s="38"/>
      <c r="R293" s="31"/>
      <c r="S293" s="31"/>
      <c r="T293" s="41"/>
      <c r="U293" s="41"/>
      <c r="V293" s="41"/>
      <c r="W293" s="41"/>
      <c r="X293" s="41"/>
      <c r="Y293">
        <v>74.239999999999995</v>
      </c>
      <c r="Z293" s="169" t="s">
        <v>511</v>
      </c>
    </row>
    <row r="294" spans="1:26" hidden="1" x14ac:dyDescent="0.25">
      <c r="Z294" s="176"/>
    </row>
    <row r="295" spans="1:26" hidden="1" x14ac:dyDescent="0.25">
      <c r="A295" s="324" t="s">
        <v>644</v>
      </c>
      <c r="B295" s="325"/>
      <c r="C295" s="325"/>
      <c r="D295" s="325"/>
      <c r="E295" s="325"/>
      <c r="F295" s="325"/>
      <c r="Z295" s="176"/>
    </row>
    <row r="296" spans="1:26" hidden="1" x14ac:dyDescent="0.25">
      <c r="A296" s="202"/>
      <c r="B296" s="202"/>
      <c r="C296" s="378" t="s">
        <v>641</v>
      </c>
      <c r="D296" s="354"/>
      <c r="E296" s="354"/>
      <c r="F296" s="379"/>
      <c r="G296" s="380" t="s">
        <v>651</v>
      </c>
      <c r="H296" s="381"/>
      <c r="I296" s="381"/>
      <c r="J296" s="382"/>
      <c r="Z296" s="176"/>
    </row>
    <row r="297" spans="1:26" hidden="1" x14ac:dyDescent="0.25">
      <c r="A297" s="373" t="s">
        <v>565</v>
      </c>
      <c r="B297" s="22"/>
      <c r="C297" s="331" t="s">
        <v>640</v>
      </c>
      <c r="D297" s="333"/>
      <c r="E297" s="334" t="s">
        <v>202</v>
      </c>
      <c r="F297" s="336"/>
      <c r="G297" s="331" t="s">
        <v>640</v>
      </c>
      <c r="H297" s="333"/>
      <c r="I297" s="334" t="s">
        <v>202</v>
      </c>
      <c r="J297" s="336"/>
      <c r="Z297" s="176"/>
    </row>
    <row r="298" spans="1:26" hidden="1" x14ac:dyDescent="0.25">
      <c r="A298" s="374"/>
      <c r="B298" s="22" t="s">
        <v>663</v>
      </c>
      <c r="C298" s="216" t="s">
        <v>638</v>
      </c>
      <c r="D298" s="216" t="s">
        <v>639</v>
      </c>
      <c r="E298" s="215" t="s">
        <v>638</v>
      </c>
      <c r="F298" s="215" t="s">
        <v>639</v>
      </c>
      <c r="G298" s="216" t="s">
        <v>638</v>
      </c>
      <c r="H298" s="216" t="s">
        <v>639</v>
      </c>
      <c r="I298" s="215" t="s">
        <v>638</v>
      </c>
      <c r="J298" s="215" t="s">
        <v>639</v>
      </c>
      <c r="Z298" s="176"/>
    </row>
    <row r="299" spans="1:26" hidden="1" x14ac:dyDescent="0.25">
      <c r="A299" s="8" t="s">
        <v>578</v>
      </c>
      <c r="B299" s="212" t="str">
        <f>TEXT(IFERROR(((C299-E299)/E299*100),"0.00"),"0.00")</f>
        <v>0.00</v>
      </c>
      <c r="C299" s="210">
        <f>K266+K278+K282</f>
        <v>5568</v>
      </c>
      <c r="D299" s="210">
        <f>M266+M278+M282</f>
        <v>2895.36</v>
      </c>
      <c r="E299" s="210">
        <f>K267+K279+K283</f>
        <v>0</v>
      </c>
      <c r="F299" s="210">
        <f>M267+M279+M283</f>
        <v>0</v>
      </c>
      <c r="G299" s="211">
        <f>ROUND(Q266+Q278+Q282,2)</f>
        <v>72.39</v>
      </c>
      <c r="H299" s="211">
        <f>(S266+S278+S282)</f>
        <v>37.650000000000006</v>
      </c>
      <c r="I299" s="211">
        <f>Q267+Q279+Q283</f>
        <v>0</v>
      </c>
      <c r="J299" s="211">
        <f>S267+S279+S283</f>
        <v>0</v>
      </c>
      <c r="K299" s="143" t="s">
        <v>587</v>
      </c>
      <c r="L299" s="143" t="s">
        <v>588</v>
      </c>
      <c r="M299" s="143" t="s">
        <v>589</v>
      </c>
      <c r="Z299" s="176"/>
    </row>
    <row r="300" spans="1:26" hidden="1" x14ac:dyDescent="0.25">
      <c r="A300" s="8" t="s">
        <v>581</v>
      </c>
      <c r="B300" s="212" t="str">
        <f>TEXT(IFERROR(((C300-E300)/E300*100),"0.00"),"0.00")</f>
        <v>0.00</v>
      </c>
      <c r="C300" s="210">
        <f>K270+K274</f>
        <v>3712</v>
      </c>
      <c r="D300" s="210">
        <f>M270+M274</f>
        <v>1930.24</v>
      </c>
      <c r="E300" s="210">
        <f>K271+K275</f>
        <v>0</v>
      </c>
      <c r="F300" s="210">
        <f>M271+M275</f>
        <v>0</v>
      </c>
      <c r="G300" s="211">
        <f>Q270+Q274</f>
        <v>48.26</v>
      </c>
      <c r="H300" s="211">
        <f>S270+S274</f>
        <v>25.1</v>
      </c>
      <c r="I300" s="211">
        <f>Q271+Q275</f>
        <v>0</v>
      </c>
      <c r="J300" s="211">
        <f>S271+S275</f>
        <v>0</v>
      </c>
      <c r="K300" s="143" t="s">
        <v>590</v>
      </c>
      <c r="L300" s="143" t="s">
        <v>591</v>
      </c>
      <c r="M300" s="177"/>
      <c r="Z300" s="176"/>
    </row>
    <row r="301" spans="1:26" hidden="1" x14ac:dyDescent="0.25">
      <c r="A301" s="8" t="s">
        <v>584</v>
      </c>
      <c r="B301" s="212" t="str">
        <f>TEXT(IFERROR(((C301-E301)/E301*100),"0.00"),"0.00")</f>
        <v>0.00</v>
      </c>
      <c r="C301" s="210">
        <f>K286+K290</f>
        <v>371200</v>
      </c>
      <c r="D301" s="210">
        <f>M286+M290</f>
        <v>46028.800000000003</v>
      </c>
      <c r="E301" s="210">
        <f>K287+K291</f>
        <v>371200</v>
      </c>
      <c r="F301" s="210">
        <f>M287+M291</f>
        <v>46028.800000000003</v>
      </c>
      <c r="G301" s="211">
        <f>Q286+Q290</f>
        <v>4825.6000000000004</v>
      </c>
      <c r="H301" s="211">
        <f>S286+S290</f>
        <v>598.38</v>
      </c>
      <c r="I301" s="211">
        <f>Q287+Q291</f>
        <v>4825.6000000000004</v>
      </c>
      <c r="J301" s="211">
        <f>S287+S291</f>
        <v>598.38</v>
      </c>
      <c r="K301" s="143" t="s">
        <v>592</v>
      </c>
      <c r="L301" s="143" t="s">
        <v>593</v>
      </c>
      <c r="M301" s="177"/>
      <c r="Z301" s="176"/>
    </row>
    <row r="302" spans="1:26" hidden="1" x14ac:dyDescent="0.25">
      <c r="Z302" s="176"/>
    </row>
    <row r="303" spans="1:26" ht="13.35" hidden="1" customHeight="1" x14ac:dyDescent="0.25">
      <c r="A303" s="347" t="s">
        <v>197</v>
      </c>
      <c r="B303" s="348"/>
      <c r="C303" s="348"/>
      <c r="D303" s="348"/>
      <c r="E303" s="348"/>
      <c r="F303" s="348"/>
      <c r="G303" s="348"/>
      <c r="H303" s="348"/>
    </row>
    <row r="304" spans="1:26" hidden="1" x14ac:dyDescent="0.25">
      <c r="A304" s="349" t="s">
        <v>1</v>
      </c>
      <c r="B304" s="349" t="s">
        <v>649</v>
      </c>
      <c r="C304" s="350" t="s">
        <v>181</v>
      </c>
      <c r="D304" s="351" t="s">
        <v>664</v>
      </c>
      <c r="E304" s="354" t="s">
        <v>641</v>
      </c>
      <c r="F304" s="354"/>
      <c r="G304" s="354"/>
      <c r="H304" s="354"/>
      <c r="I304" s="355" t="s">
        <v>650</v>
      </c>
      <c r="J304" s="355"/>
      <c r="K304" s="355"/>
      <c r="L304" s="355"/>
    </row>
    <row r="305" spans="1:33" hidden="1" x14ac:dyDescent="0.25">
      <c r="A305" s="326"/>
      <c r="B305" s="326"/>
      <c r="C305" s="328"/>
      <c r="D305" s="352"/>
      <c r="E305" s="331" t="s">
        <v>648</v>
      </c>
      <c r="F305" s="333"/>
      <c r="G305" s="334" t="s">
        <v>202</v>
      </c>
      <c r="H305" s="336"/>
      <c r="I305" s="331" t="s">
        <v>648</v>
      </c>
      <c r="J305" s="333"/>
      <c r="K305" s="334" t="s">
        <v>202</v>
      </c>
      <c r="L305" s="336"/>
    </row>
    <row r="306" spans="1:33" x14ac:dyDescent="0.25">
      <c r="A306" s="327"/>
      <c r="B306" s="327" t="s">
        <v>0</v>
      </c>
      <c r="C306" s="329"/>
      <c r="D306" s="353"/>
      <c r="E306" s="216" t="s">
        <v>203</v>
      </c>
      <c r="F306" s="216" t="s">
        <v>204</v>
      </c>
      <c r="G306" s="215" t="s">
        <v>193</v>
      </c>
      <c r="H306" s="215" t="s">
        <v>194</v>
      </c>
      <c r="I306" s="216" t="s">
        <v>203</v>
      </c>
      <c r="J306" s="216" t="s">
        <v>204</v>
      </c>
      <c r="K306" s="215" t="s">
        <v>193</v>
      </c>
      <c r="L306" s="215" t="s">
        <v>194</v>
      </c>
    </row>
    <row r="307" spans="1:33" x14ac:dyDescent="0.25">
      <c r="A307" s="19" t="str">
        <f>C4</f>
        <v>CurrConv_Cust1Auto,IND</v>
      </c>
      <c r="B307" s="21" t="s">
        <v>13</v>
      </c>
      <c r="C307" s="19" t="s">
        <v>195</v>
      </c>
      <c r="D307" s="270" t="str">
        <f>TEXT(4.72, "0.00")</f>
        <v>4.72</v>
      </c>
      <c r="E307" s="269" t="str">
        <f>"Rs"&amp;TEXT(391830.55,"0.00")</f>
        <v>Rs391830.55</v>
      </c>
      <c r="F307" s="269" t="str">
        <f>"Rs"&amp;TEXT(76764.16,"0.00")</f>
        <v>Rs76764.16</v>
      </c>
      <c r="G307" s="269" t="str">
        <f>"Rs"&amp;TEXT(374169.6,"0.00")</f>
        <v>Rs374169.60</v>
      </c>
      <c r="H307" s="269" t="str">
        <f>"Rs"&amp;TEXT(69043.2,"0.00")</f>
        <v>Rs69043.20</v>
      </c>
      <c r="I307" s="268" t="s">
        <v>763</v>
      </c>
      <c r="J307" s="268" t="s">
        <v>764</v>
      </c>
      <c r="K307" s="268" t="s">
        <v>765</v>
      </c>
      <c r="L307" s="268" t="s">
        <v>766</v>
      </c>
      <c r="AF307" s="251" t="s">
        <v>747</v>
      </c>
      <c r="AG307" s="251" t="s">
        <v>759</v>
      </c>
    </row>
    <row r="308" spans="1:33" x14ac:dyDescent="0.25">
      <c r="A308" s="19" t="str">
        <f>A196</f>
        <v>External Account Identifier - ACCT_IND_02</v>
      </c>
      <c r="B308" s="21" t="s">
        <v>13</v>
      </c>
      <c r="C308" s="19" t="s">
        <v>195</v>
      </c>
      <c r="D308" s="270" t="str">
        <f>TEXT(4.72, "0.00")</f>
        <v>4.72</v>
      </c>
      <c r="E308" s="269" t="str">
        <f>"Rs"&amp;TEXT(391830.55,"0.00")</f>
        <v>Rs391830.55</v>
      </c>
      <c r="F308" s="269" t="str">
        <f>"Rs"&amp;TEXT(76764.16,"0.00")</f>
        <v>Rs76764.16</v>
      </c>
      <c r="G308" s="269" t="str">
        <f>"Rs"&amp;TEXT(374169.6,"0.00")</f>
        <v>Rs374169.60</v>
      </c>
      <c r="H308" s="269" t="str">
        <f>"Rs"&amp;TEXT(69043.2,"0.00")</f>
        <v>Rs69043.20</v>
      </c>
      <c r="I308" s="267">
        <v>5093.8</v>
      </c>
      <c r="J308" s="267">
        <v>997.97</v>
      </c>
      <c r="K308" s="267">
        <v>4864.2</v>
      </c>
      <c r="L308" s="267">
        <v>897.57</v>
      </c>
      <c r="AF308" s="251" t="s">
        <v>747</v>
      </c>
      <c r="AG308" s="251" t="s">
        <v>744</v>
      </c>
    </row>
    <row r="310" spans="1:33" x14ac:dyDescent="0.25">
      <c r="A310" s="324" t="s">
        <v>645</v>
      </c>
      <c r="B310" s="325"/>
      <c r="C310" s="325"/>
      <c r="D310" s="325"/>
      <c r="E310" s="325"/>
      <c r="F310" s="325"/>
      <c r="Z310" s="176"/>
    </row>
    <row r="311" spans="1:33" x14ac:dyDescent="0.25">
      <c r="A311" s="339" t="s">
        <v>565</v>
      </c>
      <c r="B311" s="339" t="s">
        <v>448</v>
      </c>
      <c r="C311" s="383" t="s">
        <v>646</v>
      </c>
      <c r="D311" s="340" t="s">
        <v>641</v>
      </c>
      <c r="E311" s="340"/>
      <c r="F311" s="340"/>
      <c r="G311" s="340"/>
      <c r="H311" s="340"/>
      <c r="I311" s="340"/>
      <c r="J311" s="340"/>
      <c r="K311" s="340"/>
      <c r="L311" s="341" t="s">
        <v>652</v>
      </c>
      <c r="M311" s="342"/>
      <c r="N311" s="342"/>
      <c r="O311" s="342"/>
      <c r="P311" s="342"/>
      <c r="Q311" s="342"/>
      <c r="R311" s="342"/>
      <c r="S311" s="342"/>
      <c r="T311" s="343" t="s">
        <v>665</v>
      </c>
      <c r="Z311" s="176"/>
    </row>
    <row r="312" spans="1:33" x14ac:dyDescent="0.25">
      <c r="A312" s="339"/>
      <c r="B312" s="339"/>
      <c r="C312" s="383"/>
      <c r="D312" s="344" t="s">
        <v>640</v>
      </c>
      <c r="E312" s="344"/>
      <c r="F312" s="344"/>
      <c r="G312" s="344"/>
      <c r="H312" s="345" t="s">
        <v>202</v>
      </c>
      <c r="I312" s="345"/>
      <c r="J312" s="345"/>
      <c r="K312" s="345"/>
      <c r="L312" s="344" t="s">
        <v>640</v>
      </c>
      <c r="M312" s="344"/>
      <c r="N312" s="344"/>
      <c r="O312" s="344"/>
      <c r="P312" s="345" t="s">
        <v>202</v>
      </c>
      <c r="Q312" s="345"/>
      <c r="R312" s="345"/>
      <c r="S312" s="346"/>
      <c r="T312" s="343"/>
      <c r="Z312" s="176"/>
    </row>
    <row r="313" spans="1:33" x14ac:dyDescent="0.25">
      <c r="A313" s="339"/>
      <c r="B313" s="339" t="s">
        <v>448</v>
      </c>
      <c r="C313" s="383"/>
      <c r="D313" s="216" t="s">
        <v>164</v>
      </c>
      <c r="E313" s="216" t="s">
        <v>166</v>
      </c>
      <c r="F313" s="216" t="s">
        <v>199</v>
      </c>
      <c r="G313" s="216" t="s">
        <v>205</v>
      </c>
      <c r="H313" s="215" t="s">
        <v>164</v>
      </c>
      <c r="I313" s="215" t="s">
        <v>166</v>
      </c>
      <c r="J313" s="215" t="s">
        <v>199</v>
      </c>
      <c r="K313" s="215" t="s">
        <v>205</v>
      </c>
      <c r="L313" s="216" t="s">
        <v>164</v>
      </c>
      <c r="M313" s="216" t="s">
        <v>166</v>
      </c>
      <c r="N313" s="216" t="s">
        <v>199</v>
      </c>
      <c r="O313" s="216" t="s">
        <v>205</v>
      </c>
      <c r="P313" s="215" t="s">
        <v>164</v>
      </c>
      <c r="Q313" s="215" t="s">
        <v>166</v>
      </c>
      <c r="R313" s="215" t="s">
        <v>199</v>
      </c>
      <c r="S313" s="217" t="s">
        <v>205</v>
      </c>
      <c r="T313" s="343"/>
    </row>
    <row r="314" spans="1:33" x14ac:dyDescent="0.25">
      <c r="A314" s="8" t="s">
        <v>578</v>
      </c>
      <c r="B314" s="21" t="s">
        <v>13</v>
      </c>
      <c r="C314" s="52"/>
      <c r="D314" s="280" t="s">
        <v>786</v>
      </c>
      <c r="E314" s="280" t="s">
        <v>787</v>
      </c>
      <c r="F314" s="280" t="s">
        <v>788</v>
      </c>
      <c r="G314" s="280" t="s">
        <v>789</v>
      </c>
      <c r="H314" s="280" t="s">
        <v>790</v>
      </c>
      <c r="I314" s="280" t="s">
        <v>790</v>
      </c>
      <c r="J314" s="280" t="s">
        <v>790</v>
      </c>
      <c r="K314" s="280" t="s">
        <v>791</v>
      </c>
      <c r="L314" s="279" t="s">
        <v>799</v>
      </c>
      <c r="M314" s="279" t="s">
        <v>814</v>
      </c>
      <c r="N314" s="281" t="s">
        <v>813</v>
      </c>
      <c r="O314" s="281" t="s">
        <v>789</v>
      </c>
      <c r="P314" s="281" t="s">
        <v>800</v>
      </c>
      <c r="Q314" s="281" t="s">
        <v>800</v>
      </c>
      <c r="R314" s="281" t="s">
        <v>800</v>
      </c>
      <c r="S314" s="282" t="s">
        <v>791</v>
      </c>
      <c r="T314" s="283" t="s">
        <v>791</v>
      </c>
    </row>
    <row r="315" spans="1:33" x14ac:dyDescent="0.25">
      <c r="A315" s="8" t="s">
        <v>581</v>
      </c>
      <c r="B315" s="21" t="s">
        <v>13</v>
      </c>
      <c r="C315" s="52"/>
      <c r="D315" s="280" t="s">
        <v>792</v>
      </c>
      <c r="E315" s="280" t="s">
        <v>793</v>
      </c>
      <c r="F315" s="280" t="s">
        <v>794</v>
      </c>
      <c r="G315" s="280" t="s">
        <v>789</v>
      </c>
      <c r="H315" s="280" t="s">
        <v>790</v>
      </c>
      <c r="I315" s="280" t="s">
        <v>790</v>
      </c>
      <c r="J315" s="280" t="s">
        <v>790</v>
      </c>
      <c r="K315" s="280" t="s">
        <v>791</v>
      </c>
      <c r="L315" s="281" t="s">
        <v>803</v>
      </c>
      <c r="M315" s="279" t="s">
        <v>815</v>
      </c>
      <c r="N315" s="281" t="s">
        <v>807</v>
      </c>
      <c r="O315" s="279" t="s">
        <v>789</v>
      </c>
      <c r="P315" s="281" t="s">
        <v>800</v>
      </c>
      <c r="Q315" s="281" t="s">
        <v>800</v>
      </c>
      <c r="R315" s="281" t="s">
        <v>800</v>
      </c>
      <c r="S315" s="282" t="s">
        <v>791</v>
      </c>
      <c r="T315" s="283" t="s">
        <v>791</v>
      </c>
    </row>
    <row r="316" spans="1:33" x14ac:dyDescent="0.25">
      <c r="A316" s="8" t="s">
        <v>584</v>
      </c>
      <c r="B316" s="21" t="s">
        <v>13</v>
      </c>
      <c r="C316" s="52"/>
      <c r="D316" s="280" t="s">
        <v>795</v>
      </c>
      <c r="E316" s="280" t="s">
        <v>796</v>
      </c>
      <c r="F316" s="280" t="s">
        <v>797</v>
      </c>
      <c r="G316" s="280" t="s">
        <v>798</v>
      </c>
      <c r="H316" s="280" t="s">
        <v>795</v>
      </c>
      <c r="I316" s="280" t="s">
        <v>796</v>
      </c>
      <c r="J316" s="280" t="s">
        <v>797</v>
      </c>
      <c r="K316" s="280" t="s">
        <v>798</v>
      </c>
      <c r="L316" s="281" t="s">
        <v>804</v>
      </c>
      <c r="M316" s="279" t="s">
        <v>816</v>
      </c>
      <c r="N316" s="279" t="s">
        <v>817</v>
      </c>
      <c r="O316" s="281" t="s">
        <v>798</v>
      </c>
      <c r="P316" s="281" t="s">
        <v>804</v>
      </c>
      <c r="Q316" s="279" t="s">
        <v>816</v>
      </c>
      <c r="R316" s="279" t="s">
        <v>817</v>
      </c>
      <c r="S316" s="282" t="s">
        <v>798</v>
      </c>
      <c r="T316" s="283" t="s">
        <v>791</v>
      </c>
    </row>
    <row r="318" spans="1:33" ht="23.45" customHeight="1" x14ac:dyDescent="0.25">
      <c r="A318" s="324" t="s">
        <v>647</v>
      </c>
      <c r="B318" s="325"/>
      <c r="C318" s="325"/>
      <c r="D318" s="325"/>
      <c r="E318" s="325"/>
      <c r="F318" s="325"/>
      <c r="Z318" s="176"/>
    </row>
    <row r="319" spans="1:33" x14ac:dyDescent="0.25">
      <c r="A319" s="326" t="s">
        <v>448</v>
      </c>
      <c r="B319" s="328" t="s">
        <v>198</v>
      </c>
      <c r="C319" s="330" t="s">
        <v>641</v>
      </c>
      <c r="D319" s="330"/>
      <c r="E319" s="330"/>
      <c r="F319" s="330"/>
      <c r="G319" s="330"/>
      <c r="H319" s="330"/>
      <c r="I319" s="330"/>
      <c r="J319" s="330"/>
      <c r="K319" s="330"/>
      <c r="L319" s="330" t="s">
        <v>652</v>
      </c>
      <c r="M319" s="330"/>
      <c r="N319" s="330"/>
      <c r="O319" s="330"/>
      <c r="P319" s="330"/>
      <c r="Q319" s="330"/>
      <c r="R319" s="330"/>
      <c r="S319" s="330"/>
      <c r="T319" s="330"/>
      <c r="Z319" s="176"/>
    </row>
    <row r="320" spans="1:33" x14ac:dyDescent="0.25">
      <c r="A320" s="326"/>
      <c r="B320" s="328"/>
      <c r="C320" s="331" t="s">
        <v>201</v>
      </c>
      <c r="D320" s="332"/>
      <c r="E320" s="332"/>
      <c r="F320" s="333"/>
      <c r="G320" s="334" t="s">
        <v>202</v>
      </c>
      <c r="H320" s="335"/>
      <c r="I320" s="335"/>
      <c r="J320" s="336"/>
      <c r="K320" s="337" t="s">
        <v>665</v>
      </c>
      <c r="L320" s="331" t="s">
        <v>201</v>
      </c>
      <c r="M320" s="332"/>
      <c r="N320" s="332"/>
      <c r="O320" s="333"/>
      <c r="P320" s="334" t="s">
        <v>202</v>
      </c>
      <c r="Q320" s="335"/>
      <c r="R320" s="335"/>
      <c r="S320" s="336"/>
      <c r="T320" s="337" t="s">
        <v>665</v>
      </c>
    </row>
    <row r="321" spans="1:26" x14ac:dyDescent="0.25">
      <c r="A321" s="327"/>
      <c r="B321" s="329"/>
      <c r="C321" s="216" t="s">
        <v>164</v>
      </c>
      <c r="D321" s="216" t="s">
        <v>166</v>
      </c>
      <c r="E321" s="216" t="s">
        <v>199</v>
      </c>
      <c r="F321" s="216" t="s">
        <v>205</v>
      </c>
      <c r="G321" s="215" t="s">
        <v>164</v>
      </c>
      <c r="H321" s="215" t="s">
        <v>166</v>
      </c>
      <c r="I321" s="215" t="s">
        <v>199</v>
      </c>
      <c r="J321" s="215" t="s">
        <v>205</v>
      </c>
      <c r="K321" s="338"/>
      <c r="L321" s="216" t="s">
        <v>164</v>
      </c>
      <c r="M321" s="216" t="s">
        <v>166</v>
      </c>
      <c r="N321" s="216" t="s">
        <v>199</v>
      </c>
      <c r="O321" s="216" t="s">
        <v>205</v>
      </c>
      <c r="P321" s="215" t="s">
        <v>164</v>
      </c>
      <c r="Q321" s="215" t="s">
        <v>166</v>
      </c>
      <c r="R321" s="215" t="s">
        <v>199</v>
      </c>
      <c r="S321" s="215" t="s">
        <v>205</v>
      </c>
      <c r="T321" s="338"/>
      <c r="U321" s="218" t="s">
        <v>655</v>
      </c>
      <c r="V321" s="218" t="s">
        <v>656</v>
      </c>
    </row>
    <row r="322" spans="1:26" x14ac:dyDescent="0.25">
      <c r="A322" s="19" t="s">
        <v>13</v>
      </c>
      <c r="B322" s="53"/>
      <c r="C322" s="7" t="s">
        <v>783</v>
      </c>
      <c r="D322" s="7" t="s">
        <v>784</v>
      </c>
      <c r="E322" s="7" t="s">
        <v>771</v>
      </c>
      <c r="F322" s="7" t="str">
        <f>TEXT(58.31,"0.00")</f>
        <v>58.31</v>
      </c>
      <c r="G322" s="7" t="s">
        <v>770</v>
      </c>
      <c r="H322" s="7" t="s">
        <v>769</v>
      </c>
      <c r="I322" s="7" t="s">
        <v>772</v>
      </c>
      <c r="J322" s="7" t="str">
        <f>TEXT(81.55,"0.00")</f>
        <v>81.55</v>
      </c>
      <c r="K322" s="7" t="str">
        <f>TEXT(44.4,"0.00")</f>
        <v>44.40</v>
      </c>
      <c r="L322" s="21" t="s">
        <v>785</v>
      </c>
      <c r="M322" s="279" t="s">
        <v>818</v>
      </c>
      <c r="N322" s="279" t="s">
        <v>780</v>
      </c>
      <c r="O322" s="271" t="str">
        <f>TEXT(58.31,"0.00")</f>
        <v>58.31</v>
      </c>
      <c r="P322" s="21" t="s">
        <v>776</v>
      </c>
      <c r="Q322" s="279" t="s">
        <v>781</v>
      </c>
      <c r="R322" s="279" t="s">
        <v>782</v>
      </c>
      <c r="S322" s="21" t="s">
        <v>809</v>
      </c>
      <c r="T322" s="21" t="str">
        <f>TEXT(44.4,"0.00")</f>
        <v>44.40</v>
      </c>
      <c r="U322">
        <v>74.239999999999995</v>
      </c>
      <c r="V322" s="169">
        <v>1.2999999999999999E-2</v>
      </c>
    </row>
    <row r="323" spans="1:26" x14ac:dyDescent="0.25">
      <c r="C323" s="72"/>
    </row>
    <row r="324" spans="1:26" x14ac:dyDescent="0.25">
      <c r="A324" s="347" t="s">
        <v>196</v>
      </c>
      <c r="B324" s="348"/>
      <c r="C324" s="348"/>
      <c r="D324" s="348"/>
      <c r="E324" s="348"/>
      <c r="F324" s="348"/>
      <c r="G324" s="348"/>
      <c r="H324" s="348"/>
      <c r="I324" s="348"/>
      <c r="J324" s="348"/>
    </row>
    <row r="325" spans="1:26" x14ac:dyDescent="0.25">
      <c r="A325" s="185"/>
      <c r="B325" s="186"/>
      <c r="C325" s="330" t="s">
        <v>641</v>
      </c>
      <c r="D325" s="330"/>
      <c r="E325" s="330"/>
      <c r="F325" s="330"/>
      <c r="G325" s="330"/>
      <c r="H325" s="330"/>
      <c r="I325" s="330"/>
      <c r="J325" s="330"/>
      <c r="K325" s="330"/>
      <c r="Z325" s="176"/>
    </row>
    <row r="326" spans="1:26" x14ac:dyDescent="0.25">
      <c r="A326" s="373" t="s">
        <v>448</v>
      </c>
      <c r="B326" s="373" t="s">
        <v>198</v>
      </c>
      <c r="C326" s="331" t="s">
        <v>201</v>
      </c>
      <c r="D326" s="332"/>
      <c r="E326" s="332"/>
      <c r="F326" s="333"/>
      <c r="G326" s="334" t="s">
        <v>202</v>
      </c>
      <c r="H326" s="335"/>
      <c r="I326" s="335"/>
      <c r="J326" s="336"/>
      <c r="K326" s="337" t="s">
        <v>665</v>
      </c>
    </row>
    <row r="327" spans="1:26" x14ac:dyDescent="0.25">
      <c r="A327" s="374"/>
      <c r="B327" s="374"/>
      <c r="C327" s="216" t="s">
        <v>164</v>
      </c>
      <c r="D327" s="216" t="s">
        <v>166</v>
      </c>
      <c r="E327" s="216" t="s">
        <v>199</v>
      </c>
      <c r="F327" s="216" t="s">
        <v>205</v>
      </c>
      <c r="G327" s="215" t="s">
        <v>164</v>
      </c>
      <c r="H327" s="215" t="s">
        <v>166</v>
      </c>
      <c r="I327" s="215" t="s">
        <v>199</v>
      </c>
      <c r="J327" s="215" t="s">
        <v>205</v>
      </c>
      <c r="K327" s="338"/>
    </row>
    <row r="328" spans="1:26" x14ac:dyDescent="0.25">
      <c r="A328" s="19" t="s">
        <v>13</v>
      </c>
      <c r="B328" s="53"/>
      <c r="C328" s="271" t="s">
        <v>783</v>
      </c>
      <c r="D328" s="271" t="s">
        <v>784</v>
      </c>
      <c r="E328" s="271" t="s">
        <v>771</v>
      </c>
      <c r="F328" s="271" t="str">
        <f>TEXT(58.31,"0.00")</f>
        <v>58.31</v>
      </c>
      <c r="G328" s="271" t="s">
        <v>770</v>
      </c>
      <c r="H328" s="271" t="s">
        <v>769</v>
      </c>
      <c r="I328" s="271" t="s">
        <v>772</v>
      </c>
      <c r="J328" s="271" t="str">
        <f>TEXT(81.55,"0.00")</f>
        <v>81.55</v>
      </c>
      <c r="K328" s="271" t="str">
        <f>TEXT(44.4,"0.00")</f>
        <v>44.40</v>
      </c>
    </row>
    <row r="329" spans="1:26" x14ac:dyDescent="0.25">
      <c r="N329" t="s">
        <v>566</v>
      </c>
    </row>
    <row r="330" spans="1:26" x14ac:dyDescent="0.25">
      <c r="A330" s="54" t="s">
        <v>136</v>
      </c>
      <c r="B330" s="55"/>
      <c r="C330" s="55"/>
    </row>
    <row r="331" spans="1:26" x14ac:dyDescent="0.25">
      <c r="A331" s="22" t="s">
        <v>136</v>
      </c>
      <c r="B331" s="22" t="s">
        <v>144</v>
      </c>
      <c r="C331" s="22" t="s">
        <v>145</v>
      </c>
      <c r="D331" s="22" t="s">
        <v>469</v>
      </c>
      <c r="E331" s="22" t="s">
        <v>125</v>
      </c>
      <c r="F331" s="22" t="s">
        <v>54</v>
      </c>
      <c r="G331" s="22" t="s">
        <v>55</v>
      </c>
      <c r="H331" s="22" t="s">
        <v>470</v>
      </c>
      <c r="I331" s="22" t="s">
        <v>471</v>
      </c>
      <c r="J331" s="22" t="s">
        <v>140</v>
      </c>
      <c r="K331" s="22" t="s">
        <v>122</v>
      </c>
      <c r="L331" s="22" t="s">
        <v>120</v>
      </c>
    </row>
    <row r="332" spans="1:26" ht="45" x14ac:dyDescent="0.25">
      <c r="A332" s="24" t="s">
        <v>137</v>
      </c>
      <c r="B332" s="25" t="s">
        <v>216</v>
      </c>
      <c r="C332" s="25" t="s">
        <v>216</v>
      </c>
      <c r="D332" s="25" t="s">
        <v>134</v>
      </c>
      <c r="E332" s="25" t="s">
        <v>325</v>
      </c>
      <c r="F332" s="25"/>
      <c r="G332" s="25"/>
      <c r="H332" s="25"/>
      <c r="I332" s="25"/>
      <c r="J332" s="150">
        <f ca="1">TODAY()</f>
        <v>45142</v>
      </c>
      <c r="K332" s="150" t="str">
        <f>E210</f>
        <v>Rs315066.39</v>
      </c>
      <c r="L332" s="25" t="s">
        <v>609</v>
      </c>
    </row>
    <row r="335" spans="1:26" x14ac:dyDescent="0.25">
      <c r="A335" s="22" t="s">
        <v>669</v>
      </c>
      <c r="B335" s="22" t="s">
        <v>670</v>
      </c>
      <c r="C335" s="22" t="s">
        <v>671</v>
      </c>
      <c r="D335" s="22" t="s">
        <v>448</v>
      </c>
      <c r="E335" s="22" t="s">
        <v>565</v>
      </c>
      <c r="F335" s="22" t="s">
        <v>672</v>
      </c>
      <c r="G335" s="22" t="s">
        <v>673</v>
      </c>
      <c r="H335" s="22" t="s">
        <v>674</v>
      </c>
      <c r="I335" s="22" t="s">
        <v>675</v>
      </c>
      <c r="J335" s="22" t="s">
        <v>676</v>
      </c>
      <c r="K335" s="22" t="s">
        <v>677</v>
      </c>
      <c r="L335" s="22"/>
      <c r="M335" s="22" t="s">
        <v>676</v>
      </c>
      <c r="N335" s="22" t="s">
        <v>677</v>
      </c>
    </row>
    <row r="336" spans="1:26" ht="30" x14ac:dyDescent="0.25">
      <c r="A336" s="174">
        <v>1</v>
      </c>
      <c r="B336" s="230" t="s">
        <v>678</v>
      </c>
      <c r="C336" s="230" t="s">
        <v>139</v>
      </c>
      <c r="D336" s="230" t="s">
        <v>13</v>
      </c>
      <c r="E336" s="230" t="s">
        <v>566</v>
      </c>
      <c r="F336" s="230" t="s">
        <v>679</v>
      </c>
      <c r="G336" s="230" t="s">
        <v>338</v>
      </c>
      <c r="H336" s="230" t="s">
        <v>680</v>
      </c>
      <c r="I336" s="230" t="s">
        <v>681</v>
      </c>
      <c r="J336" s="230" t="str">
        <f ca="1">TEXT(TODAY(),"MM-DD-YYYY")</f>
        <v>08-04-2023</v>
      </c>
      <c r="K336" s="230" t="str">
        <f ca="1">TEXT(TODAY(),"MM-DD-YYYY")</f>
        <v>08-04-2023</v>
      </c>
      <c r="L336" s="230"/>
      <c r="M336" s="231" t="s">
        <v>682</v>
      </c>
      <c r="N336" s="231" t="s">
        <v>682</v>
      </c>
    </row>
    <row r="337" spans="1:26" ht="30" x14ac:dyDescent="0.25">
      <c r="A337" s="174">
        <v>2</v>
      </c>
      <c r="B337" s="230" t="s">
        <v>683</v>
      </c>
      <c r="C337" s="230" t="s">
        <v>0</v>
      </c>
      <c r="D337" s="230" t="s">
        <v>13</v>
      </c>
      <c r="E337" s="230" t="s">
        <v>566</v>
      </c>
      <c r="F337" s="230" t="s">
        <v>679</v>
      </c>
      <c r="G337" s="230" t="s">
        <v>684</v>
      </c>
      <c r="H337" s="230" t="s">
        <v>760</v>
      </c>
      <c r="I337" s="230" t="s">
        <v>685</v>
      </c>
      <c r="J337" s="230" t="str">
        <f t="shared" ref="J337:K339" ca="1" si="0">TEXT(TODAY(),"MM-DD-YYYY")</f>
        <v>08-04-2023</v>
      </c>
      <c r="K337" s="230" t="str">
        <f t="shared" ca="1" si="0"/>
        <v>08-04-2023</v>
      </c>
      <c r="L337" s="230"/>
      <c r="M337" s="231" t="s">
        <v>682</v>
      </c>
      <c r="N337" s="231" t="s">
        <v>686</v>
      </c>
    </row>
    <row r="338" spans="1:26" ht="30" x14ac:dyDescent="0.25">
      <c r="A338" s="174">
        <v>3</v>
      </c>
      <c r="B338" s="230" t="s">
        <v>683</v>
      </c>
      <c r="C338" s="230" t="s">
        <v>0</v>
      </c>
      <c r="D338" s="230" t="s">
        <v>13</v>
      </c>
      <c r="E338" s="230" t="s">
        <v>566</v>
      </c>
      <c r="F338" s="230" t="s">
        <v>687</v>
      </c>
      <c r="G338" s="230" t="s">
        <v>688</v>
      </c>
      <c r="H338" s="230" t="s">
        <v>761</v>
      </c>
      <c r="I338" s="230" t="s">
        <v>473</v>
      </c>
      <c r="J338" s="230" t="str">
        <f t="shared" ca="1" si="0"/>
        <v>08-04-2023</v>
      </c>
      <c r="K338" s="230" t="str">
        <f t="shared" ca="1" si="0"/>
        <v>08-04-2023</v>
      </c>
      <c r="L338" s="230"/>
      <c r="M338" s="231" t="s">
        <v>686</v>
      </c>
      <c r="N338" s="231" t="s">
        <v>689</v>
      </c>
    </row>
    <row r="339" spans="1:26" x14ac:dyDescent="0.25">
      <c r="A339" s="174">
        <v>4</v>
      </c>
      <c r="B339" s="230" t="s">
        <v>683</v>
      </c>
      <c r="C339" s="230" t="s">
        <v>139</v>
      </c>
      <c r="D339" s="230" t="s">
        <v>13</v>
      </c>
      <c r="E339" s="230" t="s">
        <v>566</v>
      </c>
      <c r="F339" s="230" t="s">
        <v>687</v>
      </c>
      <c r="G339" s="230" t="s">
        <v>341</v>
      </c>
      <c r="H339" s="230" t="s">
        <v>566</v>
      </c>
      <c r="I339" s="230" t="s">
        <v>690</v>
      </c>
      <c r="J339" s="230" t="str">
        <f t="shared" ca="1" si="0"/>
        <v>08-04-2023</v>
      </c>
      <c r="K339" s="230" t="str">
        <f t="shared" ca="1" si="0"/>
        <v>08-04-2023</v>
      </c>
      <c r="L339" s="230"/>
      <c r="M339" s="231" t="s">
        <v>689</v>
      </c>
      <c r="N339" s="231" t="s">
        <v>566</v>
      </c>
    </row>
    <row r="341" spans="1:26" ht="33.75" x14ac:dyDescent="0.5">
      <c r="A341" s="359" t="s">
        <v>691</v>
      </c>
      <c r="B341" s="359"/>
      <c r="C341" s="359"/>
      <c r="D341" s="359"/>
      <c r="E341" s="359"/>
      <c r="F341" s="359"/>
      <c r="G341" s="359"/>
      <c r="H341" s="359"/>
      <c r="I341" s="359"/>
      <c r="J341" s="359"/>
      <c r="K341" s="359"/>
      <c r="L341" s="359"/>
      <c r="M341" s="359"/>
      <c r="N341" s="359"/>
      <c r="O341" s="359"/>
      <c r="P341" s="359"/>
      <c r="Q341" s="359"/>
      <c r="R341" s="359"/>
      <c r="S341" s="359"/>
      <c r="T341" s="359"/>
      <c r="U341" s="359"/>
      <c r="V341" s="359"/>
      <c r="W341" s="359"/>
      <c r="X341" s="359"/>
      <c r="Y341" s="359"/>
      <c r="Z341" s="359"/>
    </row>
    <row r="342" spans="1:26" x14ac:dyDescent="0.25">
      <c r="A342" s="324" t="s">
        <v>159</v>
      </c>
      <c r="B342" s="325"/>
      <c r="C342" s="325"/>
      <c r="D342" s="325"/>
      <c r="E342" s="325"/>
      <c r="H342" s="377" t="s">
        <v>514</v>
      </c>
      <c r="I342" s="377"/>
      <c r="J342" s="377"/>
      <c r="K342" s="377"/>
      <c r="L342" s="377"/>
      <c r="M342" s="377"/>
      <c r="N342" s="375" t="s">
        <v>515</v>
      </c>
      <c r="O342" s="375"/>
      <c r="P342" s="375"/>
      <c r="Q342" s="375"/>
      <c r="R342" s="375"/>
      <c r="S342" s="375"/>
    </row>
    <row r="343" spans="1:26" x14ac:dyDescent="0.25">
      <c r="A343" s="221" t="s">
        <v>160</v>
      </c>
      <c r="B343" s="221" t="s">
        <v>43</v>
      </c>
      <c r="C343" s="221" t="s">
        <v>168</v>
      </c>
      <c r="D343" s="39" t="s">
        <v>176</v>
      </c>
      <c r="E343" s="39" t="s">
        <v>177</v>
      </c>
      <c r="F343" s="39" t="s">
        <v>56</v>
      </c>
      <c r="G343" s="222" t="s">
        <v>161</v>
      </c>
      <c r="H343" s="194" t="s">
        <v>162</v>
      </c>
      <c r="I343" s="194" t="s">
        <v>18</v>
      </c>
      <c r="J343" s="194" t="s">
        <v>163</v>
      </c>
      <c r="K343" s="194" t="s">
        <v>164</v>
      </c>
      <c r="L343" s="194" t="s">
        <v>662</v>
      </c>
      <c r="M343" s="194" t="s">
        <v>166</v>
      </c>
      <c r="N343" s="208" t="s">
        <v>162</v>
      </c>
      <c r="O343" s="39" t="s">
        <v>18</v>
      </c>
      <c r="P343" s="39" t="s">
        <v>163</v>
      </c>
      <c r="Q343" s="39" t="s">
        <v>164</v>
      </c>
      <c r="R343" s="39" t="s">
        <v>662</v>
      </c>
      <c r="S343" s="39" t="s">
        <v>166</v>
      </c>
      <c r="T343" s="39" t="s">
        <v>183</v>
      </c>
      <c r="U343" s="39" t="s">
        <v>180</v>
      </c>
      <c r="V343" s="39" t="s">
        <v>181</v>
      </c>
      <c r="W343" s="39" t="s">
        <v>182</v>
      </c>
      <c r="X343" s="39" t="s">
        <v>167</v>
      </c>
      <c r="Y343" s="39" t="s">
        <v>510</v>
      </c>
    </row>
    <row r="344" spans="1:26" x14ac:dyDescent="0.25">
      <c r="A344" s="46" t="s">
        <v>169</v>
      </c>
      <c r="B344" s="46"/>
      <c r="C344" s="46" t="s">
        <v>178</v>
      </c>
      <c r="D344" s="46"/>
      <c r="E344" s="46"/>
      <c r="F344" s="46"/>
      <c r="G344" s="46"/>
      <c r="H344" s="194"/>
      <c r="I344" s="194"/>
      <c r="J344" s="195">
        <f>J346+J356+J366</f>
        <v>308</v>
      </c>
      <c r="K344" s="196">
        <f>ROUND(SUMIFS(K346:K395,C346:C395,C344,A346:A395,"*"&amp;"DE_"&amp;"*"),2)</f>
        <v>11350.55</v>
      </c>
      <c r="L344" s="194"/>
      <c r="M344" s="197">
        <f>ROUND(SUMIFS(M346:M395,C346:C395,C344,A346:A395,"*"&amp;"DE_"&amp;"*"),2)</f>
        <v>25909.759999999998</v>
      </c>
      <c r="N344" s="203"/>
      <c r="O344" s="203"/>
      <c r="P344" s="204">
        <f>P346+P356+P366</f>
        <v>308</v>
      </c>
      <c r="Q344" s="205">
        <f>SUMIFS(Q346:Q395,C346:C395,C344,A346:A395,"*"&amp;"DE_"&amp;"*")</f>
        <v>5093.7971968000002</v>
      </c>
      <c r="R344" s="203"/>
      <c r="S344" s="205">
        <f>SUMIFS(S346:S395,C346:C395,C344,A346:A395,"*"&amp;"DE_"&amp;"*")</f>
        <v>997.96656000000007</v>
      </c>
      <c r="T344" s="46"/>
      <c r="U344" s="46"/>
      <c r="V344" s="46"/>
      <c r="W344" s="46"/>
      <c r="X344" s="46" t="s">
        <v>479</v>
      </c>
      <c r="Y344">
        <v>74.239999999999995</v>
      </c>
    </row>
    <row r="345" spans="1:26" x14ac:dyDescent="0.25">
      <c r="A345" s="46" t="s">
        <v>169</v>
      </c>
      <c r="B345" s="46"/>
      <c r="C345" s="46" t="s">
        <v>173</v>
      </c>
      <c r="D345" s="46"/>
      <c r="E345" s="46"/>
      <c r="F345" s="46"/>
      <c r="G345" s="46"/>
      <c r="H345" s="194"/>
      <c r="I345" s="194"/>
      <c r="J345" s="195">
        <f>(J347+J357+J367)</f>
        <v>300</v>
      </c>
      <c r="K345" s="196">
        <f>SUMIFS(K346:K395,C346:C395,C345,A346:A395,"*"&amp;"DE_"&amp;"*")</f>
        <v>374169.59999999998</v>
      </c>
      <c r="L345" s="194"/>
      <c r="M345" s="197">
        <f>ROUND(SUMIFS(M346:M395,C346:C395,C345,A346:A395,"*"&amp;"DE_"&amp;"*"),2)</f>
        <v>69043.199999999997</v>
      </c>
      <c r="N345" s="203"/>
      <c r="O345" s="203"/>
      <c r="P345" s="204">
        <f>(P347+P357+P367)</f>
        <v>300</v>
      </c>
      <c r="Q345" s="205">
        <f>SUMIFS(Q346:Q395,C346:C395,C345,A346:A395,"*"&amp;"DE_"&amp;"*")</f>
        <v>4864.2047999999995</v>
      </c>
      <c r="R345" s="203"/>
      <c r="S345" s="205">
        <f>SUMIFS(S346:S395,C346:C395,C345,A346:A395,"*"&amp;"DE_"&amp;"*")</f>
        <v>897.56999999999994</v>
      </c>
      <c r="T345" s="46"/>
      <c r="U345" s="46"/>
      <c r="V345" s="46"/>
      <c r="W345" s="46"/>
      <c r="X345" s="46"/>
    </row>
    <row r="346" spans="1:26" x14ac:dyDescent="0.25">
      <c r="A346" s="49" t="s">
        <v>170</v>
      </c>
      <c r="B346" s="49"/>
      <c r="C346" s="49" t="s">
        <v>178</v>
      </c>
      <c r="D346" s="49"/>
      <c r="E346" s="49"/>
      <c r="F346" s="49"/>
      <c r="G346" s="49"/>
      <c r="H346" s="194"/>
      <c r="I346" s="194"/>
      <c r="J346" s="195">
        <f>SUMIFS(J348:J355,C348:C355,C346)</f>
        <v>101</v>
      </c>
      <c r="K346" s="196">
        <f>SUMIFS(K348:K355,C348:C355,C346)</f>
        <v>3014.14</v>
      </c>
      <c r="L346" s="194"/>
      <c r="M346" s="197">
        <f>SUMIFS(M348:M355,C348:C355,C346)</f>
        <v>23979.52</v>
      </c>
      <c r="N346" s="203"/>
      <c r="O346" s="203"/>
      <c r="P346" s="204">
        <f>SUMIFS(P348:P355,C348:C355,C346)</f>
        <v>101</v>
      </c>
      <c r="Q346" s="205">
        <f>SUMIFS(Q348:Q355,C348:C355,C346)</f>
        <v>39.183871999999994</v>
      </c>
      <c r="R346" s="203"/>
      <c r="S346" s="205">
        <f>(SUMIFS(S348:S355,C348:C355,C346))</f>
        <v>311.73656</v>
      </c>
      <c r="T346" s="49"/>
      <c r="U346" s="49"/>
      <c r="V346" s="49"/>
      <c r="W346" s="49"/>
      <c r="X346" s="49" t="s">
        <v>478</v>
      </c>
    </row>
    <row r="347" spans="1:26" x14ac:dyDescent="0.25">
      <c r="A347" s="49" t="s">
        <v>170</v>
      </c>
      <c r="B347" s="49"/>
      <c r="C347" s="49" t="s">
        <v>173</v>
      </c>
      <c r="D347" s="49"/>
      <c r="E347" s="49"/>
      <c r="F347" s="49"/>
      <c r="G347" s="49"/>
      <c r="H347" s="194"/>
      <c r="I347" s="194"/>
      <c r="J347" s="195">
        <f>SUMIFS(J348:J355,C348:C355,C347)</f>
        <v>100</v>
      </c>
      <c r="K347" s="196">
        <f>SUMIFS(K348:K355,C348:C355,C347)</f>
        <v>2969.6</v>
      </c>
      <c r="L347" s="194"/>
      <c r="M347" s="197">
        <f>SUMIFS(M348:M355,C348:C355,C347)</f>
        <v>23014.400000000001</v>
      </c>
      <c r="N347" s="203"/>
      <c r="O347" s="203"/>
      <c r="P347" s="204">
        <f>SUMIFS(P348:P355,C348:C355,C347)</f>
        <v>100</v>
      </c>
      <c r="Q347" s="205">
        <f>SUMIFS(Q348:Q355,C348:C355,C347)</f>
        <v>38.604799999999997</v>
      </c>
      <c r="R347" s="203"/>
      <c r="S347" s="205">
        <f>SUMIFS(S348:S355,C348:C355,C347)</f>
        <v>299.19</v>
      </c>
      <c r="T347" s="49"/>
      <c r="U347" s="49"/>
      <c r="V347" s="49"/>
      <c r="W347" s="49"/>
      <c r="X347" s="49"/>
    </row>
    <row r="348" spans="1:26" x14ac:dyDescent="0.25">
      <c r="A348" s="2" t="s">
        <v>500</v>
      </c>
      <c r="B348" s="8"/>
      <c r="C348" s="28" t="s">
        <v>178</v>
      </c>
      <c r="D348" s="28"/>
      <c r="E348" s="28"/>
      <c r="F348" s="167" t="s">
        <v>512</v>
      </c>
      <c r="G348" s="28" t="str">
        <f>CONCATENATE("USD,FLAT ",TEXT(F348,"0.00"))</f>
        <v>USD,FLAT 0.40</v>
      </c>
      <c r="H348" s="200">
        <f>K348/J348</f>
        <v>29.695999999999998</v>
      </c>
      <c r="I348" s="198" t="s">
        <v>22</v>
      </c>
      <c r="J348" s="199">
        <v>100</v>
      </c>
      <c r="K348" s="200">
        <f>ROUND(J348*F348*Y348,2)</f>
        <v>2969.6</v>
      </c>
      <c r="L348" s="198" t="str">
        <f>TEXT(IFERROR(((K348-K349)/K349*100),"0.00"),"0.00")</f>
        <v>0.00</v>
      </c>
      <c r="M348" s="200">
        <f>ROUND((10+J348*3)*Y348,2)</f>
        <v>23014.400000000001</v>
      </c>
      <c r="N348" s="36">
        <f>Q348/P348</f>
        <v>0.38604799999999995</v>
      </c>
      <c r="O348" s="31" t="s">
        <v>22</v>
      </c>
      <c r="P348" s="32">
        <v>100</v>
      </c>
      <c r="Q348" s="36">
        <f>P348*F348*Y348*Z348</f>
        <v>38.604799999999997</v>
      </c>
      <c r="R348" s="31" t="str">
        <f>TEXT(IFERROR(((Q348-Q349)/Q349*100),"0.00"),"0.00")</f>
        <v>0.00</v>
      </c>
      <c r="S348" s="36">
        <f>ROUND(((10+P348*3)*Y348*Z348),2)</f>
        <v>299.19</v>
      </c>
      <c r="T348" s="33" t="s">
        <v>519</v>
      </c>
      <c r="U348" s="28" t="s">
        <v>190</v>
      </c>
      <c r="V348" s="28"/>
      <c r="W348" s="28"/>
      <c r="X348" s="28"/>
      <c r="Y348">
        <v>74.239999999999995</v>
      </c>
      <c r="Z348" s="169" t="s">
        <v>511</v>
      </c>
    </row>
    <row r="349" spans="1:26" x14ac:dyDescent="0.25">
      <c r="A349" s="8"/>
      <c r="B349" s="8"/>
      <c r="C349" s="31" t="s">
        <v>173</v>
      </c>
      <c r="D349" s="31"/>
      <c r="E349" s="31"/>
      <c r="F349" s="206" t="s">
        <v>512</v>
      </c>
      <c r="G349" s="31" t="str">
        <f>CONCATENATE("USD,FLAT ",TEXT(F349,"0.00"))</f>
        <v>USD,FLAT 0.40</v>
      </c>
      <c r="H349" s="200">
        <f>K349/J349</f>
        <v>29.695999999999998</v>
      </c>
      <c r="I349" s="198" t="s">
        <v>22</v>
      </c>
      <c r="J349" s="199">
        <v>100</v>
      </c>
      <c r="K349" s="200">
        <f>ROUND(J349*F349*Y349,2)</f>
        <v>2969.6</v>
      </c>
      <c r="L349" s="198"/>
      <c r="M349" s="200">
        <f>ROUND((10+J349*3)*Y349,2)</f>
        <v>23014.400000000001</v>
      </c>
      <c r="N349" s="36">
        <f>Q349/P349</f>
        <v>0.38604799999999995</v>
      </c>
      <c r="O349" s="31" t="s">
        <v>22</v>
      </c>
      <c r="P349" s="32">
        <v>100</v>
      </c>
      <c r="Q349" s="36">
        <f>P349*F349*Y349*Z349</f>
        <v>38.604799999999997</v>
      </c>
      <c r="R349" s="31"/>
      <c r="S349" s="36">
        <f>ROUND(((10+P349*3)*Y349*Z349),2)</f>
        <v>299.19</v>
      </c>
      <c r="T349" s="31"/>
      <c r="U349" s="31"/>
      <c r="V349" s="31"/>
      <c r="W349" s="31"/>
      <c r="X349" s="31"/>
      <c r="Y349">
        <v>74.239999999999995</v>
      </c>
      <c r="Z349" s="169" t="s">
        <v>511</v>
      </c>
    </row>
    <row r="350" spans="1:26" x14ac:dyDescent="0.25">
      <c r="A350" s="8"/>
      <c r="B350" s="8"/>
      <c r="C350" s="40" t="s">
        <v>174</v>
      </c>
      <c r="D350" s="40"/>
      <c r="E350" s="40"/>
      <c r="F350" s="40"/>
      <c r="G350" s="40"/>
      <c r="H350" s="198"/>
      <c r="I350" s="198"/>
      <c r="J350" s="198"/>
      <c r="K350" s="200"/>
      <c r="L350" s="198"/>
      <c r="M350" s="198"/>
      <c r="N350" s="31"/>
      <c r="O350" s="31"/>
      <c r="P350" s="31"/>
      <c r="Q350" s="31"/>
      <c r="R350" s="31"/>
      <c r="S350" s="31"/>
      <c r="T350" s="40"/>
      <c r="U350" s="40"/>
      <c r="V350" s="40"/>
      <c r="W350" s="40"/>
      <c r="X350" s="40"/>
      <c r="Y350">
        <v>74.239999999999995</v>
      </c>
      <c r="Z350" s="169" t="s">
        <v>511</v>
      </c>
    </row>
    <row r="351" spans="1:26" x14ac:dyDescent="0.25">
      <c r="A351" s="8"/>
      <c r="B351" s="8"/>
      <c r="C351" s="41" t="s">
        <v>175</v>
      </c>
      <c r="D351" s="41"/>
      <c r="E351" s="41"/>
      <c r="F351" s="41"/>
      <c r="G351" s="41"/>
      <c r="H351" s="198"/>
      <c r="I351" s="198"/>
      <c r="J351" s="198"/>
      <c r="K351" s="200"/>
      <c r="L351" s="198"/>
      <c r="M351" s="198"/>
      <c r="N351" s="31"/>
      <c r="O351" s="31"/>
      <c r="P351" s="31"/>
      <c r="Q351" s="31"/>
      <c r="R351" s="31"/>
      <c r="S351" s="31"/>
      <c r="T351" s="41"/>
      <c r="U351" s="41"/>
      <c r="V351" s="41"/>
      <c r="W351" s="41"/>
      <c r="X351" s="41"/>
      <c r="Y351">
        <v>74.239999999999995</v>
      </c>
      <c r="Z351" s="169" t="s">
        <v>511</v>
      </c>
    </row>
    <row r="352" spans="1:26" x14ac:dyDescent="0.25">
      <c r="A352" s="2" t="s">
        <v>501</v>
      </c>
      <c r="B352" s="8"/>
      <c r="C352" s="28" t="s">
        <v>178</v>
      </c>
      <c r="D352" s="28"/>
      <c r="E352" s="28"/>
      <c r="F352" s="167" t="s">
        <v>513</v>
      </c>
      <c r="G352" s="28" t="str">
        <f>CONCATENATE("USD,FLAT ",TEXT(F352,"0.00"))</f>
        <v>USD,FLAT 0.60</v>
      </c>
      <c r="H352" s="200">
        <f>K352/J352</f>
        <v>44.54</v>
      </c>
      <c r="I352" s="198" t="s">
        <v>22</v>
      </c>
      <c r="J352" s="199">
        <v>1</v>
      </c>
      <c r="K352" s="200">
        <f>ROUND(J352*F352*Y352,2)</f>
        <v>44.54</v>
      </c>
      <c r="L352" s="198" t="str">
        <f>TEXT(IFERROR(((K352-K353)/K353*100),"0.00"),"0.00")</f>
        <v>0.00</v>
      </c>
      <c r="M352" s="200">
        <f>ROUND((10+J352*3)*Y352,2)</f>
        <v>965.12</v>
      </c>
      <c r="N352" s="36">
        <f>Q352/P352</f>
        <v>0.57907199999999992</v>
      </c>
      <c r="O352" s="31" t="s">
        <v>22</v>
      </c>
      <c r="P352" s="32">
        <v>1</v>
      </c>
      <c r="Q352" s="36">
        <f>(P352*F352*Y352*Z352)</f>
        <v>0.57907199999999992</v>
      </c>
      <c r="R352" s="31" t="str">
        <f>TEXT(IFERROR(((Q352-Q353)/Q353*100),"0.00"),"0.00")</f>
        <v>0.00</v>
      </c>
      <c r="S352" s="36">
        <f>((10+P352*3)*Y352*Z352)</f>
        <v>12.546559999999998</v>
      </c>
      <c r="T352" s="33" t="s">
        <v>519</v>
      </c>
      <c r="U352" s="28" t="s">
        <v>190</v>
      </c>
      <c r="V352" s="28" t="s">
        <v>476</v>
      </c>
      <c r="W352" s="28"/>
      <c r="X352" s="28"/>
      <c r="Y352">
        <v>74.239999999999995</v>
      </c>
      <c r="Z352" s="169" t="s">
        <v>511</v>
      </c>
    </row>
    <row r="353" spans="1:26" x14ac:dyDescent="0.25">
      <c r="A353" s="8"/>
      <c r="B353" s="8"/>
      <c r="C353" s="31" t="s">
        <v>173</v>
      </c>
      <c r="D353" s="31"/>
      <c r="E353" s="31"/>
      <c r="F353" s="31"/>
      <c r="G353" s="31"/>
      <c r="H353" s="201"/>
      <c r="I353" s="198"/>
      <c r="J353" s="199"/>
      <c r="K353" s="200"/>
      <c r="L353" s="198"/>
      <c r="M353" s="201"/>
      <c r="N353" s="36"/>
      <c r="O353" s="31"/>
      <c r="P353" s="32"/>
      <c r="Q353" s="36"/>
      <c r="R353" s="31"/>
      <c r="S353" s="36"/>
      <c r="T353" s="31"/>
      <c r="U353" s="31"/>
      <c r="V353" s="31"/>
      <c r="W353" s="31"/>
      <c r="X353" s="31"/>
      <c r="Y353">
        <v>74.239999999999995</v>
      </c>
      <c r="Z353" s="169" t="s">
        <v>511</v>
      </c>
    </row>
    <row r="354" spans="1:26" x14ac:dyDescent="0.25">
      <c r="A354" s="8"/>
      <c r="B354" s="8"/>
      <c r="C354" s="40" t="s">
        <v>174</v>
      </c>
      <c r="D354" s="40"/>
      <c r="E354" s="40"/>
      <c r="F354" s="40"/>
      <c r="G354" s="40"/>
      <c r="H354" s="198"/>
      <c r="I354" s="198"/>
      <c r="J354" s="198"/>
      <c r="K354" s="200"/>
      <c r="L354" s="198"/>
      <c r="M354" s="198"/>
      <c r="N354" s="31"/>
      <c r="O354" s="31"/>
      <c r="P354" s="31"/>
      <c r="Q354" s="31"/>
      <c r="R354" s="31"/>
      <c r="S354" s="31"/>
      <c r="T354" s="40"/>
      <c r="U354" s="40"/>
      <c r="V354" s="40"/>
      <c r="W354" s="40"/>
      <c r="X354" s="40"/>
      <c r="Y354">
        <v>74.239999999999995</v>
      </c>
      <c r="Z354" s="169" t="s">
        <v>511</v>
      </c>
    </row>
    <row r="355" spans="1:26" x14ac:dyDescent="0.25">
      <c r="A355" s="8"/>
      <c r="B355" s="8"/>
      <c r="C355" s="41" t="s">
        <v>175</v>
      </c>
      <c r="D355" s="41"/>
      <c r="E355" s="41"/>
      <c r="F355" s="41"/>
      <c r="G355" s="41"/>
      <c r="H355" s="198"/>
      <c r="I355" s="198"/>
      <c r="J355" s="198"/>
      <c r="K355" s="200"/>
      <c r="L355" s="198"/>
      <c r="M355" s="198"/>
      <c r="N355" s="31"/>
      <c r="O355" s="31"/>
      <c r="P355" s="31"/>
      <c r="Q355" s="31"/>
      <c r="R355" s="31"/>
      <c r="S355" s="31"/>
      <c r="T355" s="41"/>
      <c r="U355" s="41"/>
      <c r="V355" s="41"/>
      <c r="W355" s="41"/>
      <c r="X355" s="41"/>
      <c r="Y355">
        <v>74.239999999999995</v>
      </c>
      <c r="Z355" s="169" t="s">
        <v>511</v>
      </c>
    </row>
    <row r="356" spans="1:26" x14ac:dyDescent="0.25">
      <c r="A356" s="49" t="s">
        <v>171</v>
      </c>
      <c r="B356" s="49"/>
      <c r="C356" s="49" t="s">
        <v>178</v>
      </c>
      <c r="D356" s="49"/>
      <c r="E356" s="49"/>
      <c r="F356" s="49"/>
      <c r="G356" s="49"/>
      <c r="H356" s="194"/>
      <c r="I356" s="194"/>
      <c r="J356" s="195">
        <f>SUMIFS(J358:J365,C358:C365,C356)</f>
        <v>2</v>
      </c>
      <c r="K356" s="196">
        <f>SUMIFS(K358:K365,C358:C365,C356)</f>
        <v>8336.41</v>
      </c>
      <c r="L356" s="194"/>
      <c r="M356" s="197">
        <f>SUMIFS(M358:M365,C358:C365,C356)</f>
        <v>1930.24</v>
      </c>
      <c r="N356" s="203"/>
      <c r="O356" s="203"/>
      <c r="P356" s="204">
        <f>SUMIFS(P358:P365,C358:C365,C356)</f>
        <v>2</v>
      </c>
      <c r="Q356" s="205">
        <f>SUMIFS(Q358:Q365,C358:C365,C356)</f>
        <v>108.37332479999999</v>
      </c>
      <c r="R356" s="203"/>
      <c r="S356" s="205">
        <f>(SUMIFS(S358:S365,C358:C365,C356))</f>
        <v>25.1</v>
      </c>
      <c r="T356" s="49"/>
      <c r="U356" s="49"/>
      <c r="V356" s="49"/>
      <c r="W356" s="49"/>
      <c r="X356" s="49"/>
      <c r="Y356">
        <v>74.239999999999995</v>
      </c>
      <c r="Z356" s="169" t="s">
        <v>511</v>
      </c>
    </row>
    <row r="357" spans="1:26" x14ac:dyDescent="0.25">
      <c r="A357" s="49" t="s">
        <v>171</v>
      </c>
      <c r="B357" s="49"/>
      <c r="C357" s="49" t="s">
        <v>173</v>
      </c>
      <c r="D357" s="49"/>
      <c r="E357" s="49"/>
      <c r="F357" s="49"/>
      <c r="G357" s="49"/>
      <c r="H357" s="194"/>
      <c r="I357" s="194"/>
      <c r="J357" s="195">
        <f>SUMIFS(J358:J365,C358:C365,C357)</f>
        <v>0</v>
      </c>
      <c r="K357" s="196">
        <f>SUMIFS(K358:K365,C358:C365,C357)</f>
        <v>0</v>
      </c>
      <c r="L357" s="194"/>
      <c r="M357" s="197">
        <f>SUMIFS(M358:M365,C358:C365,C357)</f>
        <v>0</v>
      </c>
      <c r="N357" s="203"/>
      <c r="O357" s="203"/>
      <c r="P357" s="204">
        <f>SUMIFS(P358:P365,C358:C365,C357)</f>
        <v>0</v>
      </c>
      <c r="Q357" s="205">
        <f>SUMIFS(Q358:Q365,C358:C365,C357)</f>
        <v>0</v>
      </c>
      <c r="R357" s="203"/>
      <c r="S357" s="205">
        <f>SUMIFS(S358:S365,C358:C365,C357)</f>
        <v>0</v>
      </c>
      <c r="T357" s="49"/>
      <c r="U357" s="49"/>
      <c r="V357" s="49"/>
      <c r="W357" s="49"/>
      <c r="X357" s="49"/>
      <c r="Y357">
        <v>74.239999999999995</v>
      </c>
      <c r="Z357" s="169" t="s">
        <v>511</v>
      </c>
    </row>
    <row r="358" spans="1:26" x14ac:dyDescent="0.25">
      <c r="A358" s="2" t="s">
        <v>502</v>
      </c>
      <c r="B358" s="8"/>
      <c r="C358" s="28" t="s">
        <v>178</v>
      </c>
      <c r="D358" s="28"/>
      <c r="E358" s="28"/>
      <c r="F358" s="168" t="s">
        <v>290</v>
      </c>
      <c r="G358" s="28" t="str">
        <f>CONCATENATE("USD,FLAT ",TEXT(F358,"0.00"))</f>
        <v>USD,FLAT 0.25</v>
      </c>
      <c r="H358" s="200">
        <f>K358/J358</f>
        <v>18.559999999999999</v>
      </c>
      <c r="I358" s="198" t="s">
        <v>22</v>
      </c>
      <c r="J358" s="199">
        <v>1</v>
      </c>
      <c r="K358" s="200">
        <f>ROUND(J358*F358*Y358,2)</f>
        <v>18.559999999999999</v>
      </c>
      <c r="L358" s="198" t="str">
        <f>TEXT(IFERROR(((K358-K359)/K359*100),"0.00"),"0.00")</f>
        <v>0.00</v>
      </c>
      <c r="M358" s="200">
        <f>ROUND((10+J358*3)*Y358,2)</f>
        <v>965.12</v>
      </c>
      <c r="N358" s="36">
        <f>Q358/P358</f>
        <v>0.24127999999999997</v>
      </c>
      <c r="O358" s="31" t="s">
        <v>22</v>
      </c>
      <c r="P358" s="32">
        <v>1</v>
      </c>
      <c r="Q358" s="36">
        <f>(P358*F358*Y358*Z358)</f>
        <v>0.24127999999999997</v>
      </c>
      <c r="R358" s="31" t="str">
        <f>TEXT(IFERROR(((Q358-Q359)/Q359*100),"0.00"),"0.00")</f>
        <v>0.00</v>
      </c>
      <c r="S358" s="36">
        <f>ROUND((10+P358*3)*Y358*Z358,2)</f>
        <v>12.55</v>
      </c>
      <c r="T358" s="33" t="s">
        <v>519</v>
      </c>
      <c r="U358" s="28"/>
      <c r="V358" s="28"/>
      <c r="W358" s="28"/>
      <c r="X358" s="28"/>
      <c r="Y358">
        <v>74.239999999999995</v>
      </c>
      <c r="Z358" s="169" t="s">
        <v>511</v>
      </c>
    </row>
    <row r="359" spans="1:26" x14ac:dyDescent="0.25">
      <c r="A359" s="8"/>
      <c r="B359" s="8"/>
      <c r="C359" s="31" t="s">
        <v>173</v>
      </c>
      <c r="D359" s="31"/>
      <c r="E359" s="31"/>
      <c r="F359" s="31"/>
      <c r="G359" s="31"/>
      <c r="H359" s="201"/>
      <c r="I359" s="198"/>
      <c r="J359" s="199"/>
      <c r="K359" s="200"/>
      <c r="L359" s="198"/>
      <c r="M359" s="201"/>
      <c r="N359" s="36"/>
      <c r="O359" s="31"/>
      <c r="P359" s="32"/>
      <c r="Q359" s="38"/>
      <c r="R359" s="31"/>
      <c r="S359" s="36"/>
      <c r="T359" s="31"/>
      <c r="U359" s="31"/>
      <c r="V359" s="31"/>
      <c r="W359" s="31"/>
      <c r="X359" s="31"/>
      <c r="Y359">
        <v>74.239999999999995</v>
      </c>
      <c r="Z359" s="169" t="s">
        <v>511</v>
      </c>
    </row>
    <row r="360" spans="1:26" x14ac:dyDescent="0.25">
      <c r="A360" s="8"/>
      <c r="B360" s="8"/>
      <c r="C360" s="40" t="s">
        <v>174</v>
      </c>
      <c r="D360" s="40"/>
      <c r="E360" s="40"/>
      <c r="F360" s="40"/>
      <c r="G360" s="40"/>
      <c r="H360" s="198"/>
      <c r="I360" s="198"/>
      <c r="J360" s="198"/>
      <c r="K360" s="200"/>
      <c r="L360" s="198"/>
      <c r="M360" s="198"/>
      <c r="N360" s="31"/>
      <c r="O360" s="31"/>
      <c r="P360" s="31"/>
      <c r="Q360" s="38"/>
      <c r="R360" s="31"/>
      <c r="S360" s="31"/>
      <c r="T360" s="40"/>
      <c r="U360" s="40"/>
      <c r="V360" s="40"/>
      <c r="W360" s="40"/>
      <c r="X360" s="40"/>
      <c r="Y360">
        <v>74.239999999999995</v>
      </c>
      <c r="Z360" s="169" t="s">
        <v>511</v>
      </c>
    </row>
    <row r="361" spans="1:26" x14ac:dyDescent="0.25">
      <c r="A361" s="8"/>
      <c r="B361" s="8"/>
      <c r="C361" s="41" t="s">
        <v>175</v>
      </c>
      <c r="D361" s="41"/>
      <c r="E361" s="41"/>
      <c r="F361" s="41"/>
      <c r="G361" s="41"/>
      <c r="H361" s="198"/>
      <c r="I361" s="198"/>
      <c r="J361" s="198"/>
      <c r="K361" s="200"/>
      <c r="L361" s="198"/>
      <c r="M361" s="198"/>
      <c r="N361" s="31"/>
      <c r="O361" s="31"/>
      <c r="P361" s="31"/>
      <c r="Q361" s="38"/>
      <c r="R361" s="31"/>
      <c r="S361" s="31"/>
      <c r="T361" s="41"/>
      <c r="U361" s="41"/>
      <c r="V361" s="41"/>
      <c r="W361" s="41"/>
      <c r="X361" s="41"/>
      <c r="Y361">
        <v>74.239999999999995</v>
      </c>
      <c r="Z361" s="169" t="s">
        <v>511</v>
      </c>
    </row>
    <row r="362" spans="1:26" x14ac:dyDescent="0.25">
      <c r="A362" s="2" t="s">
        <v>503</v>
      </c>
      <c r="B362" s="8"/>
      <c r="C362" s="28" t="s">
        <v>178</v>
      </c>
      <c r="D362" s="28"/>
      <c r="E362" s="28"/>
      <c r="F362" s="29">
        <v>112.04</v>
      </c>
      <c r="G362" s="28" t="str">
        <f>CONCATENATE("USD,FLAT ",TEXT(F362,"0.00"))</f>
        <v>USD,FLAT 112.04</v>
      </c>
      <c r="H362" s="200">
        <f>K362/J362</f>
        <v>8317.85</v>
      </c>
      <c r="I362" s="198" t="s">
        <v>22</v>
      </c>
      <c r="J362" s="199">
        <v>1</v>
      </c>
      <c r="K362" s="200">
        <f>ROUND(J362*F362*Y362,2)</f>
        <v>8317.85</v>
      </c>
      <c r="L362" s="198" t="str">
        <f>TEXT(IFERROR(((K362-K363)/K363*100),"0.00"),"0.00")</f>
        <v>0.00</v>
      </c>
      <c r="M362" s="200">
        <f>ROUND((10+J362*3)*Y362,2)</f>
        <v>965.12</v>
      </c>
      <c r="N362" s="36">
        <f>Q362/P362</f>
        <v>108.13204479999999</v>
      </c>
      <c r="O362" s="31" t="s">
        <v>22</v>
      </c>
      <c r="P362" s="32">
        <v>1</v>
      </c>
      <c r="Q362" s="36">
        <f>P362*F362*Y362*Z362</f>
        <v>108.13204479999999</v>
      </c>
      <c r="R362" s="31" t="str">
        <f>TEXT(IFERROR(((Q362-Q363)/Q363*100),"0.00"),"0.00")</f>
        <v>0.00</v>
      </c>
      <c r="S362" s="36">
        <f>ROUND((10+P362*3)*Y362*Z362,2)</f>
        <v>12.55</v>
      </c>
      <c r="T362" s="33" t="s">
        <v>519</v>
      </c>
      <c r="U362" s="28" t="s">
        <v>190</v>
      </c>
      <c r="V362" s="28" t="s">
        <v>473</v>
      </c>
      <c r="W362" s="28" t="s">
        <v>637</v>
      </c>
      <c r="X362" s="28"/>
      <c r="Y362">
        <v>74.239999999999995</v>
      </c>
      <c r="Z362" s="169" t="s">
        <v>511</v>
      </c>
    </row>
    <row r="363" spans="1:26" x14ac:dyDescent="0.25">
      <c r="A363" s="8"/>
      <c r="B363" s="8"/>
      <c r="C363" s="31" t="s">
        <v>173</v>
      </c>
      <c r="D363" s="31"/>
      <c r="E363" s="31"/>
      <c r="F363" s="31"/>
      <c r="G363" s="31"/>
      <c r="H363" s="201"/>
      <c r="I363" s="198"/>
      <c r="J363" s="199"/>
      <c r="K363" s="200"/>
      <c r="L363" s="198"/>
      <c r="M363" s="198"/>
      <c r="N363" s="36"/>
      <c r="O363" s="31"/>
      <c r="P363" s="32"/>
      <c r="Q363" s="38"/>
      <c r="R363" s="31"/>
      <c r="S363" s="31"/>
      <c r="T363" s="31"/>
      <c r="U363" s="31"/>
      <c r="V363" s="31"/>
      <c r="W363" s="31"/>
      <c r="X363" s="31"/>
      <c r="Y363">
        <v>74.239999999999995</v>
      </c>
      <c r="Z363" s="169" t="s">
        <v>511</v>
      </c>
    </row>
    <row r="364" spans="1:26" x14ac:dyDescent="0.25">
      <c r="A364" s="8"/>
      <c r="B364" s="8"/>
      <c r="C364" s="40" t="s">
        <v>174</v>
      </c>
      <c r="D364" s="40"/>
      <c r="E364" s="40"/>
      <c r="F364" s="40"/>
      <c r="G364" s="40"/>
      <c r="H364" s="198"/>
      <c r="I364" s="198"/>
      <c r="J364" s="198"/>
      <c r="K364" s="200"/>
      <c r="L364" s="198"/>
      <c r="M364" s="198"/>
      <c r="N364" s="31"/>
      <c r="O364" s="31"/>
      <c r="P364" s="31"/>
      <c r="Q364" s="38"/>
      <c r="R364" s="31"/>
      <c r="S364" s="31"/>
      <c r="T364" s="40"/>
      <c r="U364" s="40"/>
      <c r="V364" s="40"/>
      <c r="W364" s="40"/>
      <c r="X364" s="40"/>
      <c r="Y364">
        <v>74.239999999999995</v>
      </c>
      <c r="Z364" s="169" t="s">
        <v>511</v>
      </c>
    </row>
    <row r="365" spans="1:26" x14ac:dyDescent="0.25">
      <c r="A365" s="8"/>
      <c r="B365" s="8"/>
      <c r="C365" s="41" t="s">
        <v>175</v>
      </c>
      <c r="D365" s="41"/>
      <c r="E365" s="41"/>
      <c r="F365" s="41"/>
      <c r="G365" s="41"/>
      <c r="H365" s="198"/>
      <c r="I365" s="198"/>
      <c r="J365" s="198"/>
      <c r="K365" s="200"/>
      <c r="L365" s="198"/>
      <c r="M365" s="198"/>
      <c r="N365" s="31"/>
      <c r="O365" s="31"/>
      <c r="P365" s="31"/>
      <c r="Q365" s="38"/>
      <c r="R365" s="31"/>
      <c r="S365" s="31"/>
      <c r="T365" s="41"/>
      <c r="U365" s="41"/>
      <c r="V365" s="41"/>
      <c r="W365" s="41"/>
      <c r="X365" s="41"/>
      <c r="Y365">
        <v>74.239999999999995</v>
      </c>
      <c r="Z365" s="169" t="s">
        <v>511</v>
      </c>
    </row>
    <row r="366" spans="1:26" x14ac:dyDescent="0.25">
      <c r="A366" s="49" t="s">
        <v>630</v>
      </c>
      <c r="B366" s="266"/>
      <c r="C366" s="49" t="s">
        <v>178</v>
      </c>
      <c r="D366" s="49"/>
      <c r="E366" s="49"/>
      <c r="F366" s="49"/>
      <c r="G366" s="49"/>
      <c r="H366" s="194"/>
      <c r="I366" s="194"/>
      <c r="J366" s="195">
        <f>SUMIFS(J368:J395,C368:C395,C366)</f>
        <v>205</v>
      </c>
      <c r="K366" s="293" t="s">
        <v>827</v>
      </c>
      <c r="L366" s="198"/>
      <c r="M366" s="293" t="s">
        <v>828</v>
      </c>
      <c r="N366" s="203"/>
      <c r="O366" s="203"/>
      <c r="P366" s="204">
        <f>SUMIFS(P368:P395,C368:C395,C366)</f>
        <v>205</v>
      </c>
      <c r="Q366" s="205">
        <f>SUMIFS(Q368:Q395,C368:C395,C366)</f>
        <v>4946.24</v>
      </c>
      <c r="R366" s="203"/>
      <c r="S366" s="205">
        <f>SUMIFS(S368:S395,C368:C395,C366)</f>
        <v>661.13</v>
      </c>
      <c r="T366" s="49"/>
      <c r="U366" s="49"/>
      <c r="V366" s="49"/>
      <c r="W366" s="49"/>
      <c r="X366" s="49"/>
      <c r="Y366">
        <v>74.239999999999995</v>
      </c>
      <c r="Z366" s="169" t="s">
        <v>511</v>
      </c>
    </row>
    <row r="367" spans="1:26" x14ac:dyDescent="0.25">
      <c r="A367" s="49" t="s">
        <v>630</v>
      </c>
      <c r="B367" s="49"/>
      <c r="C367" s="49" t="s">
        <v>173</v>
      </c>
      <c r="D367" s="49"/>
      <c r="E367" s="49"/>
      <c r="F367" s="49"/>
      <c r="G367" s="49"/>
      <c r="H367" s="194"/>
      <c r="I367" s="194"/>
      <c r="J367" s="195">
        <f>SUMIFS(J368:J395,C368:C395,C367)</f>
        <v>200</v>
      </c>
      <c r="K367" s="196">
        <f>SUMIFS(K368:K395,C368:C395,C367)</f>
        <v>371200</v>
      </c>
      <c r="L367" s="194"/>
      <c r="M367" s="197">
        <f>SUMIFS(M368:M395,C368:C395,C367)</f>
        <v>46028.800000000003</v>
      </c>
      <c r="N367" s="203"/>
      <c r="O367" s="203"/>
      <c r="P367" s="204">
        <f>SUMIFS(P368:P395,C368:C395,C367)</f>
        <v>200</v>
      </c>
      <c r="Q367" s="205">
        <f>SUMIFS(Q368:Q395,C368:C395,C367)</f>
        <v>4825.5999999999995</v>
      </c>
      <c r="R367" s="203"/>
      <c r="S367" s="205">
        <f>SUMIFS(S368:S395,C368:C395,C367)</f>
        <v>598.38</v>
      </c>
      <c r="T367" s="49"/>
      <c r="U367" s="49"/>
      <c r="V367" s="49"/>
      <c r="W367" s="49"/>
      <c r="X367" s="49"/>
      <c r="Y367">
        <v>74.239999999999995</v>
      </c>
      <c r="Z367" s="169" t="s">
        <v>511</v>
      </c>
    </row>
    <row r="368" spans="1:26" x14ac:dyDescent="0.25">
      <c r="A368" s="209" t="s">
        <v>598</v>
      </c>
      <c r="B368" s="8"/>
      <c r="C368" s="28" t="s">
        <v>178</v>
      </c>
      <c r="D368" s="28"/>
      <c r="E368" s="28"/>
      <c r="F368" s="168">
        <v>25</v>
      </c>
      <c r="G368" s="28" t="str">
        <f>CONCATENATE("USD,FLAT ",TEXT(F368,"0.00"))</f>
        <v>USD,FLAT 25.00</v>
      </c>
      <c r="H368" s="200">
        <f>K368/J368</f>
        <v>1856</v>
      </c>
      <c r="I368" s="198" t="s">
        <v>22</v>
      </c>
      <c r="J368" s="199">
        <v>1</v>
      </c>
      <c r="K368" s="200">
        <f>ROUND(J368*F368*Y368,2)</f>
        <v>1856</v>
      </c>
      <c r="L368" s="198" t="str">
        <f>TEXT(IFERROR(((K368-K369)/K369*100),"0.00"),"0.00")</f>
        <v>0.00</v>
      </c>
      <c r="M368" s="200">
        <f>ROUND((10+J368*3)*Y368,2)</f>
        <v>965.12</v>
      </c>
      <c r="N368" s="36">
        <f>Q368/P368</f>
        <v>24.127999999999997</v>
      </c>
      <c r="O368" s="31" t="s">
        <v>22</v>
      </c>
      <c r="P368" s="32">
        <v>1</v>
      </c>
      <c r="Q368" s="36">
        <f>P368*F368*Y368*Z368</f>
        <v>24.127999999999997</v>
      </c>
      <c r="R368" s="31" t="str">
        <f>TEXT(IFERROR(((Q368-Q369)/Q369*100),"0.00"),"0.00")</f>
        <v>0.00</v>
      </c>
      <c r="S368" s="36">
        <f>ROUND((10+P368*3)*Y368*Z368,2)</f>
        <v>12.55</v>
      </c>
      <c r="T368" s="33" t="s">
        <v>634</v>
      </c>
      <c r="U368" s="28" t="s">
        <v>190</v>
      </c>
      <c r="V368" s="28" t="s">
        <v>473</v>
      </c>
      <c r="W368" s="28" t="s">
        <v>637</v>
      </c>
      <c r="X368" s="28"/>
      <c r="Y368">
        <v>74.239999999999995</v>
      </c>
      <c r="Z368" s="169" t="s">
        <v>511</v>
      </c>
    </row>
    <row r="369" spans="1:26" x14ac:dyDescent="0.25">
      <c r="A369" s="8"/>
      <c r="B369" s="8"/>
      <c r="C369" s="31" t="s">
        <v>173</v>
      </c>
      <c r="D369" s="31"/>
      <c r="E369" s="31"/>
      <c r="F369" s="31"/>
      <c r="G369" s="31"/>
      <c r="H369" s="201"/>
      <c r="I369" s="198"/>
      <c r="J369" s="199"/>
      <c r="K369" s="200"/>
      <c r="L369" s="198"/>
      <c r="M369" s="201"/>
      <c r="N369" s="36"/>
      <c r="O369" s="31"/>
      <c r="P369" s="32"/>
      <c r="Q369" s="38"/>
      <c r="R369" s="31"/>
      <c r="S369" s="36"/>
      <c r="T369" s="31"/>
      <c r="U369" s="31"/>
      <c r="V369" s="31"/>
      <c r="W369" s="31"/>
      <c r="X369" s="31"/>
      <c r="Y369">
        <v>74.239999999999995</v>
      </c>
      <c r="Z369" s="169" t="s">
        <v>511</v>
      </c>
    </row>
    <row r="370" spans="1:26" x14ac:dyDescent="0.25">
      <c r="A370" s="8"/>
      <c r="B370" s="8"/>
      <c r="C370" s="40" t="s">
        <v>174</v>
      </c>
      <c r="D370" s="40"/>
      <c r="E370" s="40"/>
      <c r="F370" s="40"/>
      <c r="G370" s="40"/>
      <c r="H370" s="198"/>
      <c r="I370" s="198"/>
      <c r="J370" s="198"/>
      <c r="K370" s="200"/>
      <c r="L370" s="198"/>
      <c r="M370" s="198"/>
      <c r="N370" s="31"/>
      <c r="O370" s="31"/>
      <c r="P370" s="31"/>
      <c r="Q370" s="38"/>
      <c r="R370" s="31"/>
      <c r="S370" s="31"/>
      <c r="T370" s="40"/>
      <c r="U370" s="40"/>
      <c r="V370" s="40"/>
      <c r="W370" s="40"/>
      <c r="X370" s="40"/>
      <c r="Y370">
        <v>74.239999999999995</v>
      </c>
      <c r="Z370" s="169" t="s">
        <v>511</v>
      </c>
    </row>
    <row r="371" spans="1:26" x14ac:dyDescent="0.25">
      <c r="A371" s="237"/>
      <c r="B371" s="237"/>
      <c r="C371" s="232" t="s">
        <v>175</v>
      </c>
      <c r="D371" s="232"/>
      <c r="E371" s="232"/>
      <c r="F371" s="233">
        <v>23.22</v>
      </c>
      <c r="G371" s="232" t="str">
        <f>CONCATENATE("USD,FLAT ",TEXT(F371,"0.00"))</f>
        <v>USD,FLAT 23.22</v>
      </c>
      <c r="H371" s="234">
        <f>K371/J371</f>
        <v>1723.85</v>
      </c>
      <c r="I371" s="232" t="s">
        <v>22</v>
      </c>
      <c r="J371" s="235">
        <v>1</v>
      </c>
      <c r="K371" s="234">
        <f>ROUND(J371*F371*Y371,2)</f>
        <v>1723.85</v>
      </c>
      <c r="L371" s="232" t="str">
        <f>TEXT(IFERROR(((K371-K370)/K370*100),"0.00"),"0.00")</f>
        <v>0.00</v>
      </c>
      <c r="M371" s="234"/>
      <c r="N371" s="236">
        <f>Q371/P371</f>
        <v>22.410086399999997</v>
      </c>
      <c r="O371" s="232" t="s">
        <v>22</v>
      </c>
      <c r="P371" s="235">
        <v>1</v>
      </c>
      <c r="Q371" s="236">
        <f>P371*F371*Y371*Z371</f>
        <v>22.410086399999997</v>
      </c>
      <c r="R371" s="232" t="str">
        <f>TEXT(IFERROR(((Q371-Q370)/Q370*100),"0.00"),"0.00")</f>
        <v>0.00</v>
      </c>
      <c r="S371" s="236"/>
      <c r="T371" s="33" t="s">
        <v>634</v>
      </c>
      <c r="U371" s="28" t="s">
        <v>190</v>
      </c>
      <c r="V371" s="28" t="s">
        <v>473</v>
      </c>
      <c r="W371" s="28" t="s">
        <v>637</v>
      </c>
      <c r="X371" s="28"/>
      <c r="Y371">
        <v>74.239999999999995</v>
      </c>
      <c r="Z371" s="169" t="s">
        <v>511</v>
      </c>
    </row>
    <row r="372" spans="1:26" x14ac:dyDescent="0.25">
      <c r="A372" s="8" t="s">
        <v>590</v>
      </c>
      <c r="B372" s="8"/>
      <c r="C372" s="28" t="s">
        <v>178</v>
      </c>
      <c r="D372" s="28"/>
      <c r="E372" s="28"/>
      <c r="F372" s="168">
        <v>25</v>
      </c>
      <c r="G372" s="28" t="str">
        <f>CONCATENATE("USD,FLAT ",TEXT(F372,"0.00"))</f>
        <v>USD,FLAT 25.00</v>
      </c>
      <c r="H372" s="200">
        <f>K372/J372</f>
        <v>1856</v>
      </c>
      <c r="I372" s="198" t="s">
        <v>22</v>
      </c>
      <c r="J372" s="199">
        <v>1</v>
      </c>
      <c r="K372" s="200">
        <f>ROUND(J372*F372*Y372,2)</f>
        <v>1856</v>
      </c>
      <c r="L372" s="198" t="str">
        <f>TEXT(IFERROR(((K372-K373)/K373*100),"0.00"),"0.00")</f>
        <v>0.00</v>
      </c>
      <c r="M372" s="200">
        <f>ROUND((10+J372*3)*Y372,2)</f>
        <v>965.12</v>
      </c>
      <c r="N372" s="36">
        <f>Q372/P372</f>
        <v>24.127999999999997</v>
      </c>
      <c r="O372" s="31" t="s">
        <v>22</v>
      </c>
      <c r="P372" s="32">
        <v>1</v>
      </c>
      <c r="Q372" s="36">
        <f>P372*F372*Y372*Z372</f>
        <v>24.127999999999997</v>
      </c>
      <c r="R372" s="31" t="str">
        <f>TEXT(IFERROR(((Q372-Q373)/Q373*100),"0.00"),"0.00")</f>
        <v>0.00</v>
      </c>
      <c r="S372" s="36">
        <f>ROUND((10+P372*3)*Y372*Z372,2)</f>
        <v>12.55</v>
      </c>
      <c r="T372" s="33" t="s">
        <v>635</v>
      </c>
      <c r="U372" s="28" t="s">
        <v>190</v>
      </c>
      <c r="V372" s="28" t="s">
        <v>473</v>
      </c>
      <c r="W372" s="28" t="s">
        <v>637</v>
      </c>
      <c r="X372" s="28"/>
      <c r="Y372">
        <v>74.239999999999995</v>
      </c>
      <c r="Z372" s="169" t="s">
        <v>511</v>
      </c>
    </row>
    <row r="373" spans="1:26" x14ac:dyDescent="0.25">
      <c r="A373" s="8"/>
      <c r="B373" s="8"/>
      <c r="C373" s="31" t="s">
        <v>173</v>
      </c>
      <c r="D373" s="31"/>
      <c r="E373" s="31"/>
      <c r="F373" s="31"/>
      <c r="G373" s="31"/>
      <c r="H373" s="201"/>
      <c r="I373" s="198"/>
      <c r="J373" s="199"/>
      <c r="K373" s="200"/>
      <c r="L373" s="198"/>
      <c r="M373" s="201"/>
      <c r="N373" s="36"/>
      <c r="O373" s="31"/>
      <c r="P373" s="32"/>
      <c r="Q373" s="38"/>
      <c r="R373" s="31"/>
      <c r="S373" s="36"/>
      <c r="T373" s="31"/>
      <c r="U373" s="31"/>
      <c r="V373" s="31"/>
      <c r="W373" s="31"/>
      <c r="X373" s="31"/>
      <c r="Y373">
        <v>74.239999999999995</v>
      </c>
      <c r="Z373" s="169" t="s">
        <v>511</v>
      </c>
    </row>
    <row r="374" spans="1:26" x14ac:dyDescent="0.25">
      <c r="A374" s="8"/>
      <c r="B374" s="8"/>
      <c r="C374" s="40" t="s">
        <v>174</v>
      </c>
      <c r="D374" s="40"/>
      <c r="E374" s="40"/>
      <c r="F374" s="40"/>
      <c r="G374" s="40"/>
      <c r="H374" s="198"/>
      <c r="I374" s="198"/>
      <c r="J374" s="198"/>
      <c r="K374" s="200"/>
      <c r="L374" s="198"/>
      <c r="M374" s="198"/>
      <c r="N374" s="31"/>
      <c r="O374" s="31"/>
      <c r="P374" s="31"/>
      <c r="Q374" s="38"/>
      <c r="R374" s="31"/>
      <c r="S374" s="31"/>
      <c r="T374" s="40"/>
      <c r="U374" s="40"/>
      <c r="V374" s="40"/>
      <c r="W374" s="40"/>
      <c r="X374" s="40"/>
      <c r="Y374">
        <v>74.239999999999995</v>
      </c>
      <c r="Z374" s="169" t="s">
        <v>511</v>
      </c>
    </row>
    <row r="375" spans="1:26" x14ac:dyDescent="0.25">
      <c r="A375" s="8"/>
      <c r="B375" s="8"/>
      <c r="C375" s="41" t="s">
        <v>175</v>
      </c>
      <c r="D375" s="41"/>
      <c r="E375" s="41"/>
      <c r="F375" s="41"/>
      <c r="G375" s="41"/>
      <c r="H375" s="198"/>
      <c r="I375" s="198"/>
      <c r="J375" s="198"/>
      <c r="K375" s="200"/>
      <c r="L375" s="198"/>
      <c r="M375" s="198"/>
      <c r="N375" s="31"/>
      <c r="O375" s="31"/>
      <c r="P375" s="31"/>
      <c r="Q375" s="38"/>
      <c r="R375" s="31"/>
      <c r="S375" s="31"/>
      <c r="T375" s="41"/>
      <c r="U375" s="41"/>
      <c r="V375" s="41"/>
      <c r="W375" s="41"/>
      <c r="X375" s="41"/>
      <c r="Y375">
        <v>74.239999999999995</v>
      </c>
      <c r="Z375" s="169" t="s">
        <v>511</v>
      </c>
    </row>
    <row r="376" spans="1:26" x14ac:dyDescent="0.25">
      <c r="A376" s="2" t="s">
        <v>591</v>
      </c>
      <c r="B376" s="8"/>
      <c r="C376" s="28" t="s">
        <v>178</v>
      </c>
      <c r="D376" s="28"/>
      <c r="E376" s="28"/>
      <c r="F376" s="168">
        <v>25</v>
      </c>
      <c r="G376" s="28" t="str">
        <f>CONCATENATE("USD,FLAT ",TEXT(F376,"0.00"))</f>
        <v>USD,FLAT 25.00</v>
      </c>
      <c r="H376" s="200">
        <f>K376/J376</f>
        <v>1856</v>
      </c>
      <c r="I376" s="198" t="s">
        <v>22</v>
      </c>
      <c r="J376" s="199">
        <v>1</v>
      </c>
      <c r="K376" s="200">
        <f>ROUND(J376*F376*Y376,2)</f>
        <v>1856</v>
      </c>
      <c r="L376" s="198" t="str">
        <f>TEXT(IFERROR(((K376-K377)/K377*100),"0.00"),"0.00")</f>
        <v>0.00</v>
      </c>
      <c r="M376" s="200">
        <f>ROUND((10+J376*3)*Y376,2)</f>
        <v>965.12</v>
      </c>
      <c r="N376" s="36">
        <f>Q376/P376</f>
        <v>24.127999999999997</v>
      </c>
      <c r="O376" s="31" t="s">
        <v>22</v>
      </c>
      <c r="P376" s="32">
        <v>1</v>
      </c>
      <c r="Q376" s="36">
        <f>P376*F376*Y376*Z376</f>
        <v>24.127999999999997</v>
      </c>
      <c r="R376" s="31" t="str">
        <f>TEXT(IFERROR(((Q376-Q377)/Q377*100),"0.00"),"0.00")</f>
        <v>0.00</v>
      </c>
      <c r="S376" s="36">
        <f>ROUND((10+P376*3)*Y376*Z376,2)</f>
        <v>12.55</v>
      </c>
      <c r="T376" s="33" t="s">
        <v>635</v>
      </c>
      <c r="U376" s="28" t="s">
        <v>190</v>
      </c>
      <c r="V376" s="28" t="s">
        <v>473</v>
      </c>
      <c r="W376" s="28" t="s">
        <v>637</v>
      </c>
      <c r="X376" s="28"/>
      <c r="Y376">
        <v>74.239999999999995</v>
      </c>
      <c r="Z376" s="169" t="s">
        <v>511</v>
      </c>
    </row>
    <row r="377" spans="1:26" x14ac:dyDescent="0.25">
      <c r="A377" s="8"/>
      <c r="B377" s="8"/>
      <c r="C377" s="31" t="s">
        <v>173</v>
      </c>
      <c r="D377" s="31"/>
      <c r="E377" s="31"/>
      <c r="F377" s="31"/>
      <c r="G377" s="31"/>
      <c r="H377" s="201"/>
      <c r="I377" s="198"/>
      <c r="J377" s="199"/>
      <c r="K377" s="200"/>
      <c r="L377" s="198"/>
      <c r="M377" s="201"/>
      <c r="N377" s="36"/>
      <c r="O377" s="31"/>
      <c r="P377" s="32"/>
      <c r="Q377" s="38"/>
      <c r="R377" s="31"/>
      <c r="S377" s="36"/>
      <c r="T377" s="31"/>
      <c r="U377" s="31"/>
      <c r="V377" s="31"/>
      <c r="W377" s="31"/>
      <c r="X377" s="31"/>
      <c r="Y377">
        <v>74.239999999999995</v>
      </c>
      <c r="Z377" s="169" t="s">
        <v>511</v>
      </c>
    </row>
    <row r="378" spans="1:26" x14ac:dyDescent="0.25">
      <c r="A378" s="8"/>
      <c r="B378" s="8"/>
      <c r="C378" s="40" t="s">
        <v>174</v>
      </c>
      <c r="D378" s="40"/>
      <c r="E378" s="40"/>
      <c r="F378" s="40"/>
      <c r="G378" s="40"/>
      <c r="H378" s="198"/>
      <c r="I378" s="198"/>
      <c r="J378" s="198"/>
      <c r="K378" s="200"/>
      <c r="L378" s="198"/>
      <c r="M378" s="198"/>
      <c r="N378" s="31"/>
      <c r="O378" s="31"/>
      <c r="P378" s="31"/>
      <c r="Q378" s="38"/>
      <c r="R378" s="31"/>
      <c r="S378" s="31"/>
      <c r="T378" s="40"/>
      <c r="U378" s="40"/>
      <c r="V378" s="40"/>
      <c r="W378" s="40"/>
      <c r="X378" s="40"/>
      <c r="Y378">
        <v>74.239999999999995</v>
      </c>
      <c r="Z378" s="169" t="s">
        <v>511</v>
      </c>
    </row>
    <row r="379" spans="1:26" x14ac:dyDescent="0.25">
      <c r="A379" s="8"/>
      <c r="B379" s="8"/>
      <c r="C379" s="41" t="s">
        <v>175</v>
      </c>
      <c r="D379" s="41"/>
      <c r="E379" s="41"/>
      <c r="F379" s="41"/>
      <c r="G379" s="41"/>
      <c r="H379" s="198"/>
      <c r="I379" s="198"/>
      <c r="J379" s="198"/>
      <c r="K379" s="200"/>
      <c r="L379" s="198"/>
      <c r="M379" s="198"/>
      <c r="N379" s="31"/>
      <c r="O379" s="31"/>
      <c r="P379" s="31"/>
      <c r="Q379" s="38"/>
      <c r="R379" s="31"/>
      <c r="S379" s="31"/>
      <c r="T379" s="41"/>
      <c r="U379" s="41"/>
      <c r="V379" s="41"/>
      <c r="W379" s="41"/>
      <c r="X379" s="41"/>
      <c r="Y379">
        <v>74.239999999999995</v>
      </c>
      <c r="Z379" s="169" t="s">
        <v>511</v>
      </c>
    </row>
    <row r="380" spans="1:26" x14ac:dyDescent="0.25">
      <c r="A380" s="209" t="s">
        <v>599</v>
      </c>
      <c r="B380" s="8"/>
      <c r="C380" s="28" t="s">
        <v>178</v>
      </c>
      <c r="D380" s="28"/>
      <c r="E380" s="28"/>
      <c r="F380" s="168">
        <v>25</v>
      </c>
      <c r="G380" s="28" t="str">
        <f>CONCATENATE("USD,FLAT ",TEXT(F380,"0.00"))</f>
        <v>USD,FLAT 25.00</v>
      </c>
      <c r="H380" s="200">
        <f>K380/J380</f>
        <v>1856</v>
      </c>
      <c r="I380" s="198" t="s">
        <v>22</v>
      </c>
      <c r="J380" s="199">
        <v>1</v>
      </c>
      <c r="K380" s="200">
        <f>ROUND(J380*F380*Y380,2)</f>
        <v>1856</v>
      </c>
      <c r="L380" s="198" t="str">
        <f>TEXT(IFERROR(((K380-K381)/K381*100),"0.00"),"0.00")</f>
        <v>0.00</v>
      </c>
      <c r="M380" s="200">
        <f>ROUND((10+J380*3)*Y380,2)</f>
        <v>965.12</v>
      </c>
      <c r="N380" s="36">
        <f>Q380/P380</f>
        <v>24.127999999999997</v>
      </c>
      <c r="O380" s="31" t="s">
        <v>22</v>
      </c>
      <c r="P380" s="32">
        <v>1</v>
      </c>
      <c r="Q380" s="36">
        <f>P380*F380*Y380*Z380</f>
        <v>24.127999999999997</v>
      </c>
      <c r="R380" s="31" t="str">
        <f>TEXT(IFERROR(((Q380-Q381)/Q381*100),"0.00"),"0.00")</f>
        <v>0.00</v>
      </c>
      <c r="S380" s="36">
        <f>ROUND((10+P380*3)*Y380*Z380,2)</f>
        <v>12.55</v>
      </c>
      <c r="T380" s="33" t="s">
        <v>634</v>
      </c>
      <c r="U380" s="28" t="s">
        <v>190</v>
      </c>
      <c r="V380" s="28" t="s">
        <v>473</v>
      </c>
      <c r="W380" s="28" t="s">
        <v>637</v>
      </c>
      <c r="X380" s="28"/>
      <c r="Y380">
        <v>74.239999999999995</v>
      </c>
      <c r="Z380" s="169" t="s">
        <v>511</v>
      </c>
    </row>
    <row r="381" spans="1:26" x14ac:dyDescent="0.25">
      <c r="A381" s="8"/>
      <c r="B381" s="8"/>
      <c r="C381" s="31" t="s">
        <v>173</v>
      </c>
      <c r="D381" s="31"/>
      <c r="E381" s="31"/>
      <c r="F381" s="31"/>
      <c r="G381" s="31"/>
      <c r="H381" s="201"/>
      <c r="I381" s="198"/>
      <c r="J381" s="199"/>
      <c r="K381" s="200"/>
      <c r="L381" s="198"/>
      <c r="M381" s="201"/>
      <c r="N381" s="36"/>
      <c r="O381" s="31"/>
      <c r="P381" s="32"/>
      <c r="Q381" s="38"/>
      <c r="R381" s="31"/>
      <c r="S381" s="36"/>
      <c r="T381" s="31"/>
      <c r="U381" s="31"/>
      <c r="V381" s="31"/>
      <c r="W381" s="31"/>
      <c r="X381" s="31"/>
      <c r="Y381">
        <v>74.239999999999995</v>
      </c>
      <c r="Z381" s="169" t="s">
        <v>511</v>
      </c>
    </row>
    <row r="382" spans="1:26" x14ac:dyDescent="0.25">
      <c r="A382" s="8"/>
      <c r="B382" s="8"/>
      <c r="C382" s="40" t="s">
        <v>174</v>
      </c>
      <c r="D382" s="40"/>
      <c r="E382" s="40"/>
      <c r="F382" s="40"/>
      <c r="G382" s="40"/>
      <c r="H382" s="198"/>
      <c r="I382" s="198"/>
      <c r="J382" s="198"/>
      <c r="K382" s="200"/>
      <c r="L382" s="198"/>
      <c r="M382" s="198"/>
      <c r="N382" s="31"/>
      <c r="O382" s="31"/>
      <c r="P382" s="31"/>
      <c r="Q382" s="38"/>
      <c r="R382" s="31"/>
      <c r="S382" s="31"/>
      <c r="T382" s="40"/>
      <c r="U382" s="40"/>
      <c r="V382" s="40"/>
      <c r="W382" s="40"/>
      <c r="X382" s="40"/>
      <c r="Y382">
        <v>74.239999999999995</v>
      </c>
      <c r="Z382" s="169" t="s">
        <v>511</v>
      </c>
    </row>
    <row r="383" spans="1:26" x14ac:dyDescent="0.25">
      <c r="A383" s="8"/>
      <c r="B383" s="8"/>
      <c r="C383" s="41" t="s">
        <v>175</v>
      </c>
      <c r="D383" s="41"/>
      <c r="E383" s="41"/>
      <c r="F383" s="41"/>
      <c r="G383" s="41"/>
      <c r="H383" s="198"/>
      <c r="I383" s="198"/>
      <c r="J383" s="198"/>
      <c r="K383" s="200"/>
      <c r="L383" s="198"/>
      <c r="M383" s="198"/>
      <c r="N383" s="31"/>
      <c r="O383" s="31"/>
      <c r="P383" s="31"/>
      <c r="Q383" s="38"/>
      <c r="R383" s="31"/>
      <c r="S383" s="31"/>
      <c r="T383" s="41"/>
      <c r="U383" s="41"/>
      <c r="V383" s="41"/>
      <c r="W383" s="41"/>
      <c r="X383" s="41"/>
      <c r="Y383">
        <v>74.239999999999995</v>
      </c>
      <c r="Z383" s="169" t="s">
        <v>511</v>
      </c>
    </row>
    <row r="384" spans="1:26" x14ac:dyDescent="0.25">
      <c r="A384" s="209" t="s">
        <v>631</v>
      </c>
      <c r="B384" s="8"/>
      <c r="C384" s="28" t="s">
        <v>178</v>
      </c>
      <c r="D384" s="28"/>
      <c r="E384" s="28"/>
      <c r="F384" s="168">
        <v>25</v>
      </c>
      <c r="G384" s="28" t="str">
        <f>CONCATENATE("USD,FLAT ",TEXT(F384,"0.00"))</f>
        <v>USD,FLAT 25.00</v>
      </c>
      <c r="H384" s="200">
        <f>K384/J384</f>
        <v>1856</v>
      </c>
      <c r="I384" s="198" t="s">
        <v>22</v>
      </c>
      <c r="J384" s="199">
        <v>1</v>
      </c>
      <c r="K384" s="200">
        <f>ROUND(J384*F384*Y384,2)</f>
        <v>1856</v>
      </c>
      <c r="L384" s="198" t="str">
        <f>TEXT(IFERROR(((K384-K385)/K385*100),"0.00"),"0.00")</f>
        <v>0.00</v>
      </c>
      <c r="M384" s="200">
        <f>ROUND((10+J384*3)*Y384,2)</f>
        <v>965.12</v>
      </c>
      <c r="N384" s="36">
        <f>Q384/P384</f>
        <v>24.127999999999997</v>
      </c>
      <c r="O384" s="31" t="s">
        <v>22</v>
      </c>
      <c r="P384" s="32">
        <v>1</v>
      </c>
      <c r="Q384" s="36">
        <f>P384*F384*Y384*Z384</f>
        <v>24.127999999999997</v>
      </c>
      <c r="R384" s="31" t="str">
        <f>TEXT(IFERROR(((Q384-Q385)/Q385*100),"0.00"),"0.00")</f>
        <v>0.00</v>
      </c>
      <c r="S384" s="36">
        <f>ROUND((10+P384*3)*Y384*Z384,2)</f>
        <v>12.55</v>
      </c>
      <c r="T384" s="33" t="s">
        <v>634</v>
      </c>
      <c r="U384" s="28" t="s">
        <v>190</v>
      </c>
      <c r="V384" s="28" t="s">
        <v>473</v>
      </c>
      <c r="W384" s="28" t="s">
        <v>637</v>
      </c>
      <c r="X384" s="28"/>
      <c r="Y384">
        <v>74.239999999999995</v>
      </c>
      <c r="Z384" s="169" t="s">
        <v>511</v>
      </c>
    </row>
    <row r="385" spans="1:26" x14ac:dyDescent="0.25">
      <c r="A385" s="8"/>
      <c r="B385" s="8"/>
      <c r="C385" s="31" t="s">
        <v>173</v>
      </c>
      <c r="D385" s="31"/>
      <c r="E385" s="31"/>
      <c r="F385" s="31"/>
      <c r="G385" s="31"/>
      <c r="H385" s="201"/>
      <c r="I385" s="198"/>
      <c r="J385" s="199"/>
      <c r="K385" s="200"/>
      <c r="L385" s="198"/>
      <c r="M385" s="201"/>
      <c r="N385" s="36"/>
      <c r="O385" s="31"/>
      <c r="P385" s="32"/>
      <c r="Q385" s="36"/>
      <c r="R385" s="31"/>
      <c r="S385" s="36"/>
      <c r="T385" s="31"/>
      <c r="U385" s="31"/>
      <c r="V385" s="31"/>
      <c r="W385" s="31"/>
      <c r="X385" s="31"/>
      <c r="Y385">
        <v>74.239999999999995</v>
      </c>
      <c r="Z385" s="169" t="s">
        <v>511</v>
      </c>
    </row>
    <row r="386" spans="1:26" x14ac:dyDescent="0.25">
      <c r="A386" s="8"/>
      <c r="B386" s="8"/>
      <c r="C386" s="40" t="s">
        <v>174</v>
      </c>
      <c r="D386" s="40"/>
      <c r="E386" s="40"/>
      <c r="F386" s="40"/>
      <c r="G386" s="40"/>
      <c r="H386" s="198"/>
      <c r="I386" s="198"/>
      <c r="J386" s="198"/>
      <c r="K386" s="200"/>
      <c r="L386" s="198"/>
      <c r="M386" s="198"/>
      <c r="N386" s="31"/>
      <c r="O386" s="31"/>
      <c r="P386" s="31"/>
      <c r="Q386" s="38"/>
      <c r="R386" s="31"/>
      <c r="S386" s="31"/>
      <c r="T386" s="40"/>
      <c r="U386" s="40"/>
      <c r="V386" s="40"/>
      <c r="W386" s="40"/>
      <c r="X386" s="40"/>
      <c r="Y386">
        <v>74.239999999999995</v>
      </c>
      <c r="Z386" s="169" t="s">
        <v>511</v>
      </c>
    </row>
    <row r="387" spans="1:26" x14ac:dyDescent="0.25">
      <c r="A387" s="8"/>
      <c r="B387" s="8"/>
      <c r="C387" s="41" t="s">
        <v>175</v>
      </c>
      <c r="D387" s="41"/>
      <c r="E387" s="41"/>
      <c r="F387" s="41"/>
      <c r="G387" s="41"/>
      <c r="H387" s="198"/>
      <c r="I387" s="198"/>
      <c r="J387" s="198"/>
      <c r="K387" s="200"/>
      <c r="L387" s="198"/>
      <c r="M387" s="198"/>
      <c r="N387" s="31"/>
      <c r="O387" s="31"/>
      <c r="P387" s="31"/>
      <c r="Q387" s="38"/>
      <c r="R387" s="31"/>
      <c r="S387" s="31"/>
      <c r="T387" s="41"/>
      <c r="U387" s="41"/>
      <c r="V387" s="41"/>
      <c r="W387" s="41"/>
      <c r="X387" s="41"/>
      <c r="Y387">
        <v>74.239999999999995</v>
      </c>
      <c r="Z387" s="169" t="s">
        <v>511</v>
      </c>
    </row>
    <row r="388" spans="1:26" x14ac:dyDescent="0.25">
      <c r="A388" s="2" t="s">
        <v>632</v>
      </c>
      <c r="B388" s="8"/>
      <c r="C388" s="28" t="s">
        <v>178</v>
      </c>
      <c r="D388" s="28"/>
      <c r="E388" s="28"/>
      <c r="F388" s="168">
        <v>25</v>
      </c>
      <c r="G388" s="28" t="str">
        <f>CONCATENATE("USD,FLAT ",TEXT(F388,"0.00"))</f>
        <v>USD,FLAT 25.00</v>
      </c>
      <c r="H388" s="200">
        <f>K388/J388</f>
        <v>1856</v>
      </c>
      <c r="I388" s="198" t="s">
        <v>22</v>
      </c>
      <c r="J388" s="199">
        <v>100</v>
      </c>
      <c r="K388" s="200">
        <f>ROUND(J388*F388*Y388,2)</f>
        <v>185600</v>
      </c>
      <c r="L388" s="198" t="str">
        <f>TEXT(IFERROR(((K388-K389)/K389*100),"0.00"),"0.00")</f>
        <v>0.00</v>
      </c>
      <c r="M388" s="200">
        <f>ROUND((10+J388*3)*Y388,2)</f>
        <v>23014.400000000001</v>
      </c>
      <c r="N388" s="36">
        <f>Q388/P388</f>
        <v>24.127999999999997</v>
      </c>
      <c r="O388" s="31" t="s">
        <v>22</v>
      </c>
      <c r="P388" s="32">
        <v>100</v>
      </c>
      <c r="Q388" s="36">
        <f>P388*F388*Y388*Z388</f>
        <v>2412.7999999999997</v>
      </c>
      <c r="R388" s="31" t="str">
        <f>TEXT(IFERROR(((Q388-Q389)/Q389*100),"0.00"),"0.00")</f>
        <v>0.00</v>
      </c>
      <c r="S388" s="36">
        <f>ROUND((10+P388*3)*Y388*Z388,2)</f>
        <v>299.19</v>
      </c>
      <c r="T388" s="33" t="s">
        <v>636</v>
      </c>
      <c r="U388" s="28" t="s">
        <v>190</v>
      </c>
      <c r="V388" s="28" t="s">
        <v>473</v>
      </c>
      <c r="W388" s="28" t="s">
        <v>637</v>
      </c>
      <c r="X388" s="28"/>
      <c r="Y388">
        <v>74.239999999999995</v>
      </c>
      <c r="Z388" s="169" t="s">
        <v>511</v>
      </c>
    </row>
    <row r="389" spans="1:26" x14ac:dyDescent="0.25">
      <c r="A389" s="8"/>
      <c r="B389" s="8"/>
      <c r="C389" s="31" t="s">
        <v>173</v>
      </c>
      <c r="D389" s="31"/>
      <c r="E389" s="31"/>
      <c r="F389" s="31">
        <v>25</v>
      </c>
      <c r="G389" s="31" t="str">
        <f>CONCATENATE("USD,FLAT ",TEXT(F389,"0.00"))</f>
        <v>USD,FLAT 25.00</v>
      </c>
      <c r="H389" s="200">
        <f>K389/J389</f>
        <v>1856</v>
      </c>
      <c r="I389" s="198" t="s">
        <v>22</v>
      </c>
      <c r="J389" s="199">
        <v>100</v>
      </c>
      <c r="K389" s="200">
        <f>ROUND(J389*F389*Y389,2)</f>
        <v>185600</v>
      </c>
      <c r="L389" s="198"/>
      <c r="M389" s="200">
        <f>ROUND((10+J389*3)*Y389,2)</f>
        <v>23014.400000000001</v>
      </c>
      <c r="N389" s="36">
        <f>Q389/P389</f>
        <v>24.127999999999997</v>
      </c>
      <c r="O389" s="31" t="s">
        <v>22</v>
      </c>
      <c r="P389" s="32">
        <v>100</v>
      </c>
      <c r="Q389" s="36">
        <f>P389*F389*Y389*Z389</f>
        <v>2412.7999999999997</v>
      </c>
      <c r="R389" s="31"/>
      <c r="S389" s="36">
        <f>ROUND(((10+P389*3)*Y389*Z389),2)</f>
        <v>299.19</v>
      </c>
      <c r="T389" s="31"/>
      <c r="U389" s="31"/>
      <c r="V389" s="31"/>
      <c r="W389" s="31"/>
      <c r="X389" s="31"/>
      <c r="Y389">
        <v>74.239999999999995</v>
      </c>
      <c r="Z389" s="169" t="s">
        <v>511</v>
      </c>
    </row>
    <row r="390" spans="1:26" x14ac:dyDescent="0.25">
      <c r="A390" s="8"/>
      <c r="B390" s="8"/>
      <c r="C390" s="40" t="s">
        <v>174</v>
      </c>
      <c r="D390" s="40"/>
      <c r="E390" s="40"/>
      <c r="F390" s="40"/>
      <c r="G390" s="40"/>
      <c r="H390" s="198"/>
      <c r="I390" s="198"/>
      <c r="J390" s="198"/>
      <c r="K390" s="200"/>
      <c r="L390" s="198"/>
      <c r="M390" s="198"/>
      <c r="N390" s="31"/>
      <c r="O390" s="31"/>
      <c r="P390" s="31"/>
      <c r="Q390" s="38"/>
      <c r="R390" s="31"/>
      <c r="S390" s="31"/>
      <c r="T390" s="40"/>
      <c r="U390" s="40"/>
      <c r="V390" s="40"/>
      <c r="W390" s="40"/>
      <c r="X390" s="40"/>
      <c r="Y390">
        <v>74.239999999999995</v>
      </c>
      <c r="Z390" s="169" t="s">
        <v>511</v>
      </c>
    </row>
    <row r="391" spans="1:26" x14ac:dyDescent="0.25">
      <c r="A391" s="8"/>
      <c r="B391" s="8"/>
      <c r="C391" s="41" t="s">
        <v>175</v>
      </c>
      <c r="D391" s="41"/>
      <c r="E391" s="41"/>
      <c r="F391" s="41"/>
      <c r="G391" s="41"/>
      <c r="H391" s="198"/>
      <c r="I391" s="198"/>
      <c r="J391" s="198"/>
      <c r="K391" s="200"/>
      <c r="L391" s="198"/>
      <c r="M391" s="198"/>
      <c r="N391" s="31"/>
      <c r="O391" s="31"/>
      <c r="P391" s="31"/>
      <c r="Q391" s="38"/>
      <c r="R391" s="31"/>
      <c r="S391" s="31"/>
      <c r="T391" s="41"/>
      <c r="U391" s="41"/>
      <c r="V391" s="41"/>
      <c r="W391" s="41"/>
      <c r="X391" s="41"/>
      <c r="Y391">
        <v>74.239999999999995</v>
      </c>
      <c r="Z391" s="169" t="s">
        <v>511</v>
      </c>
    </row>
    <row r="392" spans="1:26" x14ac:dyDescent="0.25">
      <c r="A392" s="2" t="s">
        <v>633</v>
      </c>
      <c r="B392" s="8"/>
      <c r="C392" s="28" t="s">
        <v>178</v>
      </c>
      <c r="D392" s="28"/>
      <c r="E392" s="28"/>
      <c r="F392" s="168">
        <v>25</v>
      </c>
      <c r="G392" s="28" t="str">
        <f>CONCATENATE("USD,FLAT ",TEXT(F392,"0.00"))</f>
        <v>USD,FLAT 25.00</v>
      </c>
      <c r="H392" s="200">
        <f>K392/J392</f>
        <v>1856</v>
      </c>
      <c r="I392" s="198" t="s">
        <v>22</v>
      </c>
      <c r="J392" s="199">
        <v>100</v>
      </c>
      <c r="K392" s="200">
        <f>ROUND(J392*F392*Y392,2)</f>
        <v>185600</v>
      </c>
      <c r="L392" s="198" t="str">
        <f>TEXT(IFERROR(((K392-K393)/K393*100),"0.00"),"0.00")</f>
        <v>0.00</v>
      </c>
      <c r="M392" s="200">
        <f>ROUND((10+J392*3)*Y392,2)</f>
        <v>23014.400000000001</v>
      </c>
      <c r="N392" s="36">
        <f>Q392/P392</f>
        <v>24.127999999999997</v>
      </c>
      <c r="O392" s="31" t="s">
        <v>22</v>
      </c>
      <c r="P392" s="32">
        <v>100</v>
      </c>
      <c r="Q392" s="36">
        <f>P392*F392*Y392*Z392</f>
        <v>2412.7999999999997</v>
      </c>
      <c r="R392" s="31" t="str">
        <f>TEXT(IFERROR(((Q392-Q393)/Q393*100),"0.00"),"0.00")</f>
        <v>0.00</v>
      </c>
      <c r="S392" s="36">
        <f>ROUND((10+P392*3)*Y392*Z392,2)</f>
        <v>299.19</v>
      </c>
      <c r="T392" s="33" t="s">
        <v>636</v>
      </c>
      <c r="U392" s="28" t="s">
        <v>190</v>
      </c>
      <c r="V392" s="28" t="s">
        <v>473</v>
      </c>
      <c r="W392" s="28" t="s">
        <v>637</v>
      </c>
      <c r="X392" s="28"/>
      <c r="Y392">
        <v>74.239999999999995</v>
      </c>
      <c r="Z392" s="169" t="s">
        <v>511</v>
      </c>
    </row>
    <row r="393" spans="1:26" x14ac:dyDescent="0.25">
      <c r="A393" s="8"/>
      <c r="B393" s="8"/>
      <c r="C393" s="31" t="s">
        <v>173</v>
      </c>
      <c r="D393" s="31"/>
      <c r="E393" s="31"/>
      <c r="F393" s="31">
        <v>25</v>
      </c>
      <c r="G393" s="31" t="str">
        <f>CONCATENATE("USD,FLAT ",TEXT(F393,"0.00"))</f>
        <v>USD,FLAT 25.00</v>
      </c>
      <c r="H393" s="200">
        <f>K393/J393</f>
        <v>1856</v>
      </c>
      <c r="I393" s="198" t="s">
        <v>22</v>
      </c>
      <c r="J393" s="199">
        <v>100</v>
      </c>
      <c r="K393" s="200">
        <f>ROUND(J393*F393*Y393,2)</f>
        <v>185600</v>
      </c>
      <c r="L393" s="198"/>
      <c r="M393" s="200">
        <f>ROUND((10+J393*3)*Y393,2)</f>
        <v>23014.400000000001</v>
      </c>
      <c r="N393" s="36">
        <f>Q393/P393</f>
        <v>24.127999999999997</v>
      </c>
      <c r="O393" s="31" t="s">
        <v>22</v>
      </c>
      <c r="P393" s="32">
        <v>100</v>
      </c>
      <c r="Q393" s="36">
        <f>P393*F393*Y393*Z393</f>
        <v>2412.7999999999997</v>
      </c>
      <c r="R393" s="31"/>
      <c r="S393" s="36">
        <f>ROUND(((10+P393*3)*Y393*Z393),2)</f>
        <v>299.19</v>
      </c>
      <c r="T393" s="31"/>
      <c r="U393" s="31"/>
      <c r="V393" s="31"/>
      <c r="W393" s="31"/>
      <c r="X393" s="31"/>
      <c r="Y393">
        <v>74.239999999999995</v>
      </c>
      <c r="Z393" s="169" t="s">
        <v>511</v>
      </c>
    </row>
    <row r="394" spans="1:26" x14ac:dyDescent="0.25">
      <c r="A394" s="8"/>
      <c r="B394" s="8"/>
      <c r="C394" s="40" t="s">
        <v>174</v>
      </c>
      <c r="D394" s="40"/>
      <c r="E394" s="40"/>
      <c r="F394" s="40"/>
      <c r="G394" s="40"/>
      <c r="H394" s="198"/>
      <c r="I394" s="198"/>
      <c r="J394" s="198"/>
      <c r="K394" s="200"/>
      <c r="L394" s="198"/>
      <c r="M394" s="198"/>
      <c r="N394" s="31"/>
      <c r="O394" s="31"/>
      <c r="P394" s="31"/>
      <c r="Q394" s="38"/>
      <c r="R394" s="31"/>
      <c r="S394" s="31"/>
      <c r="T394" s="40"/>
      <c r="U394" s="40"/>
      <c r="V394" s="40"/>
      <c r="W394" s="40"/>
      <c r="X394" s="40"/>
      <c r="Y394">
        <v>74.239999999999995</v>
      </c>
      <c r="Z394" s="169" t="s">
        <v>511</v>
      </c>
    </row>
    <row r="395" spans="1:26" x14ac:dyDescent="0.25">
      <c r="A395" s="8"/>
      <c r="B395" s="8"/>
      <c r="C395" s="41" t="s">
        <v>175</v>
      </c>
      <c r="D395" s="41"/>
      <c r="E395" s="41"/>
      <c r="F395" s="41"/>
      <c r="G395" s="41"/>
      <c r="H395" s="198"/>
      <c r="I395" s="198"/>
      <c r="J395" s="198"/>
      <c r="K395" s="200"/>
      <c r="L395" s="198"/>
      <c r="M395" s="198"/>
      <c r="N395" s="31"/>
      <c r="O395" s="31"/>
      <c r="P395" s="31"/>
      <c r="Q395" s="38"/>
      <c r="R395" s="31"/>
      <c r="S395" s="31"/>
      <c r="T395" s="41"/>
      <c r="U395" s="41"/>
      <c r="V395" s="41"/>
      <c r="W395" s="41"/>
      <c r="X395" s="41"/>
      <c r="Y395">
        <v>74.239999999999995</v>
      </c>
      <c r="Z395" s="169" t="s">
        <v>511</v>
      </c>
    </row>
    <row r="396" spans="1:26" x14ac:dyDescent="0.25">
      <c r="Z396" s="176"/>
    </row>
    <row r="397" spans="1:26" x14ac:dyDescent="0.25">
      <c r="A397" s="324" t="s">
        <v>644</v>
      </c>
      <c r="B397" s="325"/>
      <c r="C397" s="325"/>
      <c r="D397" s="325"/>
      <c r="E397" s="325"/>
      <c r="F397" s="325"/>
      <c r="Z397" s="176"/>
    </row>
    <row r="398" spans="1:26" x14ac:dyDescent="0.25">
      <c r="A398" s="202"/>
      <c r="B398" s="202"/>
      <c r="C398" s="378" t="s">
        <v>641</v>
      </c>
      <c r="D398" s="354"/>
      <c r="E398" s="354"/>
      <c r="F398" s="379"/>
      <c r="G398" s="380" t="s">
        <v>651</v>
      </c>
      <c r="H398" s="381"/>
      <c r="I398" s="381"/>
      <c r="J398" s="382"/>
      <c r="K398" s="322" t="s">
        <v>692</v>
      </c>
      <c r="L398" s="322"/>
      <c r="M398" s="322"/>
      <c r="N398" s="322"/>
      <c r="Z398" s="176"/>
    </row>
    <row r="399" spans="1:26" x14ac:dyDescent="0.25">
      <c r="A399" s="373" t="s">
        <v>565</v>
      </c>
      <c r="B399" s="22"/>
      <c r="C399" s="331" t="s">
        <v>640</v>
      </c>
      <c r="D399" s="333"/>
      <c r="E399" s="334" t="s">
        <v>202</v>
      </c>
      <c r="F399" s="336"/>
      <c r="G399" s="331" t="s">
        <v>640</v>
      </c>
      <c r="H399" s="333"/>
      <c r="I399" s="334" t="s">
        <v>202</v>
      </c>
      <c r="J399" s="336"/>
      <c r="K399" s="323" t="s">
        <v>641</v>
      </c>
      <c r="L399" s="323"/>
      <c r="M399" s="323" t="s">
        <v>693</v>
      </c>
      <c r="N399" s="323"/>
      <c r="Z399" s="176"/>
    </row>
    <row r="400" spans="1:26" x14ac:dyDescent="0.25">
      <c r="A400" s="374"/>
      <c r="B400" s="22" t="s">
        <v>663</v>
      </c>
      <c r="C400" s="216" t="s">
        <v>638</v>
      </c>
      <c r="D400" s="216" t="s">
        <v>639</v>
      </c>
      <c r="E400" s="215" t="s">
        <v>638</v>
      </c>
      <c r="F400" s="215" t="s">
        <v>639</v>
      </c>
      <c r="G400" s="216" t="s">
        <v>638</v>
      </c>
      <c r="H400" s="216" t="s">
        <v>639</v>
      </c>
      <c r="I400" s="215" t="s">
        <v>638</v>
      </c>
      <c r="J400" s="215" t="s">
        <v>639</v>
      </c>
      <c r="K400" s="238" t="s">
        <v>638</v>
      </c>
      <c r="L400" s="238" t="s">
        <v>694</v>
      </c>
      <c r="M400" s="238" t="s">
        <v>638</v>
      </c>
      <c r="N400" s="238" t="s">
        <v>694</v>
      </c>
      <c r="Z400" s="176"/>
    </row>
    <row r="401" spans="1:33" x14ac:dyDescent="0.25">
      <c r="A401" s="8" t="s">
        <v>578</v>
      </c>
      <c r="B401" s="212" t="str">
        <f>TEXT(IFERROR(((C401-E401)/E401*100),"0.00"),"0.00")</f>
        <v>0.00</v>
      </c>
      <c r="C401" s="284" t="s">
        <v>786</v>
      </c>
      <c r="D401" s="284" t="s">
        <v>787</v>
      </c>
      <c r="E401" s="284" t="s">
        <v>819</v>
      </c>
      <c r="F401" s="284" t="s">
        <v>819</v>
      </c>
      <c r="G401" s="285" t="s">
        <v>799</v>
      </c>
      <c r="H401" s="290" t="s">
        <v>814</v>
      </c>
      <c r="I401" s="285" t="s">
        <v>820</v>
      </c>
      <c r="J401" s="285" t="s">
        <v>820</v>
      </c>
      <c r="K401" s="286" t="s">
        <v>801</v>
      </c>
      <c r="L401" s="286" t="s">
        <v>791</v>
      </c>
      <c r="M401" s="286" t="s">
        <v>802</v>
      </c>
      <c r="N401" s="286" t="s">
        <v>791</v>
      </c>
      <c r="R401" s="143" t="s">
        <v>587</v>
      </c>
      <c r="S401" s="143" t="s">
        <v>588</v>
      </c>
      <c r="T401" s="143" t="s">
        <v>589</v>
      </c>
      <c r="Z401" s="176"/>
    </row>
    <row r="402" spans="1:33" x14ac:dyDescent="0.25">
      <c r="A402" s="8" t="s">
        <v>581</v>
      </c>
      <c r="B402" s="212" t="str">
        <f>TEXT(IFERROR(((C402-E402)/E402*100),"0.00"),"0.00")</f>
        <v>0.00</v>
      </c>
      <c r="C402" s="284" t="s">
        <v>792</v>
      </c>
      <c r="D402" s="284" t="s">
        <v>793</v>
      </c>
      <c r="E402" s="284" t="s">
        <v>819</v>
      </c>
      <c r="F402" s="284" t="s">
        <v>819</v>
      </c>
      <c r="G402" s="285" t="s">
        <v>803</v>
      </c>
      <c r="H402" s="290" t="s">
        <v>815</v>
      </c>
      <c r="I402" s="285" t="s">
        <v>820</v>
      </c>
      <c r="J402" s="285" t="s">
        <v>820</v>
      </c>
      <c r="K402" s="286" t="s">
        <v>792</v>
      </c>
      <c r="L402" s="286" t="s">
        <v>791</v>
      </c>
      <c r="M402" s="286" t="s">
        <v>803</v>
      </c>
      <c r="N402" s="286" t="s">
        <v>791</v>
      </c>
      <c r="R402" s="143" t="s">
        <v>590</v>
      </c>
      <c r="S402" s="143" t="s">
        <v>591</v>
      </c>
      <c r="T402" s="177"/>
      <c r="Z402" s="176"/>
    </row>
    <row r="403" spans="1:33" x14ac:dyDescent="0.25">
      <c r="A403" s="8" t="s">
        <v>584</v>
      </c>
      <c r="B403" s="212" t="str">
        <f>TEXT(IFERROR(((C403-E403)/E403*100),"0.00"),"0.00")</f>
        <v>0.00</v>
      </c>
      <c r="C403" s="284" t="s">
        <v>795</v>
      </c>
      <c r="D403" s="284" t="s">
        <v>796</v>
      </c>
      <c r="E403" s="284" t="s">
        <v>795</v>
      </c>
      <c r="F403" s="284" t="s">
        <v>796</v>
      </c>
      <c r="G403" s="285" t="s">
        <v>804</v>
      </c>
      <c r="H403" s="290" t="s">
        <v>816</v>
      </c>
      <c r="I403" s="285" t="s">
        <v>804</v>
      </c>
      <c r="J403" s="290" t="s">
        <v>816</v>
      </c>
      <c r="K403" s="286" t="s">
        <v>795</v>
      </c>
      <c r="L403" s="286" t="s">
        <v>791</v>
      </c>
      <c r="M403" s="286" t="s">
        <v>804</v>
      </c>
      <c r="N403" s="286" t="s">
        <v>791</v>
      </c>
      <c r="R403" s="143" t="s">
        <v>592</v>
      </c>
      <c r="S403" s="143" t="s">
        <v>593</v>
      </c>
      <c r="T403" s="177"/>
      <c r="Z403" s="176"/>
    </row>
    <row r="404" spans="1:33" x14ac:dyDescent="0.25">
      <c r="Z404" s="176"/>
    </row>
    <row r="405" spans="1:33" x14ac:dyDescent="0.25">
      <c r="A405" s="347" t="s">
        <v>197</v>
      </c>
      <c r="B405" s="348"/>
      <c r="C405" s="348"/>
      <c r="D405" s="348"/>
      <c r="E405" s="348"/>
      <c r="F405" s="348"/>
      <c r="G405" s="348"/>
      <c r="H405" s="348"/>
    </row>
    <row r="406" spans="1:33" x14ac:dyDescent="0.25">
      <c r="A406" s="349" t="s">
        <v>1</v>
      </c>
      <c r="B406" s="349" t="s">
        <v>649</v>
      </c>
      <c r="C406" s="350" t="s">
        <v>181</v>
      </c>
      <c r="D406" s="351" t="s">
        <v>664</v>
      </c>
      <c r="E406" s="354" t="s">
        <v>641</v>
      </c>
      <c r="F406" s="354"/>
      <c r="G406" s="354"/>
      <c r="H406" s="354"/>
      <c r="I406" s="355" t="s">
        <v>650</v>
      </c>
      <c r="J406" s="355"/>
      <c r="K406" s="355"/>
      <c r="L406" s="355"/>
    </row>
    <row r="407" spans="1:33" x14ac:dyDescent="0.25">
      <c r="A407" s="326"/>
      <c r="B407" s="326"/>
      <c r="C407" s="328"/>
      <c r="D407" s="352"/>
      <c r="E407" s="331" t="s">
        <v>648</v>
      </c>
      <c r="F407" s="333"/>
      <c r="G407" s="334" t="s">
        <v>202</v>
      </c>
      <c r="H407" s="336"/>
      <c r="I407" s="331" t="s">
        <v>648</v>
      </c>
      <c r="J407" s="333"/>
      <c r="K407" s="334" t="s">
        <v>202</v>
      </c>
      <c r="L407" s="336"/>
    </row>
    <row r="408" spans="1:33" x14ac:dyDescent="0.25">
      <c r="A408" s="327"/>
      <c r="B408" s="327" t="s">
        <v>0</v>
      </c>
      <c r="C408" s="329"/>
      <c r="D408" s="353"/>
      <c r="E408" s="216" t="s">
        <v>203</v>
      </c>
      <c r="F408" s="216" t="s">
        <v>204</v>
      </c>
      <c r="G408" s="215" t="s">
        <v>193</v>
      </c>
      <c r="H408" s="215" t="s">
        <v>194</v>
      </c>
      <c r="I408" s="216" t="s">
        <v>203</v>
      </c>
      <c r="J408" s="216" t="s">
        <v>204</v>
      </c>
      <c r="K408" s="215" t="s">
        <v>193</v>
      </c>
      <c r="L408" s="215" t="s">
        <v>194</v>
      </c>
    </row>
    <row r="409" spans="1:33" x14ac:dyDescent="0.25">
      <c r="A409" s="19" t="str">
        <f>C4</f>
        <v>CurrConv_Cust1Auto,IND</v>
      </c>
      <c r="B409" s="21" t="s">
        <v>13</v>
      </c>
      <c r="C409" s="19" t="s">
        <v>195</v>
      </c>
      <c r="D409" s="271">
        <v>4.72</v>
      </c>
      <c r="E409" s="272" t="s">
        <v>767</v>
      </c>
      <c r="F409" s="272" t="s">
        <v>768</v>
      </c>
      <c r="G409" s="272" t="s">
        <v>770</v>
      </c>
      <c r="H409" s="272" t="s">
        <v>769</v>
      </c>
      <c r="I409" s="273">
        <v>5093.8</v>
      </c>
      <c r="J409" s="273">
        <v>997.97</v>
      </c>
      <c r="K409" s="273">
        <v>4864.2</v>
      </c>
      <c r="L409" s="273">
        <v>897.57</v>
      </c>
      <c r="AF409" s="251" t="s">
        <v>743</v>
      </c>
      <c r="AG409" s="251" t="s">
        <v>286</v>
      </c>
    </row>
    <row r="410" spans="1:33" x14ac:dyDescent="0.25">
      <c r="A410" s="19" t="str">
        <f>A196</f>
        <v>External Account Identifier - ACCT_IND_02</v>
      </c>
      <c r="B410" s="21" t="s">
        <v>13</v>
      </c>
      <c r="C410" s="19" t="s">
        <v>195</v>
      </c>
      <c r="D410" s="271">
        <v>4.72</v>
      </c>
      <c r="E410" s="272" t="s">
        <v>767</v>
      </c>
      <c r="F410" s="272" t="s">
        <v>768</v>
      </c>
      <c r="G410" s="272" t="s">
        <v>770</v>
      </c>
      <c r="H410" s="272" t="s">
        <v>769</v>
      </c>
      <c r="I410" s="273">
        <v>5093.8</v>
      </c>
      <c r="J410" s="273">
        <v>997.97</v>
      </c>
      <c r="K410" s="273">
        <v>4864.2</v>
      </c>
      <c r="L410" s="273">
        <v>897.57</v>
      </c>
      <c r="AF410" s="251" t="s">
        <v>743</v>
      </c>
      <c r="AG410" s="251" t="s">
        <v>744</v>
      </c>
    </row>
    <row r="412" spans="1:33" x14ac:dyDescent="0.25">
      <c r="A412" s="324" t="s">
        <v>645</v>
      </c>
      <c r="B412" s="325"/>
      <c r="C412" s="325"/>
      <c r="D412" s="325"/>
      <c r="E412" s="325"/>
      <c r="F412" s="325"/>
      <c r="Z412" s="176"/>
    </row>
    <row r="413" spans="1:33" x14ac:dyDescent="0.25">
      <c r="A413" s="339" t="s">
        <v>565</v>
      </c>
      <c r="B413" s="339" t="s">
        <v>448</v>
      </c>
      <c r="C413" s="383" t="s">
        <v>646</v>
      </c>
      <c r="D413" s="340" t="s">
        <v>641</v>
      </c>
      <c r="E413" s="340"/>
      <c r="F413" s="340"/>
      <c r="G413" s="340"/>
      <c r="H413" s="340"/>
      <c r="I413" s="340"/>
      <c r="J413" s="340"/>
      <c r="K413" s="340"/>
      <c r="L413" s="341" t="s">
        <v>652</v>
      </c>
      <c r="M413" s="342"/>
      <c r="N413" s="342"/>
      <c r="O413" s="342"/>
      <c r="P413" s="342"/>
      <c r="Q413" s="342"/>
      <c r="R413" s="342"/>
      <c r="S413" s="342"/>
      <c r="T413" s="343" t="s">
        <v>665</v>
      </c>
      <c r="U413" s="384" t="s">
        <v>695</v>
      </c>
      <c r="V413" s="385"/>
      <c r="W413" s="385"/>
      <c r="X413" s="385"/>
      <c r="Y413" s="385"/>
      <c r="Z413" s="386"/>
      <c r="AA413" s="238" t="s">
        <v>745</v>
      </c>
      <c r="AF413" s="251" t="s">
        <v>747</v>
      </c>
      <c r="AG413" s="251" t="s">
        <v>748</v>
      </c>
    </row>
    <row r="414" spans="1:33" x14ac:dyDescent="0.25">
      <c r="A414" s="339"/>
      <c r="B414" s="339"/>
      <c r="C414" s="383"/>
      <c r="D414" s="344" t="s">
        <v>640</v>
      </c>
      <c r="E414" s="344"/>
      <c r="F414" s="344"/>
      <c r="G414" s="344"/>
      <c r="H414" s="345" t="s">
        <v>202</v>
      </c>
      <c r="I414" s="345"/>
      <c r="J414" s="345"/>
      <c r="K414" s="345"/>
      <c r="L414" s="344" t="s">
        <v>640</v>
      </c>
      <c r="M414" s="344"/>
      <c r="N414" s="344"/>
      <c r="O414" s="344"/>
      <c r="P414" s="345" t="s">
        <v>202</v>
      </c>
      <c r="Q414" s="345"/>
      <c r="R414" s="345"/>
      <c r="S414" s="346"/>
      <c r="T414" s="343"/>
      <c r="U414" s="384" t="s">
        <v>641</v>
      </c>
      <c r="V414" s="385"/>
      <c r="W414" s="386"/>
      <c r="X414" s="384" t="s">
        <v>652</v>
      </c>
      <c r="Y414" s="385"/>
      <c r="Z414" s="386"/>
      <c r="AA414" s="238"/>
    </row>
    <row r="415" spans="1:33" x14ac:dyDescent="0.25">
      <c r="A415" s="339"/>
      <c r="B415" s="339" t="s">
        <v>448</v>
      </c>
      <c r="C415" s="383"/>
      <c r="D415" s="216" t="s">
        <v>164</v>
      </c>
      <c r="E415" s="216" t="s">
        <v>166</v>
      </c>
      <c r="F415" s="216" t="s">
        <v>199</v>
      </c>
      <c r="G415" s="216" t="s">
        <v>205</v>
      </c>
      <c r="H415" s="215" t="s">
        <v>164</v>
      </c>
      <c r="I415" s="215" t="s">
        <v>166</v>
      </c>
      <c r="J415" s="215" t="s">
        <v>199</v>
      </c>
      <c r="K415" s="215" t="s">
        <v>205</v>
      </c>
      <c r="L415" s="216" t="s">
        <v>164</v>
      </c>
      <c r="M415" s="216" t="s">
        <v>166</v>
      </c>
      <c r="N415" s="216" t="s">
        <v>199</v>
      </c>
      <c r="O415" s="216" t="s">
        <v>205</v>
      </c>
      <c r="P415" s="215" t="s">
        <v>164</v>
      </c>
      <c r="Q415" s="215" t="s">
        <v>166</v>
      </c>
      <c r="R415" s="215" t="s">
        <v>199</v>
      </c>
      <c r="S415" s="217" t="s">
        <v>205</v>
      </c>
      <c r="T415" s="343"/>
      <c r="U415" s="238" t="s">
        <v>164</v>
      </c>
      <c r="V415" s="238" t="s">
        <v>199</v>
      </c>
      <c r="W415" s="238" t="s">
        <v>205</v>
      </c>
      <c r="X415" s="238" t="s">
        <v>164</v>
      </c>
      <c r="Y415" s="238" t="s">
        <v>199</v>
      </c>
      <c r="Z415" s="238" t="s">
        <v>205</v>
      </c>
      <c r="AA415" s="238"/>
    </row>
    <row r="416" spans="1:33" x14ac:dyDescent="0.25">
      <c r="A416" s="8" t="s">
        <v>578</v>
      </c>
      <c r="B416" s="21" t="s">
        <v>13</v>
      </c>
      <c r="C416" s="52"/>
      <c r="D416" s="280" t="s">
        <v>786</v>
      </c>
      <c r="E416" s="280" t="s">
        <v>787</v>
      </c>
      <c r="F416" s="280" t="s">
        <v>788</v>
      </c>
      <c r="G416" s="280" t="s">
        <v>789</v>
      </c>
      <c r="H416" s="280" t="s">
        <v>790</v>
      </c>
      <c r="I416" s="280" t="s">
        <v>790</v>
      </c>
      <c r="J416" s="280" t="s">
        <v>790</v>
      </c>
      <c r="K416" s="280" t="s">
        <v>791</v>
      </c>
      <c r="L416" s="281" t="s">
        <v>799</v>
      </c>
      <c r="M416" s="279" t="s">
        <v>814</v>
      </c>
      <c r="N416" s="279" t="s">
        <v>813</v>
      </c>
      <c r="O416" s="279" t="s">
        <v>789</v>
      </c>
      <c r="P416" s="281" t="s">
        <v>800</v>
      </c>
      <c r="Q416" s="281" t="s">
        <v>800</v>
      </c>
      <c r="R416" s="281" t="s">
        <v>800</v>
      </c>
      <c r="S416" s="282" t="s">
        <v>791</v>
      </c>
      <c r="T416" s="283" t="s">
        <v>791</v>
      </c>
      <c r="U416" s="286" t="s">
        <v>801</v>
      </c>
      <c r="V416" s="286" t="s">
        <v>805</v>
      </c>
      <c r="W416" s="286" t="s">
        <v>806</v>
      </c>
      <c r="X416" s="286" t="s">
        <v>802</v>
      </c>
      <c r="Y416" s="290" t="s">
        <v>821</v>
      </c>
      <c r="Z416" s="290" t="s">
        <v>806</v>
      </c>
      <c r="AA416" s="287" t="s">
        <v>746</v>
      </c>
      <c r="AF416" s="251" t="s">
        <v>747</v>
      </c>
      <c r="AG416" s="251" t="s">
        <v>748</v>
      </c>
    </row>
    <row r="417" spans="1:33" x14ac:dyDescent="0.25">
      <c r="A417" s="8" t="s">
        <v>581</v>
      </c>
      <c r="B417" s="21" t="s">
        <v>13</v>
      </c>
      <c r="C417" s="52"/>
      <c r="D417" s="280" t="s">
        <v>792</v>
      </c>
      <c r="E417" s="280" t="s">
        <v>793</v>
      </c>
      <c r="F417" s="280" t="s">
        <v>794</v>
      </c>
      <c r="G417" s="280" t="s">
        <v>789</v>
      </c>
      <c r="H417" s="280" t="s">
        <v>790</v>
      </c>
      <c r="I417" s="280" t="s">
        <v>790</v>
      </c>
      <c r="J417" s="280" t="s">
        <v>790</v>
      </c>
      <c r="K417" s="280" t="s">
        <v>791</v>
      </c>
      <c r="L417" s="281" t="s">
        <v>803</v>
      </c>
      <c r="M417" s="279" t="s">
        <v>815</v>
      </c>
      <c r="N417" s="281" t="s">
        <v>807</v>
      </c>
      <c r="O417" s="279" t="s">
        <v>789</v>
      </c>
      <c r="P417" s="281" t="s">
        <v>800</v>
      </c>
      <c r="Q417" s="281" t="s">
        <v>800</v>
      </c>
      <c r="R417" s="281" t="s">
        <v>800</v>
      </c>
      <c r="S417" s="282" t="s">
        <v>791</v>
      </c>
      <c r="T417" s="283" t="s">
        <v>791</v>
      </c>
      <c r="U417" s="286" t="s">
        <v>792</v>
      </c>
      <c r="V417" s="286" t="s">
        <v>794</v>
      </c>
      <c r="W417" s="286" t="s">
        <v>789</v>
      </c>
      <c r="X417" s="286" t="s">
        <v>803</v>
      </c>
      <c r="Y417" s="286" t="s">
        <v>807</v>
      </c>
      <c r="Z417" s="286" t="s">
        <v>789</v>
      </c>
      <c r="AA417" s="287" t="s">
        <v>746</v>
      </c>
      <c r="AF417" s="251" t="s">
        <v>747</v>
      </c>
      <c r="AG417" s="251" t="s">
        <v>748</v>
      </c>
    </row>
    <row r="418" spans="1:33" x14ac:dyDescent="0.25">
      <c r="A418" s="8" t="s">
        <v>584</v>
      </c>
      <c r="B418" s="21" t="s">
        <v>13</v>
      </c>
      <c r="C418" s="52"/>
      <c r="D418" s="280" t="s">
        <v>795</v>
      </c>
      <c r="E418" s="280" t="s">
        <v>796</v>
      </c>
      <c r="F418" s="280" t="s">
        <v>797</v>
      </c>
      <c r="G418" s="280" t="s">
        <v>798</v>
      </c>
      <c r="H418" s="280" t="s">
        <v>795</v>
      </c>
      <c r="I418" s="280" t="s">
        <v>796</v>
      </c>
      <c r="J418" s="280" t="s">
        <v>797</v>
      </c>
      <c r="K418" s="280" t="s">
        <v>798</v>
      </c>
      <c r="L418" s="281" t="s">
        <v>804</v>
      </c>
      <c r="M418" s="279" t="s">
        <v>816</v>
      </c>
      <c r="N418" s="279" t="s">
        <v>817</v>
      </c>
      <c r="O418" s="281" t="s">
        <v>798</v>
      </c>
      <c r="P418" s="281" t="s">
        <v>804</v>
      </c>
      <c r="Q418" s="279" t="s">
        <v>816</v>
      </c>
      <c r="R418" s="279" t="s">
        <v>817</v>
      </c>
      <c r="S418" s="282" t="s">
        <v>798</v>
      </c>
      <c r="T418" s="283" t="s">
        <v>791</v>
      </c>
      <c r="U418" s="286" t="s">
        <v>795</v>
      </c>
      <c r="V418" s="286" t="s">
        <v>797</v>
      </c>
      <c r="W418" s="286" t="s">
        <v>798</v>
      </c>
      <c r="X418" s="286" t="s">
        <v>804</v>
      </c>
      <c r="Y418" s="290" t="s">
        <v>817</v>
      </c>
      <c r="Z418" s="286" t="s">
        <v>798</v>
      </c>
      <c r="AA418" s="287" t="s">
        <v>746</v>
      </c>
      <c r="AF418" s="251" t="s">
        <v>747</v>
      </c>
      <c r="AG418" s="251" t="s">
        <v>748</v>
      </c>
    </row>
    <row r="420" spans="1:33" ht="23.45" customHeight="1" x14ac:dyDescent="0.25">
      <c r="A420" s="324" t="s">
        <v>647</v>
      </c>
      <c r="B420" s="325"/>
      <c r="C420" s="325"/>
      <c r="D420" s="325"/>
      <c r="E420" s="325"/>
      <c r="F420" s="325"/>
      <c r="Z420" s="176"/>
    </row>
    <row r="421" spans="1:33" x14ac:dyDescent="0.25">
      <c r="A421" s="326" t="s">
        <v>448</v>
      </c>
      <c r="B421" s="328" t="s">
        <v>198</v>
      </c>
      <c r="C421" s="330" t="s">
        <v>641</v>
      </c>
      <c r="D421" s="330"/>
      <c r="E421" s="330"/>
      <c r="F421" s="330"/>
      <c r="G421" s="330"/>
      <c r="H421" s="330"/>
      <c r="I421" s="330"/>
      <c r="J421" s="330"/>
      <c r="K421" s="330"/>
      <c r="L421" s="330" t="s">
        <v>652</v>
      </c>
      <c r="M421" s="330"/>
      <c r="N421" s="330"/>
      <c r="O421" s="330"/>
      <c r="P421" s="330"/>
      <c r="Q421" s="330"/>
      <c r="R421" s="330"/>
      <c r="S421" s="330"/>
      <c r="T421" s="330"/>
      <c r="U421" s="384" t="s">
        <v>695</v>
      </c>
      <c r="V421" s="385"/>
      <c r="W421" s="385"/>
      <c r="X421" s="385"/>
      <c r="Y421" s="385"/>
      <c r="Z421" s="386"/>
    </row>
    <row r="422" spans="1:33" x14ac:dyDescent="0.25">
      <c r="A422" s="326"/>
      <c r="B422" s="328"/>
      <c r="C422" s="331" t="s">
        <v>201</v>
      </c>
      <c r="D422" s="332"/>
      <c r="E422" s="332"/>
      <c r="F422" s="333"/>
      <c r="G422" s="334" t="s">
        <v>202</v>
      </c>
      <c r="H422" s="335"/>
      <c r="I422" s="335"/>
      <c r="J422" s="336"/>
      <c r="K422" s="337" t="s">
        <v>665</v>
      </c>
      <c r="L422" s="331" t="s">
        <v>201</v>
      </c>
      <c r="M422" s="332"/>
      <c r="N422" s="332"/>
      <c r="O422" s="333"/>
      <c r="P422" s="334" t="s">
        <v>202</v>
      </c>
      <c r="Q422" s="335"/>
      <c r="R422" s="335"/>
      <c r="S422" s="336"/>
      <c r="T422" s="337" t="s">
        <v>665</v>
      </c>
      <c r="U422" s="384" t="s">
        <v>641</v>
      </c>
      <c r="V422" s="385"/>
      <c r="W422" s="386"/>
      <c r="X422" s="384" t="s">
        <v>652</v>
      </c>
      <c r="Y422" s="385"/>
      <c r="Z422" s="386"/>
    </row>
    <row r="423" spans="1:33" x14ac:dyDescent="0.25">
      <c r="A423" s="327"/>
      <c r="B423" s="329"/>
      <c r="C423" s="216" t="s">
        <v>164</v>
      </c>
      <c r="D423" s="216" t="s">
        <v>166</v>
      </c>
      <c r="E423" s="216" t="s">
        <v>199</v>
      </c>
      <c r="F423" s="216" t="s">
        <v>205</v>
      </c>
      <c r="G423" s="215" t="s">
        <v>164</v>
      </c>
      <c r="H423" s="215" t="s">
        <v>166</v>
      </c>
      <c r="I423" s="215" t="s">
        <v>199</v>
      </c>
      <c r="J423" s="215" t="s">
        <v>205</v>
      </c>
      <c r="K423" s="338"/>
      <c r="L423" s="216" t="s">
        <v>164</v>
      </c>
      <c r="M423" s="216" t="s">
        <v>166</v>
      </c>
      <c r="N423" s="216" t="s">
        <v>199</v>
      </c>
      <c r="O423" s="216" t="s">
        <v>205</v>
      </c>
      <c r="P423" s="215" t="s">
        <v>164</v>
      </c>
      <c r="Q423" s="215" t="s">
        <v>166</v>
      </c>
      <c r="R423" s="215" t="s">
        <v>199</v>
      </c>
      <c r="S423" s="215" t="s">
        <v>205</v>
      </c>
      <c r="T423" s="338"/>
      <c r="U423" s="238" t="s">
        <v>164</v>
      </c>
      <c r="V423" s="238" t="s">
        <v>199</v>
      </c>
      <c r="W423" s="238" t="s">
        <v>205</v>
      </c>
      <c r="X423" s="238" t="s">
        <v>164</v>
      </c>
      <c r="Y423" s="238" t="s">
        <v>199</v>
      </c>
      <c r="Z423" s="238" t="s">
        <v>205</v>
      </c>
      <c r="AA423" s="218" t="s">
        <v>655</v>
      </c>
      <c r="AB423" s="218" t="s">
        <v>656</v>
      </c>
    </row>
    <row r="424" spans="1:33" x14ac:dyDescent="0.25">
      <c r="A424" s="53" t="s">
        <v>13</v>
      </c>
      <c r="B424" s="19" t="s">
        <v>195</v>
      </c>
      <c r="C424" s="21" t="s">
        <v>783</v>
      </c>
      <c r="D424" s="21" t="s">
        <v>784</v>
      </c>
      <c r="E424" s="21" t="s">
        <v>771</v>
      </c>
      <c r="F424" s="21" t="s">
        <v>808</v>
      </c>
      <c r="G424" s="21" t="s">
        <v>770</v>
      </c>
      <c r="H424" s="21" t="s">
        <v>769</v>
      </c>
      <c r="I424" s="21" t="s">
        <v>772</v>
      </c>
      <c r="J424" s="21" t="s">
        <v>809</v>
      </c>
      <c r="K424" s="21" t="s">
        <v>810</v>
      </c>
      <c r="L424" s="21" t="s">
        <v>785</v>
      </c>
      <c r="M424" s="279" t="s">
        <v>818</v>
      </c>
      <c r="N424" s="21" t="s">
        <v>780</v>
      </c>
      <c r="O424" s="21" t="s">
        <v>808</v>
      </c>
      <c r="P424" s="21" t="s">
        <v>776</v>
      </c>
      <c r="Q424" s="279" t="s">
        <v>781</v>
      </c>
      <c r="R424" s="279" t="s">
        <v>782</v>
      </c>
      <c r="S424" s="21" t="s">
        <v>809</v>
      </c>
      <c r="T424" s="21" t="s">
        <v>810</v>
      </c>
      <c r="U424" s="288" t="s">
        <v>822</v>
      </c>
      <c r="V424" s="288" t="s">
        <v>823</v>
      </c>
      <c r="W424" s="288" t="s">
        <v>811</v>
      </c>
      <c r="X424" s="288" t="s">
        <v>824</v>
      </c>
      <c r="Y424" s="291" t="s">
        <v>825</v>
      </c>
      <c r="Z424" s="288" t="s">
        <v>811</v>
      </c>
      <c r="AA424" s="288" t="s">
        <v>812</v>
      </c>
      <c r="AB424" s="289" t="s">
        <v>511</v>
      </c>
    </row>
    <row r="425" spans="1:33" x14ac:dyDescent="0.25">
      <c r="C425" s="72"/>
    </row>
    <row r="426" spans="1:33" x14ac:dyDescent="0.25">
      <c r="A426" s="347" t="s">
        <v>196</v>
      </c>
      <c r="B426" s="348"/>
      <c r="C426" s="348"/>
      <c r="D426" s="348"/>
      <c r="E426" s="348"/>
      <c r="F426" s="348"/>
      <c r="G426" s="348"/>
      <c r="H426" s="348"/>
      <c r="I426" s="348"/>
      <c r="J426" s="348"/>
    </row>
    <row r="427" spans="1:33" x14ac:dyDescent="0.25">
      <c r="A427" s="219"/>
      <c r="B427" s="220"/>
      <c r="C427" s="330" t="s">
        <v>641</v>
      </c>
      <c r="D427" s="330"/>
      <c r="E427" s="330"/>
      <c r="F427" s="330"/>
      <c r="G427" s="330"/>
      <c r="H427" s="330"/>
      <c r="I427" s="330"/>
      <c r="J427" s="330"/>
      <c r="K427" s="330"/>
      <c r="L427" s="384" t="s">
        <v>695</v>
      </c>
      <c r="M427" s="385"/>
      <c r="N427" s="385"/>
      <c r="Z427" s="176"/>
    </row>
    <row r="428" spans="1:33" x14ac:dyDescent="0.25">
      <c r="A428" s="373" t="s">
        <v>448</v>
      </c>
      <c r="B428" s="373" t="s">
        <v>198</v>
      </c>
      <c r="C428" s="331" t="s">
        <v>201</v>
      </c>
      <c r="D428" s="332"/>
      <c r="E428" s="332"/>
      <c r="F428" s="333"/>
      <c r="G428" s="334" t="s">
        <v>202</v>
      </c>
      <c r="H428" s="335"/>
      <c r="I428" s="335"/>
      <c r="J428" s="336"/>
      <c r="K428" s="337" t="s">
        <v>665</v>
      </c>
      <c r="L428" s="384" t="s">
        <v>641</v>
      </c>
      <c r="M428" s="385"/>
      <c r="N428" s="386"/>
    </row>
    <row r="429" spans="1:33" x14ac:dyDescent="0.25">
      <c r="A429" s="374"/>
      <c r="B429" s="374"/>
      <c r="C429" s="216" t="s">
        <v>164</v>
      </c>
      <c r="D429" s="216" t="s">
        <v>166</v>
      </c>
      <c r="E429" s="216" t="s">
        <v>199</v>
      </c>
      <c r="F429" s="216" t="s">
        <v>205</v>
      </c>
      <c r="G429" s="215" t="s">
        <v>164</v>
      </c>
      <c r="H429" s="215" t="s">
        <v>166</v>
      </c>
      <c r="I429" s="215" t="s">
        <v>199</v>
      </c>
      <c r="J429" s="215" t="s">
        <v>205</v>
      </c>
      <c r="K429" s="338"/>
      <c r="L429" s="238" t="s">
        <v>164</v>
      </c>
      <c r="M429" s="238" t="s">
        <v>199</v>
      </c>
      <c r="N429" s="238" t="s">
        <v>205</v>
      </c>
    </row>
    <row r="430" spans="1:33" x14ac:dyDescent="0.25">
      <c r="A430" s="19" t="s">
        <v>13</v>
      </c>
      <c r="B430" s="19" t="s">
        <v>195</v>
      </c>
      <c r="C430" s="21" t="s">
        <v>783</v>
      </c>
      <c r="D430" s="21" t="s">
        <v>784</v>
      </c>
      <c r="E430" s="21" t="s">
        <v>771</v>
      </c>
      <c r="F430" s="271" t="str">
        <f>TEXT(58.31,"0.00")</f>
        <v>58.31</v>
      </c>
      <c r="G430" s="21" t="s">
        <v>770</v>
      </c>
      <c r="H430" s="21" t="s">
        <v>769</v>
      </c>
      <c r="I430" s="21" t="s">
        <v>772</v>
      </c>
      <c r="J430" s="271" t="str">
        <f>TEXT(81.55,"0.00")</f>
        <v>81.55</v>
      </c>
      <c r="K430" s="21" t="str">
        <f>TEXT(44.4,"0.00")</f>
        <v>44.40</v>
      </c>
      <c r="L430" s="287" t="s">
        <v>826</v>
      </c>
      <c r="M430" s="287">
        <v>314934.24</v>
      </c>
      <c r="N430" s="292" t="str">
        <f>TEXT(58.3,"0.00")</f>
        <v>58.30</v>
      </c>
    </row>
    <row r="432" spans="1:33" x14ac:dyDescent="0.25">
      <c r="A432" s="54" t="s">
        <v>136</v>
      </c>
      <c r="B432" s="55"/>
      <c r="C432" s="55"/>
    </row>
    <row r="433" spans="1:33" x14ac:dyDescent="0.25">
      <c r="A433" s="22" t="s">
        <v>136</v>
      </c>
      <c r="B433" s="22" t="s">
        <v>144</v>
      </c>
      <c r="C433" s="22" t="s">
        <v>145</v>
      </c>
      <c r="D433" s="22" t="s">
        <v>469</v>
      </c>
      <c r="E433" s="22" t="s">
        <v>125</v>
      </c>
      <c r="F433" s="22" t="s">
        <v>54</v>
      </c>
      <c r="G433" s="22" t="s">
        <v>55</v>
      </c>
      <c r="H433" s="22" t="s">
        <v>470</v>
      </c>
      <c r="I433" s="22" t="s">
        <v>471</v>
      </c>
      <c r="J433" s="22" t="s">
        <v>140</v>
      </c>
      <c r="K433" s="22" t="s">
        <v>122</v>
      </c>
      <c r="L433" s="22" t="s">
        <v>120</v>
      </c>
    </row>
    <row r="434" spans="1:33" ht="45" x14ac:dyDescent="0.25">
      <c r="A434" s="24" t="s">
        <v>137</v>
      </c>
      <c r="B434" s="25" t="s">
        <v>749</v>
      </c>
      <c r="C434" s="25" t="s">
        <v>750</v>
      </c>
      <c r="D434" s="25" t="s">
        <v>134</v>
      </c>
      <c r="E434" s="25" t="s">
        <v>325</v>
      </c>
      <c r="F434" s="25"/>
      <c r="G434" s="25"/>
      <c r="H434" s="25"/>
      <c r="I434" s="25"/>
      <c r="J434" s="150">
        <f ca="1">TODAY()</f>
        <v>45142</v>
      </c>
      <c r="K434" s="150">
        <f>E312</f>
        <v>0</v>
      </c>
      <c r="L434" s="25" t="s">
        <v>609</v>
      </c>
      <c r="AF434" s="251" t="s">
        <v>747</v>
      </c>
      <c r="AG434" s="251" t="s">
        <v>751</v>
      </c>
    </row>
    <row r="436" spans="1:33" ht="33.75" x14ac:dyDescent="0.5">
      <c r="A436" s="359" t="s">
        <v>697</v>
      </c>
      <c r="B436" s="359"/>
      <c r="C436" s="359"/>
      <c r="D436" s="359"/>
      <c r="E436" s="359"/>
      <c r="F436" s="359"/>
      <c r="G436" s="359"/>
      <c r="H436" s="359"/>
      <c r="I436" s="359"/>
      <c r="J436" s="359"/>
      <c r="K436" s="359"/>
      <c r="L436" s="359"/>
      <c r="M436" s="359"/>
      <c r="N436" s="359"/>
      <c r="O436" s="359"/>
      <c r="P436" s="359"/>
      <c r="Q436" s="359"/>
      <c r="R436" s="359"/>
      <c r="S436" s="359"/>
      <c r="T436" s="359"/>
      <c r="U436" s="359"/>
      <c r="V436" s="359"/>
      <c r="W436" s="359"/>
      <c r="X436" s="359"/>
      <c r="Y436" s="359"/>
      <c r="Z436" s="359"/>
    </row>
    <row r="437" spans="1:33" x14ac:dyDescent="0.25">
      <c r="A437" s="324" t="s">
        <v>159</v>
      </c>
      <c r="B437" s="325"/>
      <c r="C437" s="325"/>
      <c r="D437" s="325"/>
      <c r="E437" s="325"/>
      <c r="H437" s="377" t="s">
        <v>514</v>
      </c>
      <c r="I437" s="377"/>
      <c r="J437" s="377"/>
      <c r="K437" s="377"/>
      <c r="L437" s="377"/>
      <c r="M437" s="377"/>
      <c r="N437" s="375" t="s">
        <v>515</v>
      </c>
      <c r="O437" s="375"/>
      <c r="P437" s="375"/>
      <c r="Q437" s="375"/>
      <c r="R437" s="375"/>
      <c r="S437" s="375"/>
    </row>
    <row r="438" spans="1:33" x14ac:dyDescent="0.25">
      <c r="A438" s="225" t="s">
        <v>160</v>
      </c>
      <c r="B438" s="225" t="s">
        <v>43</v>
      </c>
      <c r="C438" s="225" t="s">
        <v>168</v>
      </c>
      <c r="D438" s="39" t="s">
        <v>176</v>
      </c>
      <c r="E438" s="39" t="s">
        <v>177</v>
      </c>
      <c r="F438" s="39" t="s">
        <v>56</v>
      </c>
      <c r="G438" s="229" t="s">
        <v>161</v>
      </c>
      <c r="H438" s="194" t="s">
        <v>162</v>
      </c>
      <c r="I438" s="194" t="s">
        <v>18</v>
      </c>
      <c r="J438" s="194" t="s">
        <v>163</v>
      </c>
      <c r="K438" s="194" t="s">
        <v>164</v>
      </c>
      <c r="L438" s="194" t="s">
        <v>662</v>
      </c>
      <c r="M438" s="194" t="s">
        <v>166</v>
      </c>
      <c r="N438" s="208" t="s">
        <v>162</v>
      </c>
      <c r="O438" s="39" t="s">
        <v>18</v>
      </c>
      <c r="P438" s="39" t="s">
        <v>163</v>
      </c>
      <c r="Q438" s="39" t="s">
        <v>164</v>
      </c>
      <c r="R438" s="39" t="s">
        <v>662</v>
      </c>
      <c r="S438" s="39" t="s">
        <v>166</v>
      </c>
      <c r="T438" s="39" t="s">
        <v>183</v>
      </c>
      <c r="U438" s="39" t="s">
        <v>180</v>
      </c>
      <c r="V438" s="39" t="s">
        <v>181</v>
      </c>
      <c r="W438" s="39" t="s">
        <v>182</v>
      </c>
      <c r="X438" s="39" t="s">
        <v>167</v>
      </c>
      <c r="Y438" s="39" t="s">
        <v>510</v>
      </c>
    </row>
    <row r="439" spans="1:33" x14ac:dyDescent="0.25">
      <c r="A439" s="46" t="s">
        <v>169</v>
      </c>
      <c r="B439" s="46"/>
      <c r="C439" s="46" t="s">
        <v>178</v>
      </c>
      <c r="D439" s="46"/>
      <c r="E439" s="46"/>
      <c r="F439" s="46"/>
      <c r="G439" s="46"/>
      <c r="H439" s="194"/>
      <c r="I439" s="194"/>
      <c r="J439" s="195">
        <f>J441+J451+J461</f>
        <v>308</v>
      </c>
      <c r="K439" s="196">
        <f>SUMIFS(K441:K490,C441:C490,C439,A441:A490,"*"&amp;"DE_"&amp;"*")</f>
        <v>391698.39999999997</v>
      </c>
      <c r="L439" s="194"/>
      <c r="M439" s="197">
        <f>SUMIFS(M441:M490,C441:C490,C439,A441:A490,"*"&amp;"DE_"&amp;"*")</f>
        <v>76764.160000000003</v>
      </c>
      <c r="N439" s="203"/>
      <c r="O439" s="203"/>
      <c r="P439" s="204">
        <f>P441+P451+P461</f>
        <v>308</v>
      </c>
      <c r="Q439" s="205">
        <f>SUMIFS(Q441:Q490,C441:C490,C439,A441:A490,"*"&amp;"DE_"&amp;"*")</f>
        <v>5092.0792831999997</v>
      </c>
      <c r="R439" s="203"/>
      <c r="S439" s="205">
        <f>SUMIFS(S441:S490,C441:C490,C439,A441:A490,"*"&amp;"DE_"&amp;"*")</f>
        <v>997.96656000000007</v>
      </c>
      <c r="T439" s="46"/>
      <c r="U439" s="46"/>
      <c r="V439" s="46"/>
      <c r="W439" s="46"/>
      <c r="X439" s="46" t="s">
        <v>479</v>
      </c>
      <c r="Y439">
        <v>74.239999999999995</v>
      </c>
    </row>
    <row r="440" spans="1:33" x14ac:dyDescent="0.25">
      <c r="A440" s="46" t="s">
        <v>169</v>
      </c>
      <c r="B440" s="46"/>
      <c r="C440" s="46" t="s">
        <v>173</v>
      </c>
      <c r="D440" s="46"/>
      <c r="E440" s="46"/>
      <c r="F440" s="46"/>
      <c r="G440" s="46"/>
      <c r="H440" s="194"/>
      <c r="I440" s="194"/>
      <c r="J440" s="195">
        <f>(J442+J452+J462)</f>
        <v>300</v>
      </c>
      <c r="K440" s="196">
        <f>SUMIFS(K441:K490,C441:C490,C440,A441:A490,"*"&amp;"DE_"&amp;"*")</f>
        <v>374169.59999999998</v>
      </c>
      <c r="L440" s="194"/>
      <c r="M440" s="197">
        <f>SUMIFS(M441:M490,C441:C490,C440,A441:A490,"*"&amp;"DE_"&amp;"*")</f>
        <v>69043.200000000012</v>
      </c>
      <c r="N440" s="203"/>
      <c r="O440" s="203"/>
      <c r="P440" s="204">
        <f>(P442+P452+P462)</f>
        <v>300</v>
      </c>
      <c r="Q440" s="205">
        <f>SUMIFS(Q441:Q490,C441:C490,C440,A441:A490,"*"&amp;"DE_"&amp;"*")</f>
        <v>4864.2047999999995</v>
      </c>
      <c r="R440" s="203"/>
      <c r="S440" s="205">
        <f>SUMIFS(S441:S490,C441:C490,C440,A441:A490,"*"&amp;"DE_"&amp;"*")</f>
        <v>897.56999999999994</v>
      </c>
      <c r="T440" s="46"/>
      <c r="U440" s="46"/>
      <c r="V440" s="46"/>
      <c r="W440" s="46"/>
      <c r="X440" s="46"/>
    </row>
    <row r="441" spans="1:33" x14ac:dyDescent="0.25">
      <c r="A441" s="49" t="s">
        <v>170</v>
      </c>
      <c r="B441" s="49"/>
      <c r="C441" s="49" t="s">
        <v>178</v>
      </c>
      <c r="D441" s="49"/>
      <c r="E441" s="49"/>
      <c r="F441" s="49"/>
      <c r="G441" s="49"/>
      <c r="H441" s="194"/>
      <c r="I441" s="194"/>
      <c r="J441" s="195">
        <f>SUMIFS(J443:J450,C443:C450,C441)</f>
        <v>101</v>
      </c>
      <c r="K441" s="196">
        <f>SUMIFS(K443:K450,C443:C450,C441)</f>
        <v>3014.14</v>
      </c>
      <c r="L441" s="194"/>
      <c r="M441" s="197">
        <f>SUMIFS(M443:M450,C443:C450,C441)</f>
        <v>23979.52</v>
      </c>
      <c r="N441" s="203"/>
      <c r="O441" s="203"/>
      <c r="P441" s="204">
        <f>SUMIFS(P443:P450,C443:C450,C441)</f>
        <v>101</v>
      </c>
      <c r="Q441" s="205">
        <f>SUMIFS(Q443:Q450,C443:C450,C441)</f>
        <v>39.183871999999994</v>
      </c>
      <c r="R441" s="203"/>
      <c r="S441" s="205">
        <f>(SUMIFS(S443:S450,C443:C450,C441))</f>
        <v>311.73656</v>
      </c>
      <c r="T441" s="49"/>
      <c r="U441" s="49"/>
      <c r="V441" s="49"/>
      <c r="W441" s="49"/>
      <c r="X441" s="49" t="s">
        <v>478</v>
      </c>
    </row>
    <row r="442" spans="1:33" x14ac:dyDescent="0.25">
      <c r="A442" s="49" t="s">
        <v>170</v>
      </c>
      <c r="B442" s="49"/>
      <c r="C442" s="49" t="s">
        <v>173</v>
      </c>
      <c r="D442" s="49"/>
      <c r="E442" s="49"/>
      <c r="F442" s="49"/>
      <c r="G442" s="49"/>
      <c r="H442" s="194"/>
      <c r="I442" s="194"/>
      <c r="J442" s="195">
        <f>SUMIFS(J443:J450,C443:C450,C442)</f>
        <v>100</v>
      </c>
      <c r="K442" s="196">
        <f>SUMIFS(K443:K450,C443:C450,C442)</f>
        <v>2969.6</v>
      </c>
      <c r="L442" s="194"/>
      <c r="M442" s="197">
        <f>SUMIFS(M443:M450,C443:C450,C442)</f>
        <v>23014.400000000001</v>
      </c>
      <c r="N442" s="203"/>
      <c r="O442" s="203"/>
      <c r="P442" s="204">
        <f>SUMIFS(P443:P450,C443:C450,C442)</f>
        <v>100</v>
      </c>
      <c r="Q442" s="205">
        <f>SUMIFS(Q443:Q450,C443:C450,C442)</f>
        <v>38.604799999999997</v>
      </c>
      <c r="R442" s="203"/>
      <c r="S442" s="205">
        <f>SUMIFS(S443:S450,C443:C450,C442)</f>
        <v>299.19</v>
      </c>
      <c r="T442" s="49"/>
      <c r="U442" s="49"/>
      <c r="V442" s="49"/>
      <c r="W442" s="49"/>
      <c r="X442" s="49"/>
    </row>
    <row r="443" spans="1:33" x14ac:dyDescent="0.25">
      <c r="A443" s="2" t="s">
        <v>500</v>
      </c>
      <c r="B443" s="8"/>
      <c r="C443" s="28" t="s">
        <v>178</v>
      </c>
      <c r="D443" s="28"/>
      <c r="E443" s="28"/>
      <c r="F443" s="167" t="s">
        <v>512</v>
      </c>
      <c r="G443" s="28" t="str">
        <f>CONCATENATE("USD,FLAT ",TEXT(F443,"0.00"))</f>
        <v>USD,FLAT 0.40</v>
      </c>
      <c r="H443" s="200">
        <f>K443/J443</f>
        <v>29.695999999999998</v>
      </c>
      <c r="I443" s="198" t="s">
        <v>22</v>
      </c>
      <c r="J443" s="199">
        <v>100</v>
      </c>
      <c r="K443" s="200">
        <f>ROUND(J443*F443*Y443,2)</f>
        <v>2969.6</v>
      </c>
      <c r="L443" s="198" t="str">
        <f>TEXT(IFERROR(((K443-K444)/K444*100),"0.00"),"0.00")</f>
        <v>0.00</v>
      </c>
      <c r="M443" s="200">
        <f>ROUND((10+J443*3)*Y443,2)</f>
        <v>23014.400000000001</v>
      </c>
      <c r="N443" s="36">
        <f>Q443/P443</f>
        <v>0.38604799999999995</v>
      </c>
      <c r="O443" s="31" t="s">
        <v>22</v>
      </c>
      <c r="P443" s="32">
        <v>100</v>
      </c>
      <c r="Q443" s="36">
        <f>P443*F443*Y443*Z443</f>
        <v>38.604799999999997</v>
      </c>
      <c r="R443" s="31" t="str">
        <f>TEXT(IFERROR(((Q443-Q444)/Q444*100),"0.00"),"0.00")</f>
        <v>0.00</v>
      </c>
      <c r="S443" s="36">
        <f>ROUND(((10+P443*3)*Y443*Z443),2)</f>
        <v>299.19</v>
      </c>
      <c r="T443" s="33" t="s">
        <v>519</v>
      </c>
      <c r="U443" s="28" t="s">
        <v>190</v>
      </c>
      <c r="V443" s="28"/>
      <c r="W443" s="28"/>
      <c r="X443" s="28"/>
      <c r="Y443">
        <v>74.239999999999995</v>
      </c>
      <c r="Z443" s="169" t="s">
        <v>511</v>
      </c>
    </row>
    <row r="444" spans="1:33" x14ac:dyDescent="0.25">
      <c r="A444" s="8"/>
      <c r="B444" s="8"/>
      <c r="C444" s="31" t="s">
        <v>173</v>
      </c>
      <c r="D444" s="31"/>
      <c r="E444" s="31"/>
      <c r="F444" s="206" t="s">
        <v>512</v>
      </c>
      <c r="G444" s="31" t="str">
        <f>CONCATENATE("USD,FLAT ",TEXT(F444,"0.00"))</f>
        <v>USD,FLAT 0.40</v>
      </c>
      <c r="H444" s="200">
        <f>K444/J444</f>
        <v>29.695999999999998</v>
      </c>
      <c r="I444" s="198" t="s">
        <v>22</v>
      </c>
      <c r="J444" s="199">
        <v>100</v>
      </c>
      <c r="K444" s="200">
        <f>ROUND(J444*F444*Y444,2)</f>
        <v>2969.6</v>
      </c>
      <c r="L444" s="198"/>
      <c r="M444" s="200">
        <f>ROUND((10+J444*3)*Y444,2)</f>
        <v>23014.400000000001</v>
      </c>
      <c r="N444" s="36">
        <f>Q444/P444</f>
        <v>0.38604799999999995</v>
      </c>
      <c r="O444" s="31" t="s">
        <v>22</v>
      </c>
      <c r="P444" s="32">
        <v>100</v>
      </c>
      <c r="Q444" s="36">
        <f>P444*F444*Y444*Z444</f>
        <v>38.604799999999997</v>
      </c>
      <c r="R444" s="31"/>
      <c r="S444" s="36">
        <f>ROUND(((10+P444*3)*Y444*Z444),2)</f>
        <v>299.19</v>
      </c>
      <c r="T444" s="31"/>
      <c r="U444" s="31"/>
      <c r="V444" s="31"/>
      <c r="W444" s="31"/>
      <c r="X444" s="31"/>
      <c r="Y444">
        <v>74.239999999999995</v>
      </c>
      <c r="Z444" s="169" t="s">
        <v>511</v>
      </c>
    </row>
    <row r="445" spans="1:33" x14ac:dyDescent="0.25">
      <c r="A445" s="8"/>
      <c r="B445" s="8"/>
      <c r="C445" s="40" t="s">
        <v>174</v>
      </c>
      <c r="D445" s="40"/>
      <c r="E445" s="40"/>
      <c r="F445" s="40"/>
      <c r="G445" s="40"/>
      <c r="H445" s="198"/>
      <c r="I445" s="198"/>
      <c r="J445" s="198"/>
      <c r="K445" s="200"/>
      <c r="L445" s="198"/>
      <c r="M445" s="198"/>
      <c r="N445" s="31"/>
      <c r="O445" s="31"/>
      <c r="P445" s="31"/>
      <c r="Q445" s="31"/>
      <c r="R445" s="31"/>
      <c r="S445" s="31"/>
      <c r="T445" s="40"/>
      <c r="U445" s="40"/>
      <c r="V445" s="40"/>
      <c r="W445" s="40"/>
      <c r="X445" s="40"/>
      <c r="Y445">
        <v>74.239999999999995</v>
      </c>
      <c r="Z445" s="169" t="s">
        <v>511</v>
      </c>
    </row>
    <row r="446" spans="1:33" x14ac:dyDescent="0.25">
      <c r="A446" s="8"/>
      <c r="B446" s="8"/>
      <c r="C446" s="41" t="s">
        <v>175</v>
      </c>
      <c r="D446" s="41"/>
      <c r="E446" s="41"/>
      <c r="F446" s="41"/>
      <c r="G446" s="41"/>
      <c r="H446" s="198"/>
      <c r="I446" s="198"/>
      <c r="J446" s="198"/>
      <c r="K446" s="200"/>
      <c r="L446" s="198"/>
      <c r="M446" s="198"/>
      <c r="N446" s="31"/>
      <c r="O446" s="31"/>
      <c r="P446" s="31"/>
      <c r="Q446" s="31"/>
      <c r="R446" s="31"/>
      <c r="S446" s="31"/>
      <c r="T446" s="41"/>
      <c r="U446" s="41"/>
      <c r="V446" s="41"/>
      <c r="W446" s="41"/>
      <c r="X446" s="41"/>
      <c r="Y446">
        <v>74.239999999999995</v>
      </c>
      <c r="Z446" s="169" t="s">
        <v>511</v>
      </c>
    </row>
    <row r="447" spans="1:33" x14ac:dyDescent="0.25">
      <c r="A447" s="2" t="s">
        <v>501</v>
      </c>
      <c r="B447" s="8"/>
      <c r="C447" s="28" t="s">
        <v>178</v>
      </c>
      <c r="D447" s="28"/>
      <c r="E447" s="28"/>
      <c r="F447" s="167" t="s">
        <v>513</v>
      </c>
      <c r="G447" s="28" t="str">
        <f>CONCATENATE("USD,FLAT ",TEXT(F447,"0.00"))</f>
        <v>USD,FLAT 0.60</v>
      </c>
      <c r="H447" s="200">
        <f>K447/J447</f>
        <v>44.54</v>
      </c>
      <c r="I447" s="198" t="s">
        <v>22</v>
      </c>
      <c r="J447" s="199">
        <v>1</v>
      </c>
      <c r="K447" s="200">
        <f>ROUND(J447*F447*Y447,2)</f>
        <v>44.54</v>
      </c>
      <c r="L447" s="198" t="str">
        <f>TEXT(IFERROR(((K447-K448)/K448*100),"0.00"),"0.00")</f>
        <v>0.00</v>
      </c>
      <c r="M447" s="200">
        <f>ROUND((10+J447*3)*Y447,2)</f>
        <v>965.12</v>
      </c>
      <c r="N447" s="36">
        <f>Q447/P447</f>
        <v>0.57907199999999992</v>
      </c>
      <c r="O447" s="31" t="s">
        <v>22</v>
      </c>
      <c r="P447" s="32">
        <v>1</v>
      </c>
      <c r="Q447" s="36">
        <f>(P447*F447*Y447*Z447)</f>
        <v>0.57907199999999992</v>
      </c>
      <c r="R447" s="31" t="str">
        <f>TEXT(IFERROR(((Q447-Q448)/Q448*100),"0.00"),"0.00")</f>
        <v>0.00</v>
      </c>
      <c r="S447" s="36">
        <f>((10+P447*3)*Y447*Z447)</f>
        <v>12.546559999999998</v>
      </c>
      <c r="T447" s="33" t="s">
        <v>519</v>
      </c>
      <c r="U447" s="28" t="s">
        <v>190</v>
      </c>
      <c r="V447" s="28" t="s">
        <v>476</v>
      </c>
      <c r="W447" s="28"/>
      <c r="X447" s="28"/>
      <c r="Y447">
        <v>74.239999999999995</v>
      </c>
      <c r="Z447" s="169" t="s">
        <v>511</v>
      </c>
    </row>
    <row r="448" spans="1:33" x14ac:dyDescent="0.25">
      <c r="A448" s="8"/>
      <c r="B448" s="8"/>
      <c r="C448" s="31" t="s">
        <v>173</v>
      </c>
      <c r="D448" s="31"/>
      <c r="E448" s="31"/>
      <c r="F448" s="31"/>
      <c r="G448" s="31"/>
      <c r="H448" s="201"/>
      <c r="I448" s="198"/>
      <c r="J448" s="199"/>
      <c r="K448" s="200"/>
      <c r="L448" s="198"/>
      <c r="M448" s="201"/>
      <c r="N448" s="36"/>
      <c r="O448" s="31"/>
      <c r="P448" s="32"/>
      <c r="Q448" s="36"/>
      <c r="R448" s="31"/>
      <c r="S448" s="36"/>
      <c r="T448" s="31"/>
      <c r="U448" s="31"/>
      <c r="V448" s="31"/>
      <c r="W448" s="31"/>
      <c r="X448" s="31"/>
      <c r="Y448">
        <v>74.239999999999995</v>
      </c>
      <c r="Z448" s="169" t="s">
        <v>511</v>
      </c>
    </row>
    <row r="449" spans="1:26" x14ac:dyDescent="0.25">
      <c r="A449" s="8"/>
      <c r="B449" s="8"/>
      <c r="C449" s="40" t="s">
        <v>174</v>
      </c>
      <c r="D449" s="40"/>
      <c r="E449" s="40"/>
      <c r="F449" s="40"/>
      <c r="G449" s="40"/>
      <c r="H449" s="198"/>
      <c r="I449" s="198"/>
      <c r="J449" s="198"/>
      <c r="K449" s="200"/>
      <c r="L449" s="198"/>
      <c r="M449" s="198"/>
      <c r="N449" s="31"/>
      <c r="O449" s="31"/>
      <c r="P449" s="31"/>
      <c r="Q449" s="31"/>
      <c r="R449" s="31"/>
      <c r="S449" s="31"/>
      <c r="T449" s="40"/>
      <c r="U449" s="40"/>
      <c r="V449" s="40"/>
      <c r="W449" s="40"/>
      <c r="X449" s="40"/>
      <c r="Y449">
        <v>74.239999999999995</v>
      </c>
      <c r="Z449" s="169" t="s">
        <v>511</v>
      </c>
    </row>
    <row r="450" spans="1:26" x14ac:dyDescent="0.25">
      <c r="A450" s="8"/>
      <c r="B450" s="8"/>
      <c r="C450" s="41" t="s">
        <v>175</v>
      </c>
      <c r="D450" s="41"/>
      <c r="E450" s="41"/>
      <c r="F450" s="41"/>
      <c r="G450" s="41"/>
      <c r="H450" s="198"/>
      <c r="I450" s="198"/>
      <c r="J450" s="198"/>
      <c r="K450" s="200"/>
      <c r="L450" s="198"/>
      <c r="M450" s="198"/>
      <c r="N450" s="31"/>
      <c r="O450" s="31"/>
      <c r="P450" s="31"/>
      <c r="Q450" s="31"/>
      <c r="R450" s="31"/>
      <c r="S450" s="31"/>
      <c r="T450" s="41"/>
      <c r="U450" s="41"/>
      <c r="V450" s="41"/>
      <c r="W450" s="41"/>
      <c r="X450" s="41"/>
      <c r="Y450">
        <v>74.239999999999995</v>
      </c>
      <c r="Z450" s="169" t="s">
        <v>511</v>
      </c>
    </row>
    <row r="451" spans="1:26" x14ac:dyDescent="0.25">
      <c r="A451" s="49" t="s">
        <v>171</v>
      </c>
      <c r="B451" s="49"/>
      <c r="C451" s="49" t="s">
        <v>178</v>
      </c>
      <c r="D451" s="49"/>
      <c r="E451" s="49"/>
      <c r="F451" s="49"/>
      <c r="G451" s="49"/>
      <c r="H451" s="194"/>
      <c r="I451" s="194"/>
      <c r="J451" s="195">
        <f>SUMIFS(J453:J460,C453:C460,C451)</f>
        <v>2</v>
      </c>
      <c r="K451" s="196">
        <f>SUMIFS(K453:K460,C453:C460,C451)</f>
        <v>8336.41</v>
      </c>
      <c r="L451" s="194"/>
      <c r="M451" s="197">
        <f>SUMIFS(M453:M460,C453:C460,C451)</f>
        <v>1930.24</v>
      </c>
      <c r="N451" s="203"/>
      <c r="O451" s="203"/>
      <c r="P451" s="204">
        <f>SUMIFS(P453:P460,C453:C460,C451)</f>
        <v>2</v>
      </c>
      <c r="Q451" s="205">
        <f>SUMIFS(Q453:Q460,C453:C460,C451)</f>
        <v>108.37332479999999</v>
      </c>
      <c r="R451" s="203"/>
      <c r="S451" s="205">
        <f>(SUMIFS(S453:S460,C453:C460,C451))</f>
        <v>25.1</v>
      </c>
      <c r="T451" s="49"/>
      <c r="U451" s="49"/>
      <c r="V451" s="49"/>
      <c r="W451" s="49"/>
      <c r="X451" s="49"/>
      <c r="Y451">
        <v>74.239999999999995</v>
      </c>
      <c r="Z451" s="169" t="s">
        <v>511</v>
      </c>
    </row>
    <row r="452" spans="1:26" x14ac:dyDescent="0.25">
      <c r="A452" s="49" t="s">
        <v>171</v>
      </c>
      <c r="B452" s="49"/>
      <c r="C452" s="49" t="s">
        <v>173</v>
      </c>
      <c r="D452" s="49"/>
      <c r="E452" s="49"/>
      <c r="F452" s="49"/>
      <c r="G452" s="49"/>
      <c r="H452" s="194"/>
      <c r="I452" s="194"/>
      <c r="J452" s="195">
        <f>SUMIFS(J453:J460,C453:C460,C452)</f>
        <v>0</v>
      </c>
      <c r="K452" s="196">
        <f>SUMIFS(K453:K460,C453:C460,C452)</f>
        <v>0</v>
      </c>
      <c r="L452" s="194"/>
      <c r="M452" s="197">
        <f>SUMIFS(M453:M460,C453:C460,C452)</f>
        <v>0</v>
      </c>
      <c r="N452" s="203"/>
      <c r="O452" s="203"/>
      <c r="P452" s="204">
        <f>SUMIFS(P453:P460,C453:C460,C452)</f>
        <v>0</v>
      </c>
      <c r="Q452" s="205">
        <f>SUMIFS(Q453:Q460,C453:C460,C452)</f>
        <v>0</v>
      </c>
      <c r="R452" s="203"/>
      <c r="S452" s="205">
        <f>SUMIFS(S453:S460,C453:C460,C452)</f>
        <v>0</v>
      </c>
      <c r="T452" s="49"/>
      <c r="U452" s="49"/>
      <c r="V452" s="49"/>
      <c r="W452" s="49"/>
      <c r="X452" s="49"/>
      <c r="Y452">
        <v>74.239999999999995</v>
      </c>
      <c r="Z452" s="169" t="s">
        <v>511</v>
      </c>
    </row>
    <row r="453" spans="1:26" x14ac:dyDescent="0.25">
      <c r="A453" s="2" t="s">
        <v>502</v>
      </c>
      <c r="B453" s="8"/>
      <c r="C453" s="28" t="s">
        <v>178</v>
      </c>
      <c r="D453" s="28"/>
      <c r="E453" s="28"/>
      <c r="F453" s="168" t="s">
        <v>290</v>
      </c>
      <c r="G453" s="28" t="str">
        <f>CONCATENATE("USD,FLAT ",TEXT(F453,"0.00"))</f>
        <v>USD,FLAT 0.25</v>
      </c>
      <c r="H453" s="200">
        <f>K453/J453</f>
        <v>18.559999999999999</v>
      </c>
      <c r="I453" s="198" t="s">
        <v>22</v>
      </c>
      <c r="J453" s="199">
        <v>1</v>
      </c>
      <c r="K453" s="200">
        <f>ROUND(J453*F453*Y453,2)</f>
        <v>18.559999999999999</v>
      </c>
      <c r="L453" s="198" t="str">
        <f>TEXT(IFERROR(((K453-K454)/K454*100),"0.00"),"0.00")</f>
        <v>0.00</v>
      </c>
      <c r="M453" s="200">
        <f>ROUND((10+J453*3)*Y453,2)</f>
        <v>965.12</v>
      </c>
      <c r="N453" s="36">
        <f>Q453/P453</f>
        <v>0.24127999999999997</v>
      </c>
      <c r="O453" s="31" t="s">
        <v>22</v>
      </c>
      <c r="P453" s="32">
        <v>1</v>
      </c>
      <c r="Q453" s="36">
        <f>(P453*F453*Y453*Z453)</f>
        <v>0.24127999999999997</v>
      </c>
      <c r="R453" s="31" t="str">
        <f>TEXT(IFERROR(((Q453-Q454)/Q454*100),"0.00"),"0.00")</f>
        <v>0.00</v>
      </c>
      <c r="S453" s="36">
        <f>ROUND((10+P453*3)*Y453*Z453,2)</f>
        <v>12.55</v>
      </c>
      <c r="T453" s="33" t="s">
        <v>519</v>
      </c>
      <c r="U453" s="28"/>
      <c r="V453" s="28"/>
      <c r="W453" s="28"/>
      <c r="X453" s="28"/>
      <c r="Y453">
        <v>74.239999999999995</v>
      </c>
      <c r="Z453" s="169" t="s">
        <v>511</v>
      </c>
    </row>
    <row r="454" spans="1:26" x14ac:dyDescent="0.25">
      <c r="A454" s="8"/>
      <c r="B454" s="8"/>
      <c r="C454" s="31" t="s">
        <v>173</v>
      </c>
      <c r="D454" s="31"/>
      <c r="E454" s="31"/>
      <c r="F454" s="31"/>
      <c r="G454" s="31"/>
      <c r="H454" s="201"/>
      <c r="I454" s="198"/>
      <c r="J454" s="199"/>
      <c r="K454" s="200"/>
      <c r="L454" s="198"/>
      <c r="M454" s="201"/>
      <c r="N454" s="36"/>
      <c r="O454" s="31"/>
      <c r="P454" s="32"/>
      <c r="Q454" s="38"/>
      <c r="R454" s="31"/>
      <c r="S454" s="36"/>
      <c r="T454" s="31"/>
      <c r="U454" s="31"/>
      <c r="V454" s="31"/>
      <c r="W454" s="31"/>
      <c r="X454" s="31"/>
      <c r="Y454">
        <v>74.239999999999995</v>
      </c>
      <c r="Z454" s="169" t="s">
        <v>511</v>
      </c>
    </row>
    <row r="455" spans="1:26" x14ac:dyDescent="0.25">
      <c r="A455" s="8"/>
      <c r="B455" s="8"/>
      <c r="C455" s="40" t="s">
        <v>174</v>
      </c>
      <c r="D455" s="40"/>
      <c r="E455" s="40"/>
      <c r="F455" s="40"/>
      <c r="G455" s="40"/>
      <c r="H455" s="198"/>
      <c r="I455" s="198"/>
      <c r="J455" s="198"/>
      <c r="K455" s="200"/>
      <c r="L455" s="198"/>
      <c r="M455" s="198"/>
      <c r="N455" s="31"/>
      <c r="O455" s="31"/>
      <c r="P455" s="31"/>
      <c r="Q455" s="38"/>
      <c r="R455" s="31"/>
      <c r="S455" s="31"/>
      <c r="T455" s="40"/>
      <c r="U455" s="40"/>
      <c r="V455" s="40"/>
      <c r="W455" s="40"/>
      <c r="X455" s="40"/>
      <c r="Y455">
        <v>74.239999999999995</v>
      </c>
      <c r="Z455" s="169" t="s">
        <v>511</v>
      </c>
    </row>
    <row r="456" spans="1:26" x14ac:dyDescent="0.25">
      <c r="A456" s="8"/>
      <c r="B456" s="8"/>
      <c r="C456" s="41" t="s">
        <v>175</v>
      </c>
      <c r="D456" s="41"/>
      <c r="E456" s="41"/>
      <c r="F456" s="41"/>
      <c r="G456" s="41"/>
      <c r="H456" s="198"/>
      <c r="I456" s="198"/>
      <c r="J456" s="198"/>
      <c r="K456" s="200"/>
      <c r="L456" s="198"/>
      <c r="M456" s="198"/>
      <c r="N456" s="31"/>
      <c r="O456" s="31"/>
      <c r="P456" s="31"/>
      <c r="Q456" s="38"/>
      <c r="R456" s="31"/>
      <c r="S456" s="31"/>
      <c r="T456" s="41"/>
      <c r="U456" s="41"/>
      <c r="V456" s="41"/>
      <c r="W456" s="41"/>
      <c r="X456" s="41"/>
      <c r="Y456">
        <v>74.239999999999995</v>
      </c>
      <c r="Z456" s="169" t="s">
        <v>511</v>
      </c>
    </row>
    <row r="457" spans="1:26" x14ac:dyDescent="0.25">
      <c r="A457" s="2" t="s">
        <v>503</v>
      </c>
      <c r="B457" s="8"/>
      <c r="C457" s="28" t="s">
        <v>178</v>
      </c>
      <c r="D457" s="28"/>
      <c r="E457" s="28"/>
      <c r="F457" s="29">
        <v>112.04</v>
      </c>
      <c r="G457" s="28" t="str">
        <f>CONCATENATE("USD,FLAT ",TEXT(F457,"0.00"))</f>
        <v>USD,FLAT 112.04</v>
      </c>
      <c r="H457" s="200">
        <f>K457/J457</f>
        <v>8317.85</v>
      </c>
      <c r="I457" s="198" t="s">
        <v>22</v>
      </c>
      <c r="J457" s="199">
        <v>1</v>
      </c>
      <c r="K457" s="200">
        <f>ROUND(J457*F457*Y457,2)</f>
        <v>8317.85</v>
      </c>
      <c r="L457" s="198" t="str">
        <f>TEXT(IFERROR(((K457-K458)/K458*100),"0.00"),"0.00")</f>
        <v>0.00</v>
      </c>
      <c r="M457" s="200">
        <f>ROUND((10+J457*3)*Y457,2)</f>
        <v>965.12</v>
      </c>
      <c r="N457" s="36">
        <f>Q457/P457</f>
        <v>108.13204479999999</v>
      </c>
      <c r="O457" s="31" t="s">
        <v>22</v>
      </c>
      <c r="P457" s="32">
        <v>1</v>
      </c>
      <c r="Q457" s="36">
        <f>P457*F457*Y457*Z457</f>
        <v>108.13204479999999</v>
      </c>
      <c r="R457" s="31" t="str">
        <f>TEXT(IFERROR(((Q457-Q458)/Q458*100),"0.00"),"0.00")</f>
        <v>0.00</v>
      </c>
      <c r="S457" s="36">
        <f>ROUND((10+P457*3)*Y457*Z457,2)</f>
        <v>12.55</v>
      </c>
      <c r="T457" s="33" t="s">
        <v>519</v>
      </c>
      <c r="U457" s="28" t="s">
        <v>190</v>
      </c>
      <c r="V457" s="28" t="s">
        <v>473</v>
      </c>
      <c r="W457" s="28" t="s">
        <v>637</v>
      </c>
      <c r="X457" s="28"/>
      <c r="Y457">
        <v>74.239999999999995</v>
      </c>
      <c r="Z457" s="169" t="s">
        <v>511</v>
      </c>
    </row>
    <row r="458" spans="1:26" x14ac:dyDescent="0.25">
      <c r="A458" s="8"/>
      <c r="B458" s="8"/>
      <c r="C458" s="31" t="s">
        <v>173</v>
      </c>
      <c r="D458" s="31"/>
      <c r="E458" s="31"/>
      <c r="F458" s="31"/>
      <c r="G458" s="31"/>
      <c r="H458" s="201"/>
      <c r="I458" s="198"/>
      <c r="J458" s="199"/>
      <c r="K458" s="200"/>
      <c r="L458" s="198"/>
      <c r="M458" s="198"/>
      <c r="N458" s="36"/>
      <c r="O458" s="31"/>
      <c r="P458" s="32"/>
      <c r="Q458" s="38"/>
      <c r="R458" s="31"/>
      <c r="S458" s="31"/>
      <c r="T458" s="31"/>
      <c r="U458" s="31"/>
      <c r="V458" s="31"/>
      <c r="W458" s="31"/>
      <c r="X458" s="31"/>
      <c r="Y458">
        <v>74.239999999999995</v>
      </c>
      <c r="Z458" s="169" t="s">
        <v>511</v>
      </c>
    </row>
    <row r="459" spans="1:26" x14ac:dyDescent="0.25">
      <c r="A459" s="8"/>
      <c r="B459" s="8"/>
      <c r="C459" s="40" t="s">
        <v>174</v>
      </c>
      <c r="D459" s="40"/>
      <c r="E459" s="40"/>
      <c r="F459" s="40"/>
      <c r="G459" s="40"/>
      <c r="H459" s="198"/>
      <c r="I459" s="198"/>
      <c r="J459" s="198"/>
      <c r="K459" s="200"/>
      <c r="L459" s="198"/>
      <c r="M459" s="198"/>
      <c r="N459" s="31"/>
      <c r="O459" s="31"/>
      <c r="P459" s="31"/>
      <c r="Q459" s="38"/>
      <c r="R459" s="31"/>
      <c r="S459" s="31"/>
      <c r="T459" s="40"/>
      <c r="U459" s="40"/>
      <c r="V459" s="40"/>
      <c r="W459" s="40"/>
      <c r="X459" s="40"/>
      <c r="Y459">
        <v>74.239999999999995</v>
      </c>
      <c r="Z459" s="169" t="s">
        <v>511</v>
      </c>
    </row>
    <row r="460" spans="1:26" x14ac:dyDescent="0.25">
      <c r="A460" s="8"/>
      <c r="B460" s="8"/>
      <c r="C460" s="41" t="s">
        <v>175</v>
      </c>
      <c r="D460" s="41"/>
      <c r="E460" s="41"/>
      <c r="F460" s="41"/>
      <c r="G460" s="41"/>
      <c r="H460" s="198"/>
      <c r="I460" s="198"/>
      <c r="J460" s="198"/>
      <c r="K460" s="200"/>
      <c r="L460" s="198"/>
      <c r="M460" s="198"/>
      <c r="N460" s="31"/>
      <c r="O460" s="31"/>
      <c r="P460" s="31"/>
      <c r="Q460" s="38"/>
      <c r="R460" s="31"/>
      <c r="S460" s="31"/>
      <c r="T460" s="41"/>
      <c r="U460" s="41"/>
      <c r="V460" s="41"/>
      <c r="W460" s="41"/>
      <c r="X460" s="41"/>
      <c r="Y460">
        <v>74.239999999999995</v>
      </c>
      <c r="Z460" s="169" t="s">
        <v>511</v>
      </c>
    </row>
    <row r="461" spans="1:26" x14ac:dyDescent="0.25">
      <c r="A461" s="49" t="s">
        <v>630</v>
      </c>
      <c r="B461" s="49"/>
      <c r="C461" s="49" t="s">
        <v>178</v>
      </c>
      <c r="D461" s="49"/>
      <c r="E461" s="49"/>
      <c r="F461" s="49"/>
      <c r="G461" s="49"/>
      <c r="H461" s="194"/>
      <c r="I461" s="194"/>
      <c r="J461" s="195">
        <f>SUMIFS(J463:J490,C463:C490,C461)</f>
        <v>205</v>
      </c>
      <c r="K461" s="196">
        <f>SUMIFS(K463:K490,C463:C490,C461)</f>
        <v>380347.85</v>
      </c>
      <c r="L461" s="194"/>
      <c r="M461" s="197">
        <f>SUMIFS(M463:M490,C463:C490,C461)</f>
        <v>50854.400000000001</v>
      </c>
      <c r="N461" s="203"/>
      <c r="O461" s="203"/>
      <c r="P461" s="204">
        <f>SUMIFS(P463:P490,C463:C490,C461)</f>
        <v>205</v>
      </c>
      <c r="Q461" s="205">
        <f>SUMIFS(Q463:Q490,C463:C490,C461)</f>
        <v>4944.5220863999994</v>
      </c>
      <c r="R461" s="203"/>
      <c r="S461" s="205">
        <f>SUMIFS(S463:S490,C463:C490,C461)</f>
        <v>661.13</v>
      </c>
      <c r="T461" s="49"/>
      <c r="U461" s="49"/>
      <c r="V461" s="49"/>
      <c r="W461" s="49"/>
      <c r="X461" s="49"/>
      <c r="Y461">
        <v>74.239999999999995</v>
      </c>
      <c r="Z461" s="169" t="s">
        <v>511</v>
      </c>
    </row>
    <row r="462" spans="1:26" x14ac:dyDescent="0.25">
      <c r="A462" s="49" t="s">
        <v>630</v>
      </c>
      <c r="B462" s="49"/>
      <c r="C462" s="49" t="s">
        <v>173</v>
      </c>
      <c r="D462" s="49"/>
      <c r="E462" s="49"/>
      <c r="F462" s="49"/>
      <c r="G462" s="49"/>
      <c r="H462" s="194"/>
      <c r="I462" s="194"/>
      <c r="J462" s="195">
        <f>SUMIFS(J463:J490,C463:C490,C462)</f>
        <v>200</v>
      </c>
      <c r="K462" s="196">
        <f>SUMIFS(K463:K490,C463:C490,C462)</f>
        <v>371200</v>
      </c>
      <c r="L462" s="194"/>
      <c r="M462" s="197">
        <f>SUMIFS(M463:M490,C463:C490,C462)</f>
        <v>46028.800000000003</v>
      </c>
      <c r="N462" s="203"/>
      <c r="O462" s="203"/>
      <c r="P462" s="204">
        <f>SUMIFS(P463:P490,C463:C490,C462)</f>
        <v>200</v>
      </c>
      <c r="Q462" s="205">
        <f>SUMIFS(Q463:Q490,C463:C490,C462)</f>
        <v>4825.5999999999995</v>
      </c>
      <c r="R462" s="203"/>
      <c r="S462" s="205">
        <f>SUMIFS(S463:S490,C463:C490,C462)</f>
        <v>598.38</v>
      </c>
      <c r="T462" s="49"/>
      <c r="U462" s="49"/>
      <c r="V462" s="49"/>
      <c r="W462" s="49"/>
      <c r="X462" s="49"/>
      <c r="Y462">
        <v>74.239999999999995</v>
      </c>
      <c r="Z462" s="169" t="s">
        <v>511</v>
      </c>
    </row>
    <row r="463" spans="1:26" x14ac:dyDescent="0.25">
      <c r="A463" s="209" t="s">
        <v>598</v>
      </c>
      <c r="B463" s="8"/>
      <c r="C463" s="28" t="s">
        <v>178</v>
      </c>
      <c r="D463" s="28"/>
      <c r="E463" s="28"/>
      <c r="F463" s="233">
        <v>23.22</v>
      </c>
      <c r="G463" s="28" t="str">
        <f>CONCATENATE("USD,FLAT ",TEXT(F463,"0.00"))</f>
        <v>USD,FLAT 23.22</v>
      </c>
      <c r="H463" s="200">
        <f>K463/J463</f>
        <v>1723.85</v>
      </c>
      <c r="I463" s="198" t="s">
        <v>22</v>
      </c>
      <c r="J463" s="199">
        <v>1</v>
      </c>
      <c r="K463" s="200">
        <f>ROUND(J463*F463*Y463,2)</f>
        <v>1723.85</v>
      </c>
      <c r="L463" s="198" t="str">
        <f>TEXT(IFERROR(((K463-K464)/K464*100),"0.00"),"0.00")</f>
        <v>0.00</v>
      </c>
      <c r="M463" s="200">
        <f>ROUND((10+J463*3)*Y463,2)</f>
        <v>965.12</v>
      </c>
      <c r="N463" s="36">
        <f>Q463/P463</f>
        <v>22.410086399999997</v>
      </c>
      <c r="O463" s="31" t="s">
        <v>22</v>
      </c>
      <c r="P463" s="32">
        <v>1</v>
      </c>
      <c r="Q463" s="36">
        <f>P463*F463*Y463*Z463</f>
        <v>22.410086399999997</v>
      </c>
      <c r="R463" s="31" t="str">
        <f>TEXT(IFERROR(((Q463-Q464)/Q464*100),"0.00"),"0.00")</f>
        <v>0.00</v>
      </c>
      <c r="S463" s="36">
        <f>ROUND((10+P463*3)*Y463*Z463,2)</f>
        <v>12.55</v>
      </c>
      <c r="T463" s="33" t="s">
        <v>634</v>
      </c>
      <c r="U463" s="28" t="s">
        <v>190</v>
      </c>
      <c r="V463" s="28" t="s">
        <v>473</v>
      </c>
      <c r="W463" s="28" t="s">
        <v>637</v>
      </c>
      <c r="X463" s="28"/>
      <c r="Y463">
        <v>74.239999999999995</v>
      </c>
      <c r="Z463" s="169" t="s">
        <v>511</v>
      </c>
    </row>
    <row r="464" spans="1:26" x14ac:dyDescent="0.25">
      <c r="A464" s="8"/>
      <c r="B464" s="8"/>
      <c r="C464" s="31" t="s">
        <v>173</v>
      </c>
      <c r="D464" s="31"/>
      <c r="E464" s="31"/>
      <c r="F464" s="31"/>
      <c r="G464" s="31"/>
      <c r="H464" s="201"/>
      <c r="I464" s="198"/>
      <c r="J464" s="199"/>
      <c r="K464" s="200"/>
      <c r="L464" s="198"/>
      <c r="M464" s="201"/>
      <c r="N464" s="36"/>
      <c r="O464" s="31"/>
      <c r="P464" s="32"/>
      <c r="Q464" s="38"/>
      <c r="R464" s="31"/>
      <c r="S464" s="36"/>
      <c r="T464" s="31"/>
      <c r="U464" s="31"/>
      <c r="V464" s="31"/>
      <c r="W464" s="31"/>
      <c r="X464" s="31"/>
      <c r="Y464">
        <v>74.239999999999995</v>
      </c>
      <c r="Z464" s="169" t="s">
        <v>511</v>
      </c>
    </row>
    <row r="465" spans="1:26" x14ac:dyDescent="0.25">
      <c r="A465" s="8"/>
      <c r="B465" s="8"/>
      <c r="C465" s="40" t="s">
        <v>174</v>
      </c>
      <c r="D465" s="40"/>
      <c r="E465" s="40"/>
      <c r="F465" s="40"/>
      <c r="G465" s="40"/>
      <c r="H465" s="198"/>
      <c r="I465" s="198"/>
      <c r="J465" s="198"/>
      <c r="K465" s="200"/>
      <c r="L465" s="198"/>
      <c r="M465" s="198"/>
      <c r="N465" s="31"/>
      <c r="O465" s="31"/>
      <c r="P465" s="31"/>
      <c r="Q465" s="38"/>
      <c r="R465" s="31"/>
      <c r="S465" s="31"/>
      <c r="T465" s="40"/>
      <c r="U465" s="40"/>
      <c r="V465" s="40"/>
      <c r="W465" s="40"/>
      <c r="X465" s="40"/>
      <c r="Y465">
        <v>74.239999999999995</v>
      </c>
      <c r="Z465" s="169" t="s">
        <v>511</v>
      </c>
    </row>
    <row r="466" spans="1:26" x14ac:dyDescent="0.25">
      <c r="A466" s="237"/>
      <c r="B466" s="237"/>
      <c r="C466" s="232" t="s">
        <v>175</v>
      </c>
      <c r="D466" s="232"/>
      <c r="E466" s="232"/>
      <c r="F466" s="233">
        <v>23.22</v>
      </c>
      <c r="G466" s="232" t="str">
        <f>CONCATENATE("USD,FLAT ",TEXT(F466,"0.00"))</f>
        <v>USD,FLAT 23.22</v>
      </c>
      <c r="H466" s="234">
        <f>K466/J466</f>
        <v>1723.85</v>
      </c>
      <c r="I466" s="232" t="s">
        <v>22</v>
      </c>
      <c r="J466" s="235">
        <v>1</v>
      </c>
      <c r="K466" s="234">
        <f>ROUND(J466*F466*Y466,2)</f>
        <v>1723.85</v>
      </c>
      <c r="L466" s="232" t="str">
        <f>TEXT(IFERROR(((K466-K465)/K465*100),"0.00"),"0.00")</f>
        <v>0.00</v>
      </c>
      <c r="M466" s="234"/>
      <c r="N466" s="236">
        <f>Q466/P466</f>
        <v>22.410086399999997</v>
      </c>
      <c r="O466" s="232" t="s">
        <v>22</v>
      </c>
      <c r="P466" s="235">
        <v>1</v>
      </c>
      <c r="Q466" s="236">
        <f>P466*F466*Y466*Z466</f>
        <v>22.410086399999997</v>
      </c>
      <c r="R466" s="232" t="str">
        <f>TEXT(IFERROR(((Q466-Q465)/Q465*100),"0.00"),"0.00")</f>
        <v>0.00</v>
      </c>
      <c r="S466" s="236"/>
      <c r="T466" s="33" t="s">
        <v>634</v>
      </c>
      <c r="U466" s="28" t="s">
        <v>190</v>
      </c>
      <c r="V466" s="28" t="s">
        <v>473</v>
      </c>
      <c r="W466" s="28" t="s">
        <v>637</v>
      </c>
      <c r="X466" s="28"/>
      <c r="Y466">
        <v>74.239999999999995</v>
      </c>
      <c r="Z466" s="169" t="s">
        <v>511</v>
      </c>
    </row>
    <row r="467" spans="1:26" x14ac:dyDescent="0.25">
      <c r="A467" s="8" t="s">
        <v>590</v>
      </c>
      <c r="B467" s="8"/>
      <c r="C467" s="28" t="s">
        <v>178</v>
      </c>
      <c r="D467" s="28"/>
      <c r="E467" s="28"/>
      <c r="F467" s="168">
        <v>25</v>
      </c>
      <c r="G467" s="28" t="str">
        <f>CONCATENATE("USD,FLAT ",TEXT(F467,"0.00"))</f>
        <v>USD,FLAT 25.00</v>
      </c>
      <c r="H467" s="200">
        <f>K467/J467</f>
        <v>1856</v>
      </c>
      <c r="I467" s="198" t="s">
        <v>22</v>
      </c>
      <c r="J467" s="199">
        <v>1</v>
      </c>
      <c r="K467" s="200">
        <f>ROUND(J467*F467*Y467,2)</f>
        <v>1856</v>
      </c>
      <c r="L467" s="198" t="str">
        <f>TEXT(IFERROR(((K467-K468)/K468*100),"0.00"),"0.00")</f>
        <v>0.00</v>
      </c>
      <c r="M467" s="200">
        <f>ROUND((10+J467*3)*Y467,2)</f>
        <v>965.12</v>
      </c>
      <c r="N467" s="36">
        <f>Q467/P467</f>
        <v>24.127999999999997</v>
      </c>
      <c r="O467" s="31" t="s">
        <v>22</v>
      </c>
      <c r="P467" s="32">
        <v>1</v>
      </c>
      <c r="Q467" s="36">
        <f>P467*F467*Y467*Z467</f>
        <v>24.127999999999997</v>
      </c>
      <c r="R467" s="31" t="str">
        <f>TEXT(IFERROR(((Q467-Q468)/Q468*100),"0.00"),"0.00")</f>
        <v>0.00</v>
      </c>
      <c r="S467" s="36">
        <f>ROUND((10+P467*3)*Y467*Z467,2)</f>
        <v>12.55</v>
      </c>
      <c r="T467" s="33" t="s">
        <v>635</v>
      </c>
      <c r="U467" s="28" t="s">
        <v>190</v>
      </c>
      <c r="V467" s="28" t="s">
        <v>473</v>
      </c>
      <c r="W467" s="28" t="s">
        <v>637</v>
      </c>
      <c r="X467" s="28"/>
      <c r="Y467">
        <v>74.239999999999995</v>
      </c>
      <c r="Z467" s="169" t="s">
        <v>511</v>
      </c>
    </row>
    <row r="468" spans="1:26" x14ac:dyDescent="0.25">
      <c r="A468" s="8"/>
      <c r="B468" s="8"/>
      <c r="C468" s="31" t="s">
        <v>173</v>
      </c>
      <c r="D468" s="31"/>
      <c r="E468" s="31"/>
      <c r="F468" s="31"/>
      <c r="G468" s="31"/>
      <c r="H468" s="201"/>
      <c r="I468" s="198"/>
      <c r="J468" s="199"/>
      <c r="K468" s="200"/>
      <c r="L468" s="198"/>
      <c r="M468" s="201"/>
      <c r="N468" s="36"/>
      <c r="O468" s="31"/>
      <c r="P468" s="32"/>
      <c r="Q468" s="38"/>
      <c r="R468" s="31"/>
      <c r="S468" s="36"/>
      <c r="T468" s="31"/>
      <c r="U468" s="31"/>
      <c r="V468" s="31"/>
      <c r="W468" s="31"/>
      <c r="X468" s="31"/>
      <c r="Y468">
        <v>74.239999999999995</v>
      </c>
      <c r="Z468" s="169" t="s">
        <v>511</v>
      </c>
    </row>
    <row r="469" spans="1:26" x14ac:dyDescent="0.25">
      <c r="A469" s="8"/>
      <c r="B469" s="8"/>
      <c r="C469" s="40" t="s">
        <v>174</v>
      </c>
      <c r="D469" s="40"/>
      <c r="E469" s="40"/>
      <c r="F469" s="40"/>
      <c r="G469" s="40"/>
      <c r="H469" s="198"/>
      <c r="I469" s="198"/>
      <c r="J469" s="198"/>
      <c r="K469" s="200"/>
      <c r="L469" s="198"/>
      <c r="M469" s="198"/>
      <c r="N469" s="31"/>
      <c r="O469" s="31"/>
      <c r="P469" s="31"/>
      <c r="Q469" s="38"/>
      <c r="R469" s="31"/>
      <c r="S469" s="31"/>
      <c r="T469" s="40"/>
      <c r="U469" s="40"/>
      <c r="V469" s="40"/>
      <c r="W469" s="40"/>
      <c r="X469" s="40"/>
      <c r="Y469">
        <v>74.239999999999995</v>
      </c>
      <c r="Z469" s="169" t="s">
        <v>511</v>
      </c>
    </row>
    <row r="470" spans="1:26" x14ac:dyDescent="0.25">
      <c r="A470" s="8"/>
      <c r="B470" s="8"/>
      <c r="C470" s="41" t="s">
        <v>175</v>
      </c>
      <c r="D470" s="41"/>
      <c r="E470" s="41"/>
      <c r="F470" s="41"/>
      <c r="G470" s="41"/>
      <c r="H470" s="198"/>
      <c r="I470" s="198"/>
      <c r="J470" s="198"/>
      <c r="K470" s="200"/>
      <c r="L470" s="198"/>
      <c r="M470" s="198"/>
      <c r="N470" s="31"/>
      <c r="O470" s="31"/>
      <c r="P470" s="31"/>
      <c r="Q470" s="38"/>
      <c r="R470" s="31"/>
      <c r="S470" s="31"/>
      <c r="T470" s="41"/>
      <c r="U470" s="41"/>
      <c r="V470" s="41"/>
      <c r="W470" s="41"/>
      <c r="X470" s="41"/>
      <c r="Y470">
        <v>74.239999999999995</v>
      </c>
      <c r="Z470" s="169" t="s">
        <v>511</v>
      </c>
    </row>
    <row r="471" spans="1:26" x14ac:dyDescent="0.25">
      <c r="A471" s="2" t="s">
        <v>591</v>
      </c>
      <c r="B471" s="8"/>
      <c r="C471" s="28" t="s">
        <v>178</v>
      </c>
      <c r="D471" s="28"/>
      <c r="E471" s="28"/>
      <c r="F471" s="168">
        <v>25</v>
      </c>
      <c r="G471" s="28" t="str">
        <f>CONCATENATE("USD,FLAT ",TEXT(F471,"0.00"))</f>
        <v>USD,FLAT 25.00</v>
      </c>
      <c r="H471" s="200">
        <f>K471/J471</f>
        <v>1856</v>
      </c>
      <c r="I471" s="198" t="s">
        <v>22</v>
      </c>
      <c r="J471" s="199">
        <v>1</v>
      </c>
      <c r="K471" s="200">
        <f>ROUND(J471*F471*Y471,2)</f>
        <v>1856</v>
      </c>
      <c r="L471" s="198" t="str">
        <f>TEXT(IFERROR(((K471-K472)/K472*100),"0.00"),"0.00")</f>
        <v>0.00</v>
      </c>
      <c r="M471" s="200">
        <f>ROUND((10+J471*3)*Y471,2)</f>
        <v>965.12</v>
      </c>
      <c r="N471" s="36">
        <f>Q471/P471</f>
        <v>24.127999999999997</v>
      </c>
      <c r="O471" s="31" t="s">
        <v>22</v>
      </c>
      <c r="P471" s="32">
        <v>1</v>
      </c>
      <c r="Q471" s="36">
        <f>P471*F471*Y471*Z471</f>
        <v>24.127999999999997</v>
      </c>
      <c r="R471" s="31" t="str">
        <f>TEXT(IFERROR(((Q471-Q472)/Q472*100),"0.00"),"0.00")</f>
        <v>0.00</v>
      </c>
      <c r="S471" s="36">
        <f>ROUND((10+P471*3)*Y471*Z471,2)</f>
        <v>12.55</v>
      </c>
      <c r="T471" s="33" t="s">
        <v>635</v>
      </c>
      <c r="U471" s="28" t="s">
        <v>190</v>
      </c>
      <c r="V471" s="28" t="s">
        <v>473</v>
      </c>
      <c r="W471" s="28" t="s">
        <v>637</v>
      </c>
      <c r="X471" s="28"/>
      <c r="Y471">
        <v>74.239999999999995</v>
      </c>
      <c r="Z471" s="169" t="s">
        <v>511</v>
      </c>
    </row>
    <row r="472" spans="1:26" x14ac:dyDescent="0.25">
      <c r="A472" s="8"/>
      <c r="B472" s="8"/>
      <c r="C472" s="31" t="s">
        <v>173</v>
      </c>
      <c r="D472" s="31"/>
      <c r="E472" s="31"/>
      <c r="F472" s="31"/>
      <c r="G472" s="31"/>
      <c r="H472" s="201"/>
      <c r="I472" s="198"/>
      <c r="J472" s="199"/>
      <c r="K472" s="200"/>
      <c r="L472" s="198"/>
      <c r="M472" s="201"/>
      <c r="N472" s="36"/>
      <c r="O472" s="31"/>
      <c r="P472" s="32"/>
      <c r="Q472" s="38"/>
      <c r="R472" s="31"/>
      <c r="S472" s="36"/>
      <c r="T472" s="31"/>
      <c r="U472" s="31"/>
      <c r="V472" s="31"/>
      <c r="W472" s="31"/>
      <c r="X472" s="31"/>
      <c r="Y472">
        <v>74.239999999999995</v>
      </c>
      <c r="Z472" s="169" t="s">
        <v>511</v>
      </c>
    </row>
    <row r="473" spans="1:26" x14ac:dyDescent="0.25">
      <c r="A473" s="8"/>
      <c r="B473" s="8"/>
      <c r="C473" s="40" t="s">
        <v>174</v>
      </c>
      <c r="D473" s="40"/>
      <c r="E473" s="40"/>
      <c r="F473" s="40"/>
      <c r="G473" s="40"/>
      <c r="H473" s="198"/>
      <c r="I473" s="198"/>
      <c r="J473" s="198"/>
      <c r="K473" s="200"/>
      <c r="L473" s="198"/>
      <c r="M473" s="198"/>
      <c r="N473" s="31"/>
      <c r="O473" s="31"/>
      <c r="P473" s="31"/>
      <c r="Q473" s="38"/>
      <c r="R473" s="31"/>
      <c r="S473" s="31"/>
      <c r="T473" s="40"/>
      <c r="U473" s="40"/>
      <c r="V473" s="40"/>
      <c r="W473" s="40"/>
      <c r="X473" s="40"/>
      <c r="Y473">
        <v>74.239999999999995</v>
      </c>
      <c r="Z473" s="169" t="s">
        <v>511</v>
      </c>
    </row>
    <row r="474" spans="1:26" x14ac:dyDescent="0.25">
      <c r="A474" s="8"/>
      <c r="B474" s="8"/>
      <c r="C474" s="41" t="s">
        <v>175</v>
      </c>
      <c r="D474" s="41"/>
      <c r="E474" s="41"/>
      <c r="F474" s="41"/>
      <c r="G474" s="41"/>
      <c r="H474" s="198"/>
      <c r="I474" s="198"/>
      <c r="J474" s="198"/>
      <c r="K474" s="200"/>
      <c r="L474" s="198"/>
      <c r="M474" s="198"/>
      <c r="N474" s="31"/>
      <c r="O474" s="31"/>
      <c r="P474" s="31"/>
      <c r="Q474" s="38"/>
      <c r="R474" s="31"/>
      <c r="S474" s="31"/>
      <c r="T474" s="41"/>
      <c r="U474" s="41"/>
      <c r="V474" s="41"/>
      <c r="W474" s="41"/>
      <c r="X474" s="41"/>
      <c r="Y474">
        <v>74.239999999999995</v>
      </c>
      <c r="Z474" s="169" t="s">
        <v>511</v>
      </c>
    </row>
    <row r="475" spans="1:26" x14ac:dyDescent="0.25">
      <c r="A475" s="209" t="s">
        <v>599</v>
      </c>
      <c r="B475" s="8"/>
      <c r="C475" s="28" t="s">
        <v>178</v>
      </c>
      <c r="D475" s="28"/>
      <c r="E475" s="28"/>
      <c r="F475" s="168">
        <v>25</v>
      </c>
      <c r="G475" s="28" t="str">
        <f>CONCATENATE("USD,FLAT ",TEXT(F475,"0.00"))</f>
        <v>USD,FLAT 25.00</v>
      </c>
      <c r="H475" s="200">
        <f>K475/J475</f>
        <v>1856</v>
      </c>
      <c r="I475" s="198" t="s">
        <v>22</v>
      </c>
      <c r="J475" s="199">
        <v>1</v>
      </c>
      <c r="K475" s="200">
        <f>ROUND(J475*F475*Y475,2)</f>
        <v>1856</v>
      </c>
      <c r="L475" s="198" t="str">
        <f>TEXT(IFERROR(((K475-K476)/K476*100),"0.00"),"0.00")</f>
        <v>0.00</v>
      </c>
      <c r="M475" s="200">
        <f>ROUND((10+J475*3)*Y475,2)</f>
        <v>965.12</v>
      </c>
      <c r="N475" s="36">
        <f>Q475/P475</f>
        <v>24.127999999999997</v>
      </c>
      <c r="O475" s="31" t="s">
        <v>22</v>
      </c>
      <c r="P475" s="32">
        <v>1</v>
      </c>
      <c r="Q475" s="36">
        <f>P475*F475*Y475*Z475</f>
        <v>24.127999999999997</v>
      </c>
      <c r="R475" s="31" t="str">
        <f>TEXT(IFERROR(((Q475-Q476)/Q476*100),"0.00"),"0.00")</f>
        <v>0.00</v>
      </c>
      <c r="S475" s="36">
        <f>ROUND((10+P475*3)*Y475*Z475,2)</f>
        <v>12.55</v>
      </c>
      <c r="T475" s="33" t="s">
        <v>634</v>
      </c>
      <c r="U475" s="28" t="s">
        <v>190</v>
      </c>
      <c r="V475" s="28" t="s">
        <v>473</v>
      </c>
      <c r="W475" s="28" t="s">
        <v>637</v>
      </c>
      <c r="X475" s="28"/>
      <c r="Y475">
        <v>74.239999999999995</v>
      </c>
      <c r="Z475" s="169" t="s">
        <v>511</v>
      </c>
    </row>
    <row r="476" spans="1:26" x14ac:dyDescent="0.25">
      <c r="A476" s="8"/>
      <c r="B476" s="8"/>
      <c r="C476" s="31" t="s">
        <v>173</v>
      </c>
      <c r="D476" s="31"/>
      <c r="E476" s="31"/>
      <c r="F476" s="31"/>
      <c r="G476" s="31"/>
      <c r="H476" s="201"/>
      <c r="I476" s="198"/>
      <c r="J476" s="199"/>
      <c r="K476" s="200"/>
      <c r="L476" s="198"/>
      <c r="M476" s="201"/>
      <c r="N476" s="36"/>
      <c r="O476" s="31"/>
      <c r="P476" s="32"/>
      <c r="Q476" s="38"/>
      <c r="R476" s="31"/>
      <c r="S476" s="36"/>
      <c r="T476" s="31"/>
      <c r="U476" s="31"/>
      <c r="V476" s="31"/>
      <c r="W476" s="31"/>
      <c r="X476" s="31"/>
      <c r="Y476">
        <v>74.239999999999995</v>
      </c>
      <c r="Z476" s="169" t="s">
        <v>511</v>
      </c>
    </row>
    <row r="477" spans="1:26" x14ac:dyDescent="0.25">
      <c r="A477" s="8"/>
      <c r="B477" s="8"/>
      <c r="C477" s="40" t="s">
        <v>174</v>
      </c>
      <c r="D477" s="40"/>
      <c r="E477" s="40"/>
      <c r="F477" s="40"/>
      <c r="G477" s="40"/>
      <c r="H477" s="198"/>
      <c r="I477" s="198"/>
      <c r="J477" s="198"/>
      <c r="K477" s="200"/>
      <c r="L477" s="198"/>
      <c r="M477" s="198"/>
      <c r="N477" s="31"/>
      <c r="O477" s="31"/>
      <c r="P477" s="31"/>
      <c r="Q477" s="38"/>
      <c r="R477" s="31"/>
      <c r="S477" s="31"/>
      <c r="T477" s="40"/>
      <c r="U477" s="40"/>
      <c r="V477" s="40"/>
      <c r="W477" s="40"/>
      <c r="X477" s="40"/>
      <c r="Y477">
        <v>74.239999999999995</v>
      </c>
      <c r="Z477" s="169" t="s">
        <v>511</v>
      </c>
    </row>
    <row r="478" spans="1:26" x14ac:dyDescent="0.25">
      <c r="A478" s="8"/>
      <c r="B478" s="8"/>
      <c r="C478" s="41" t="s">
        <v>175</v>
      </c>
      <c r="D478" s="41"/>
      <c r="E478" s="41"/>
      <c r="F478" s="41"/>
      <c r="G478" s="41"/>
      <c r="H478" s="198"/>
      <c r="I478" s="198"/>
      <c r="J478" s="198"/>
      <c r="K478" s="200"/>
      <c r="L478" s="198"/>
      <c r="M478" s="198"/>
      <c r="N478" s="31"/>
      <c r="O478" s="31"/>
      <c r="P478" s="31"/>
      <c r="Q478" s="38"/>
      <c r="R478" s="31"/>
      <c r="S478" s="31"/>
      <c r="T478" s="41"/>
      <c r="U478" s="41"/>
      <c r="V478" s="41"/>
      <c r="W478" s="41"/>
      <c r="X478" s="41"/>
      <c r="Y478">
        <v>74.239999999999995</v>
      </c>
      <c r="Z478" s="169" t="s">
        <v>511</v>
      </c>
    </row>
    <row r="479" spans="1:26" x14ac:dyDescent="0.25">
      <c r="A479" s="209" t="s">
        <v>631</v>
      </c>
      <c r="B479" s="8"/>
      <c r="C479" s="28" t="s">
        <v>178</v>
      </c>
      <c r="D479" s="28"/>
      <c r="E479" s="28"/>
      <c r="F479" s="168">
        <v>25</v>
      </c>
      <c r="G479" s="28" t="str">
        <f>CONCATENATE("USD,FLAT ",TEXT(F479,"0.00"))</f>
        <v>USD,FLAT 25.00</v>
      </c>
      <c r="H479" s="200">
        <f>K479/J479</f>
        <v>1856</v>
      </c>
      <c r="I479" s="198" t="s">
        <v>22</v>
      </c>
      <c r="J479" s="199">
        <v>1</v>
      </c>
      <c r="K479" s="200">
        <f>ROUND(J479*F479*Y479,2)</f>
        <v>1856</v>
      </c>
      <c r="L479" s="198" t="str">
        <f>TEXT(IFERROR(((K479-K480)/K480*100),"0.00"),"0.00")</f>
        <v>0.00</v>
      </c>
      <c r="M479" s="200">
        <f>ROUND((10+J479*3)*Y479,2)</f>
        <v>965.12</v>
      </c>
      <c r="N479" s="36">
        <f>Q479/P479</f>
        <v>24.127999999999997</v>
      </c>
      <c r="O479" s="31" t="s">
        <v>22</v>
      </c>
      <c r="P479" s="32">
        <v>1</v>
      </c>
      <c r="Q479" s="36">
        <f>P479*F479*Y479*Z479</f>
        <v>24.127999999999997</v>
      </c>
      <c r="R479" s="31" t="str">
        <f>TEXT(IFERROR(((Q479-Q480)/Q480*100),"0.00"),"0.00")</f>
        <v>0.00</v>
      </c>
      <c r="S479" s="36">
        <f>ROUND((10+P479*3)*Y479*Z479,2)</f>
        <v>12.55</v>
      </c>
      <c r="T479" s="33" t="s">
        <v>634</v>
      </c>
      <c r="U479" s="28" t="s">
        <v>190</v>
      </c>
      <c r="V479" s="28" t="s">
        <v>473</v>
      </c>
      <c r="W479" s="28" t="s">
        <v>637</v>
      </c>
      <c r="X479" s="28"/>
      <c r="Y479">
        <v>74.239999999999995</v>
      </c>
      <c r="Z479" s="169" t="s">
        <v>511</v>
      </c>
    </row>
    <row r="480" spans="1:26" x14ac:dyDescent="0.25">
      <c r="A480" s="8"/>
      <c r="B480" s="8"/>
      <c r="C480" s="31" t="s">
        <v>173</v>
      </c>
      <c r="D480" s="31"/>
      <c r="E480" s="31"/>
      <c r="F480" s="31"/>
      <c r="G480" s="31"/>
      <c r="H480" s="201"/>
      <c r="I480" s="198"/>
      <c r="J480" s="199"/>
      <c r="K480" s="200"/>
      <c r="L480" s="198"/>
      <c r="M480" s="201"/>
      <c r="N480" s="36"/>
      <c r="O480" s="31"/>
      <c r="P480" s="32"/>
      <c r="Q480" s="36"/>
      <c r="R480" s="31"/>
      <c r="S480" s="36"/>
      <c r="T480" s="31"/>
      <c r="U480" s="31"/>
      <c r="V480" s="31"/>
      <c r="W480" s="31"/>
      <c r="X480" s="31"/>
      <c r="Y480">
        <v>74.239999999999995</v>
      </c>
      <c r="Z480" s="169" t="s">
        <v>511</v>
      </c>
    </row>
    <row r="481" spans="1:26" x14ac:dyDescent="0.25">
      <c r="A481" s="8"/>
      <c r="B481" s="8"/>
      <c r="C481" s="40" t="s">
        <v>174</v>
      </c>
      <c r="D481" s="40"/>
      <c r="E481" s="40"/>
      <c r="F481" s="40"/>
      <c r="G481" s="40"/>
      <c r="H481" s="198"/>
      <c r="I481" s="198"/>
      <c r="J481" s="198"/>
      <c r="K481" s="200"/>
      <c r="L481" s="198"/>
      <c r="M481" s="198"/>
      <c r="N481" s="31"/>
      <c r="O481" s="31"/>
      <c r="P481" s="31"/>
      <c r="Q481" s="38"/>
      <c r="R481" s="31"/>
      <c r="S481" s="31"/>
      <c r="T481" s="40"/>
      <c r="U481" s="40"/>
      <c r="V481" s="40"/>
      <c r="W481" s="40"/>
      <c r="X481" s="40"/>
      <c r="Y481">
        <v>74.239999999999995</v>
      </c>
      <c r="Z481" s="169" t="s">
        <v>511</v>
      </c>
    </row>
    <row r="482" spans="1:26" x14ac:dyDescent="0.25">
      <c r="A482" s="8"/>
      <c r="B482" s="8"/>
      <c r="C482" s="41" t="s">
        <v>175</v>
      </c>
      <c r="D482" s="41"/>
      <c r="E482" s="41"/>
      <c r="F482" s="41"/>
      <c r="G482" s="41"/>
      <c r="H482" s="198"/>
      <c r="I482" s="198"/>
      <c r="J482" s="198"/>
      <c r="K482" s="200"/>
      <c r="L482" s="198"/>
      <c r="M482" s="198"/>
      <c r="N482" s="31"/>
      <c r="O482" s="31"/>
      <c r="P482" s="31"/>
      <c r="Q482" s="38"/>
      <c r="R482" s="31"/>
      <c r="S482" s="31"/>
      <c r="T482" s="41"/>
      <c r="U482" s="41"/>
      <c r="V482" s="41"/>
      <c r="W482" s="41"/>
      <c r="X482" s="41"/>
      <c r="Y482">
        <v>74.239999999999995</v>
      </c>
      <c r="Z482" s="169" t="s">
        <v>511</v>
      </c>
    </row>
    <row r="483" spans="1:26" x14ac:dyDescent="0.25">
      <c r="A483" s="2" t="s">
        <v>632</v>
      </c>
      <c r="B483" s="8"/>
      <c r="C483" s="28" t="s">
        <v>178</v>
      </c>
      <c r="D483" s="28"/>
      <c r="E483" s="28"/>
      <c r="F483" s="168">
        <v>25</v>
      </c>
      <c r="G483" s="28" t="str">
        <f>CONCATENATE("USD,FLAT ",TEXT(F483,"0.00"))</f>
        <v>USD,FLAT 25.00</v>
      </c>
      <c r="H483" s="200">
        <f>K483/J483</f>
        <v>1856</v>
      </c>
      <c r="I483" s="198" t="s">
        <v>22</v>
      </c>
      <c r="J483" s="199">
        <v>100</v>
      </c>
      <c r="K483" s="200">
        <f>ROUND(J483*F483*Y483,2)</f>
        <v>185600</v>
      </c>
      <c r="L483" s="198" t="str">
        <f>TEXT(IFERROR(((K483-K484)/K484*100),"0.00"),"0.00")</f>
        <v>0.00</v>
      </c>
      <c r="M483" s="200">
        <f>ROUND((10+J483*3)*Y483,2)</f>
        <v>23014.400000000001</v>
      </c>
      <c r="N483" s="36">
        <f>Q483/P483</f>
        <v>24.127999999999997</v>
      </c>
      <c r="O483" s="31" t="s">
        <v>22</v>
      </c>
      <c r="P483" s="32">
        <v>100</v>
      </c>
      <c r="Q483" s="36">
        <f>P483*F483*Y483*Z483</f>
        <v>2412.7999999999997</v>
      </c>
      <c r="R483" s="31" t="str">
        <f>TEXT(IFERROR(((Q483-Q484)/Q484*100),"0.00"),"0.00")</f>
        <v>0.00</v>
      </c>
      <c r="S483" s="36">
        <f>ROUND((10+P483*3)*Y483*Z483,2)</f>
        <v>299.19</v>
      </c>
      <c r="T483" s="33" t="s">
        <v>636</v>
      </c>
      <c r="U483" s="28" t="s">
        <v>190</v>
      </c>
      <c r="V483" s="28" t="s">
        <v>473</v>
      </c>
      <c r="W483" s="28" t="s">
        <v>637</v>
      </c>
      <c r="X483" s="28"/>
      <c r="Y483">
        <v>74.239999999999995</v>
      </c>
      <c r="Z483" s="169" t="s">
        <v>511</v>
      </c>
    </row>
    <row r="484" spans="1:26" x14ac:dyDescent="0.25">
      <c r="A484" s="8"/>
      <c r="B484" s="8"/>
      <c r="C484" s="31" t="s">
        <v>173</v>
      </c>
      <c r="D484" s="31"/>
      <c r="E484" s="31"/>
      <c r="F484" s="31">
        <v>25</v>
      </c>
      <c r="G484" s="31" t="str">
        <f>CONCATENATE("USD,FLAT ",TEXT(F484,"0.00"))</f>
        <v>USD,FLAT 25.00</v>
      </c>
      <c r="H484" s="200">
        <f>K484/J484</f>
        <v>1856</v>
      </c>
      <c r="I484" s="198" t="s">
        <v>22</v>
      </c>
      <c r="J484" s="199">
        <v>100</v>
      </c>
      <c r="K484" s="200">
        <f>ROUND(J484*F484*Y484,2)</f>
        <v>185600</v>
      </c>
      <c r="L484" s="198"/>
      <c r="M484" s="200">
        <f>ROUND((10+J484*3)*Y484,2)</f>
        <v>23014.400000000001</v>
      </c>
      <c r="N484" s="36">
        <f>Q484/P484</f>
        <v>24.127999999999997</v>
      </c>
      <c r="O484" s="31" t="s">
        <v>22</v>
      </c>
      <c r="P484" s="32">
        <v>100</v>
      </c>
      <c r="Q484" s="36">
        <f>P484*F484*Y484*Z484</f>
        <v>2412.7999999999997</v>
      </c>
      <c r="R484" s="31"/>
      <c r="S484" s="36">
        <f>ROUND(((10+P484*3)*Y484*Z484),2)</f>
        <v>299.19</v>
      </c>
      <c r="T484" s="31"/>
      <c r="U484" s="31"/>
      <c r="V484" s="31"/>
      <c r="W484" s="31"/>
      <c r="X484" s="31"/>
      <c r="Y484">
        <v>74.239999999999995</v>
      </c>
      <c r="Z484" s="169" t="s">
        <v>511</v>
      </c>
    </row>
    <row r="485" spans="1:26" x14ac:dyDescent="0.25">
      <c r="A485" s="8"/>
      <c r="B485" s="8"/>
      <c r="C485" s="40" t="s">
        <v>174</v>
      </c>
      <c r="D485" s="40"/>
      <c r="E485" s="40"/>
      <c r="F485" s="40"/>
      <c r="G485" s="40"/>
      <c r="H485" s="198"/>
      <c r="I485" s="198"/>
      <c r="J485" s="198"/>
      <c r="K485" s="200"/>
      <c r="L485" s="198"/>
      <c r="M485" s="198"/>
      <c r="N485" s="31"/>
      <c r="O485" s="31"/>
      <c r="P485" s="31"/>
      <c r="Q485" s="38"/>
      <c r="R485" s="31"/>
      <c r="S485" s="31"/>
      <c r="T485" s="40"/>
      <c r="U485" s="40"/>
      <c r="V485" s="40"/>
      <c r="W485" s="40"/>
      <c r="X485" s="40"/>
      <c r="Y485">
        <v>74.239999999999995</v>
      </c>
      <c r="Z485" s="169" t="s">
        <v>511</v>
      </c>
    </row>
    <row r="486" spans="1:26" x14ac:dyDescent="0.25">
      <c r="A486" s="8"/>
      <c r="B486" s="8"/>
      <c r="C486" s="41" t="s">
        <v>175</v>
      </c>
      <c r="D486" s="41"/>
      <c r="E486" s="41"/>
      <c r="F486" s="41"/>
      <c r="G486" s="41"/>
      <c r="H486" s="198"/>
      <c r="I486" s="198"/>
      <c r="J486" s="198"/>
      <c r="K486" s="200"/>
      <c r="L486" s="198"/>
      <c r="M486" s="198"/>
      <c r="N486" s="31"/>
      <c r="O486" s="31"/>
      <c r="P486" s="31"/>
      <c r="Q486" s="38"/>
      <c r="R486" s="31"/>
      <c r="S486" s="31"/>
      <c r="T486" s="41"/>
      <c r="U486" s="41"/>
      <c r="V486" s="41"/>
      <c r="W486" s="41"/>
      <c r="X486" s="41"/>
      <c r="Y486">
        <v>74.239999999999995</v>
      </c>
      <c r="Z486" s="169" t="s">
        <v>511</v>
      </c>
    </row>
    <row r="487" spans="1:26" x14ac:dyDescent="0.25">
      <c r="A487" s="2" t="s">
        <v>633</v>
      </c>
      <c r="B487" s="8"/>
      <c r="C487" s="28" t="s">
        <v>178</v>
      </c>
      <c r="D487" s="28"/>
      <c r="E487" s="28"/>
      <c r="F487" s="168">
        <v>25</v>
      </c>
      <c r="G487" s="28" t="str">
        <f>CONCATENATE("USD,FLAT ",TEXT(F487,"0.00"))</f>
        <v>USD,FLAT 25.00</v>
      </c>
      <c r="H487" s="200">
        <f>K487/J487</f>
        <v>1856</v>
      </c>
      <c r="I487" s="198" t="s">
        <v>22</v>
      </c>
      <c r="J487" s="199">
        <v>100</v>
      </c>
      <c r="K487" s="200">
        <f>ROUND(J487*F487*Y487,2)</f>
        <v>185600</v>
      </c>
      <c r="L487" s="198" t="str">
        <f>TEXT(IFERROR(((K487-K488)/K488*100),"0.00"),"0.00")</f>
        <v>0.00</v>
      </c>
      <c r="M487" s="200">
        <f>ROUND((10+J487*3)*Y487,2)</f>
        <v>23014.400000000001</v>
      </c>
      <c r="N487" s="36">
        <f>Q487/P487</f>
        <v>24.127999999999997</v>
      </c>
      <c r="O487" s="31" t="s">
        <v>22</v>
      </c>
      <c r="P487" s="32">
        <v>100</v>
      </c>
      <c r="Q487" s="36">
        <f>P487*F487*Y487*Z487</f>
        <v>2412.7999999999997</v>
      </c>
      <c r="R487" s="31" t="str">
        <f>TEXT(IFERROR(((Q487-Q488)/Q488*100),"0.00"),"0.00")</f>
        <v>0.00</v>
      </c>
      <c r="S487" s="36">
        <f>ROUND((10+P487*3)*Y487*Z487,2)</f>
        <v>299.19</v>
      </c>
      <c r="T487" s="33" t="s">
        <v>636</v>
      </c>
      <c r="U487" s="28" t="s">
        <v>190</v>
      </c>
      <c r="V487" s="28" t="s">
        <v>473</v>
      </c>
      <c r="W487" s="28" t="s">
        <v>637</v>
      </c>
      <c r="X487" s="28"/>
      <c r="Y487">
        <v>74.239999999999995</v>
      </c>
      <c r="Z487" s="169" t="s">
        <v>511</v>
      </c>
    </row>
    <row r="488" spans="1:26" x14ac:dyDescent="0.25">
      <c r="A488" s="8"/>
      <c r="B488" s="8"/>
      <c r="C488" s="31" t="s">
        <v>173</v>
      </c>
      <c r="D488" s="31"/>
      <c r="E488" s="31"/>
      <c r="F488" s="31">
        <v>25</v>
      </c>
      <c r="G488" s="31" t="str">
        <f>CONCATENATE("USD,FLAT ",TEXT(F488,"0.00"))</f>
        <v>USD,FLAT 25.00</v>
      </c>
      <c r="H488" s="200">
        <f>K488/J488</f>
        <v>1856</v>
      </c>
      <c r="I488" s="198" t="s">
        <v>22</v>
      </c>
      <c r="J488" s="199">
        <v>100</v>
      </c>
      <c r="K488" s="200">
        <f>ROUND(J488*F488*Y488,2)</f>
        <v>185600</v>
      </c>
      <c r="L488" s="198"/>
      <c r="M488" s="200">
        <f>ROUND((10+J488*3)*Y488,2)</f>
        <v>23014.400000000001</v>
      </c>
      <c r="N488" s="36">
        <f>Q488/P488</f>
        <v>24.127999999999997</v>
      </c>
      <c r="O488" s="31" t="s">
        <v>22</v>
      </c>
      <c r="P488" s="32">
        <v>100</v>
      </c>
      <c r="Q488" s="36">
        <f>P488*F488*Y488*Z488</f>
        <v>2412.7999999999997</v>
      </c>
      <c r="R488" s="31"/>
      <c r="S488" s="36">
        <f>ROUND(((10+P488*3)*Y488*Z488),2)</f>
        <v>299.19</v>
      </c>
      <c r="T488" s="31"/>
      <c r="U488" s="31"/>
      <c r="V488" s="31"/>
      <c r="W488" s="31"/>
      <c r="X488" s="31"/>
      <c r="Y488">
        <v>74.239999999999995</v>
      </c>
      <c r="Z488" s="169" t="s">
        <v>511</v>
      </c>
    </row>
    <row r="489" spans="1:26" x14ac:dyDescent="0.25">
      <c r="A489" s="8"/>
      <c r="B489" s="8"/>
      <c r="C489" s="40" t="s">
        <v>174</v>
      </c>
      <c r="D489" s="40"/>
      <c r="E489" s="40"/>
      <c r="F489" s="40"/>
      <c r="G489" s="40"/>
      <c r="H489" s="198"/>
      <c r="I489" s="198"/>
      <c r="J489" s="198"/>
      <c r="K489" s="200"/>
      <c r="L489" s="198"/>
      <c r="M489" s="198"/>
      <c r="N489" s="31"/>
      <c r="O489" s="31"/>
      <c r="P489" s="31"/>
      <c r="Q489" s="38"/>
      <c r="R489" s="31"/>
      <c r="S489" s="31"/>
      <c r="T489" s="40"/>
      <c r="U489" s="40"/>
      <c r="V489" s="40"/>
      <c r="W489" s="40"/>
      <c r="X489" s="40"/>
      <c r="Y489">
        <v>74.239999999999995</v>
      </c>
      <c r="Z489" s="169" t="s">
        <v>511</v>
      </c>
    </row>
    <row r="490" spans="1:26" x14ac:dyDescent="0.25">
      <c r="A490" s="8"/>
      <c r="B490" s="8"/>
      <c r="C490" s="41" t="s">
        <v>175</v>
      </c>
      <c r="D490" s="41"/>
      <c r="E490" s="41"/>
      <c r="F490" s="41"/>
      <c r="G490" s="41"/>
      <c r="H490" s="198"/>
      <c r="I490" s="198"/>
      <c r="J490" s="198"/>
      <c r="K490" s="200"/>
      <c r="L490" s="198"/>
      <c r="M490" s="198"/>
      <c r="N490" s="31"/>
      <c r="O490" s="31"/>
      <c r="P490" s="31"/>
      <c r="Q490" s="38"/>
      <c r="R490" s="31"/>
      <c r="S490" s="31"/>
      <c r="T490" s="41"/>
      <c r="U490" s="41"/>
      <c r="V490" s="41"/>
      <c r="W490" s="41"/>
      <c r="X490" s="41"/>
      <c r="Y490">
        <v>74.239999999999995</v>
      </c>
      <c r="Z490" s="169" t="s">
        <v>511</v>
      </c>
    </row>
    <row r="491" spans="1:26" x14ac:dyDescent="0.25">
      <c r="Z491" s="176"/>
    </row>
    <row r="492" spans="1:26" x14ac:dyDescent="0.25">
      <c r="A492" s="324" t="s">
        <v>644</v>
      </c>
      <c r="B492" s="325"/>
      <c r="C492" s="325"/>
      <c r="D492" s="325"/>
      <c r="E492" s="325"/>
      <c r="F492" s="325"/>
      <c r="Z492" s="176"/>
    </row>
    <row r="493" spans="1:26" x14ac:dyDescent="0.25">
      <c r="A493" s="202"/>
      <c r="B493" s="202"/>
      <c r="C493" s="378" t="s">
        <v>641</v>
      </c>
      <c r="D493" s="354"/>
      <c r="E493" s="354"/>
      <c r="F493" s="379"/>
      <c r="G493" s="380" t="s">
        <v>651</v>
      </c>
      <c r="H493" s="381"/>
      <c r="I493" s="381"/>
      <c r="J493" s="382"/>
      <c r="K493" s="322" t="s">
        <v>692</v>
      </c>
      <c r="L493" s="322"/>
      <c r="M493" s="322"/>
      <c r="N493" s="322"/>
      <c r="Z493" s="176"/>
    </row>
    <row r="494" spans="1:26" x14ac:dyDescent="0.25">
      <c r="A494" s="373" t="s">
        <v>565</v>
      </c>
      <c r="B494" s="22"/>
      <c r="C494" s="331" t="s">
        <v>640</v>
      </c>
      <c r="D494" s="333"/>
      <c r="E494" s="334" t="s">
        <v>202</v>
      </c>
      <c r="F494" s="336"/>
      <c r="G494" s="331" t="s">
        <v>640</v>
      </c>
      <c r="H494" s="333"/>
      <c r="I494" s="334" t="s">
        <v>202</v>
      </c>
      <c r="J494" s="336"/>
      <c r="K494" s="323" t="s">
        <v>641</v>
      </c>
      <c r="L494" s="323"/>
      <c r="M494" s="323" t="s">
        <v>693</v>
      </c>
      <c r="N494" s="323"/>
      <c r="Z494" s="176"/>
    </row>
    <row r="495" spans="1:26" x14ac:dyDescent="0.25">
      <c r="A495" s="374"/>
      <c r="B495" s="22" t="s">
        <v>663</v>
      </c>
      <c r="C495" s="216" t="s">
        <v>638</v>
      </c>
      <c r="D495" s="216" t="s">
        <v>639</v>
      </c>
      <c r="E495" s="215" t="s">
        <v>638</v>
      </c>
      <c r="F495" s="215" t="s">
        <v>639</v>
      </c>
      <c r="G495" s="216" t="s">
        <v>638</v>
      </c>
      <c r="H495" s="216" t="s">
        <v>639</v>
      </c>
      <c r="I495" s="215" t="s">
        <v>638</v>
      </c>
      <c r="J495" s="215" t="s">
        <v>639</v>
      </c>
      <c r="K495" s="238" t="s">
        <v>638</v>
      </c>
      <c r="L495" s="238" t="s">
        <v>694</v>
      </c>
      <c r="M495" s="238" t="s">
        <v>638</v>
      </c>
      <c r="N495" s="238" t="s">
        <v>694</v>
      </c>
      <c r="Z495" s="176"/>
    </row>
    <row r="496" spans="1:26" x14ac:dyDescent="0.25">
      <c r="A496" s="298" t="s">
        <v>578</v>
      </c>
      <c r="B496" s="212" t="str">
        <f>TEXT(IFERROR(((C496-E496)/E496*100),"0.00"),"0.00")</f>
        <v>0.00</v>
      </c>
      <c r="C496" s="284" t="s">
        <v>843</v>
      </c>
      <c r="D496" s="284" t="s">
        <v>787</v>
      </c>
      <c r="E496" s="284" t="s">
        <v>819</v>
      </c>
      <c r="F496" s="284" t="s">
        <v>819</v>
      </c>
      <c r="G496" s="285" t="s">
        <v>803</v>
      </c>
      <c r="H496" s="285" t="s">
        <v>814</v>
      </c>
      <c r="I496" s="285" t="s">
        <v>820</v>
      </c>
      <c r="J496" s="285" t="s">
        <v>820</v>
      </c>
      <c r="K496" s="286" t="s">
        <v>801</v>
      </c>
      <c r="L496" s="286" t="s">
        <v>791</v>
      </c>
      <c r="M496" s="286" t="s">
        <v>802</v>
      </c>
      <c r="N496" s="286" t="s">
        <v>791</v>
      </c>
      <c r="R496" s="143" t="s">
        <v>587</v>
      </c>
      <c r="S496" s="143" t="s">
        <v>588</v>
      </c>
      <c r="T496" s="143" t="s">
        <v>589</v>
      </c>
      <c r="Z496" s="176"/>
    </row>
    <row r="497" spans="1:33" x14ac:dyDescent="0.25">
      <c r="A497" s="298" t="s">
        <v>581</v>
      </c>
      <c r="B497" s="212" t="str">
        <f>TEXT(IFERROR(((C497-E497)/E497*100),"0.00"),"0.00")</f>
        <v>0.00</v>
      </c>
      <c r="C497" s="284" t="s">
        <v>792</v>
      </c>
      <c r="D497" s="284" t="s">
        <v>793</v>
      </c>
      <c r="E497" s="284" t="s">
        <v>819</v>
      </c>
      <c r="F497" s="284" t="s">
        <v>819</v>
      </c>
      <c r="G497" s="285" t="s">
        <v>803</v>
      </c>
      <c r="H497" s="285" t="s">
        <v>815</v>
      </c>
      <c r="I497" s="285" t="s">
        <v>820</v>
      </c>
      <c r="J497" s="285" t="s">
        <v>820</v>
      </c>
      <c r="K497" s="286" t="s">
        <v>792</v>
      </c>
      <c r="L497" s="286" t="s">
        <v>791</v>
      </c>
      <c r="M497" s="286" t="s">
        <v>803</v>
      </c>
      <c r="N497" s="286" t="s">
        <v>791</v>
      </c>
      <c r="R497" s="143" t="s">
        <v>590</v>
      </c>
      <c r="S497" s="143" t="s">
        <v>591</v>
      </c>
      <c r="T497" s="177"/>
      <c r="Z497" s="176"/>
    </row>
    <row r="498" spans="1:33" x14ac:dyDescent="0.25">
      <c r="A498" s="298" t="s">
        <v>584</v>
      </c>
      <c r="B498" s="212" t="str">
        <f>TEXT(IFERROR(((C498-E498)/E498*100),"0.00"),"0.00")</f>
        <v>0.00</v>
      </c>
      <c r="C498" s="284" t="s">
        <v>795</v>
      </c>
      <c r="D498" s="284" t="s">
        <v>796</v>
      </c>
      <c r="E498" s="284" t="s">
        <v>795</v>
      </c>
      <c r="F498" s="284" t="s">
        <v>796</v>
      </c>
      <c r="G498" s="285" t="s">
        <v>804</v>
      </c>
      <c r="H498" s="285" t="s">
        <v>816</v>
      </c>
      <c r="I498" s="285" t="s">
        <v>804</v>
      </c>
      <c r="J498" s="285" t="s">
        <v>816</v>
      </c>
      <c r="K498" s="286" t="s">
        <v>795</v>
      </c>
      <c r="L498" s="286" t="s">
        <v>791</v>
      </c>
      <c r="M498" s="286" t="s">
        <v>804</v>
      </c>
      <c r="N498" s="286" t="s">
        <v>791</v>
      </c>
      <c r="R498" s="143" t="s">
        <v>592</v>
      </c>
      <c r="S498" s="143" t="s">
        <v>593</v>
      </c>
      <c r="T498" s="177"/>
      <c r="Z498" s="176"/>
    </row>
    <row r="499" spans="1:33" x14ac:dyDescent="0.25">
      <c r="Z499" s="176"/>
    </row>
    <row r="500" spans="1:33" x14ac:dyDescent="0.25">
      <c r="A500" s="347" t="s">
        <v>197</v>
      </c>
      <c r="B500" s="348"/>
      <c r="C500" s="348"/>
      <c r="D500" s="348"/>
      <c r="E500" s="348"/>
      <c r="F500" s="348"/>
      <c r="G500" s="348"/>
      <c r="H500" s="348"/>
    </row>
    <row r="501" spans="1:33" x14ac:dyDescent="0.25">
      <c r="A501" s="349" t="s">
        <v>1</v>
      </c>
      <c r="B501" s="349" t="s">
        <v>649</v>
      </c>
      <c r="C501" s="350" t="s">
        <v>181</v>
      </c>
      <c r="D501" s="351" t="s">
        <v>664</v>
      </c>
      <c r="E501" s="354" t="s">
        <v>641</v>
      </c>
      <c r="F501" s="354"/>
      <c r="G501" s="354"/>
      <c r="H501" s="354"/>
      <c r="I501" s="355" t="s">
        <v>650</v>
      </c>
      <c r="J501" s="355"/>
      <c r="K501" s="355"/>
      <c r="L501" s="355"/>
    </row>
    <row r="502" spans="1:33" x14ac:dyDescent="0.25">
      <c r="A502" s="326"/>
      <c r="B502" s="326"/>
      <c r="C502" s="328"/>
      <c r="D502" s="352"/>
      <c r="E502" s="331" t="s">
        <v>648</v>
      </c>
      <c r="F502" s="333"/>
      <c r="G502" s="334" t="s">
        <v>202</v>
      </c>
      <c r="H502" s="336"/>
      <c r="I502" s="331" t="s">
        <v>648</v>
      </c>
      <c r="J502" s="333"/>
      <c r="K502" s="334" t="s">
        <v>202</v>
      </c>
      <c r="L502" s="336"/>
    </row>
    <row r="503" spans="1:33" x14ac:dyDescent="0.25">
      <c r="A503" s="327"/>
      <c r="B503" s="327" t="s">
        <v>0</v>
      </c>
      <c r="C503" s="329"/>
      <c r="D503" s="353"/>
      <c r="E503" s="216" t="s">
        <v>203</v>
      </c>
      <c r="F503" s="216" t="s">
        <v>204</v>
      </c>
      <c r="G503" s="215" t="s">
        <v>193</v>
      </c>
      <c r="H503" s="215" t="s">
        <v>194</v>
      </c>
      <c r="I503" s="216" t="s">
        <v>203</v>
      </c>
      <c r="J503" s="216" t="s">
        <v>204</v>
      </c>
      <c r="K503" s="215" t="s">
        <v>193</v>
      </c>
      <c r="L503" s="215" t="s">
        <v>194</v>
      </c>
    </row>
    <row r="504" spans="1:33" x14ac:dyDescent="0.25">
      <c r="A504" s="19" t="str">
        <f>C4</f>
        <v>CurrConv_Cust1Auto,IND</v>
      </c>
      <c r="B504" s="21" t="s">
        <v>13</v>
      </c>
      <c r="C504" s="19" t="s">
        <v>195</v>
      </c>
      <c r="D504" s="21" t="s">
        <v>829</v>
      </c>
      <c r="E504" s="279" t="s">
        <v>844</v>
      </c>
      <c r="F504" s="280" t="s">
        <v>768</v>
      </c>
      <c r="G504" s="280" t="s">
        <v>770</v>
      </c>
      <c r="H504" s="280" t="s">
        <v>769</v>
      </c>
      <c r="I504" s="290" t="s">
        <v>845</v>
      </c>
      <c r="J504" s="290" t="s">
        <v>779</v>
      </c>
      <c r="K504" s="285" t="s">
        <v>776</v>
      </c>
      <c r="L504" s="285" t="s">
        <v>777</v>
      </c>
      <c r="AF504" s="251" t="s">
        <v>747</v>
      </c>
      <c r="AG504" s="251" t="s">
        <v>286</v>
      </c>
    </row>
    <row r="505" spans="1:33" x14ac:dyDescent="0.25">
      <c r="A505" s="19" t="str">
        <f>A196</f>
        <v>External Account Identifier - ACCT_IND_02</v>
      </c>
      <c r="B505" s="21" t="s">
        <v>13</v>
      </c>
      <c r="C505" s="19" t="s">
        <v>195</v>
      </c>
      <c r="D505" s="21" t="s">
        <v>829</v>
      </c>
      <c r="E505" s="279" t="s">
        <v>844</v>
      </c>
      <c r="F505" s="280" t="s">
        <v>768</v>
      </c>
      <c r="G505" s="280" t="s">
        <v>770</v>
      </c>
      <c r="H505" s="280" t="s">
        <v>769</v>
      </c>
      <c r="I505" s="290" t="s">
        <v>845</v>
      </c>
      <c r="J505" s="290" t="s">
        <v>779</v>
      </c>
      <c r="K505" s="285" t="s">
        <v>776</v>
      </c>
      <c r="L505" s="285" t="s">
        <v>777</v>
      </c>
      <c r="AF505" s="251" t="s">
        <v>747</v>
      </c>
      <c r="AG505" s="251" t="s">
        <v>744</v>
      </c>
    </row>
    <row r="507" spans="1:33" x14ac:dyDescent="0.25">
      <c r="A507" s="324" t="s">
        <v>645</v>
      </c>
      <c r="B507" s="325"/>
      <c r="C507" s="325"/>
      <c r="D507" s="325"/>
      <c r="E507" s="325"/>
      <c r="F507" s="325"/>
      <c r="Z507" s="176"/>
    </row>
    <row r="508" spans="1:33" x14ac:dyDescent="0.25">
      <c r="A508" s="339" t="s">
        <v>565</v>
      </c>
      <c r="B508" s="339" t="s">
        <v>448</v>
      </c>
      <c r="C508" s="383" t="s">
        <v>646</v>
      </c>
      <c r="D508" s="340" t="s">
        <v>641</v>
      </c>
      <c r="E508" s="340"/>
      <c r="F508" s="340"/>
      <c r="G508" s="340"/>
      <c r="H508" s="340"/>
      <c r="I508" s="340"/>
      <c r="J508" s="340"/>
      <c r="K508" s="340"/>
      <c r="L508" s="341" t="s">
        <v>652</v>
      </c>
      <c r="M508" s="342"/>
      <c r="N508" s="342"/>
      <c r="O508" s="342"/>
      <c r="P508" s="342"/>
      <c r="Q508" s="342"/>
      <c r="R508" s="342"/>
      <c r="S508" s="342"/>
      <c r="T508" s="343" t="s">
        <v>665</v>
      </c>
      <c r="U508" s="323" t="s">
        <v>695</v>
      </c>
      <c r="V508" s="323"/>
      <c r="W508" s="323"/>
      <c r="X508" s="323"/>
      <c r="Y508" s="323"/>
      <c r="Z508" s="323"/>
    </row>
    <row r="509" spans="1:33" x14ac:dyDescent="0.25">
      <c r="A509" s="339"/>
      <c r="B509" s="339"/>
      <c r="C509" s="383"/>
      <c r="D509" s="344" t="s">
        <v>640</v>
      </c>
      <c r="E509" s="344"/>
      <c r="F509" s="344"/>
      <c r="G509" s="344"/>
      <c r="H509" s="345" t="s">
        <v>202</v>
      </c>
      <c r="I509" s="345"/>
      <c r="J509" s="345"/>
      <c r="K509" s="345"/>
      <c r="L509" s="344" t="s">
        <v>640</v>
      </c>
      <c r="M509" s="344"/>
      <c r="N509" s="344"/>
      <c r="O509" s="344"/>
      <c r="P509" s="345" t="s">
        <v>202</v>
      </c>
      <c r="Q509" s="345"/>
      <c r="R509" s="345"/>
      <c r="S509" s="346"/>
      <c r="T509" s="343"/>
      <c r="U509" s="323" t="s">
        <v>641</v>
      </c>
      <c r="V509" s="323"/>
      <c r="W509" s="323"/>
      <c r="X509" s="323" t="s">
        <v>652</v>
      </c>
      <c r="Y509" s="323"/>
      <c r="Z509" s="323"/>
    </row>
    <row r="510" spans="1:33" x14ac:dyDescent="0.25">
      <c r="A510" s="339"/>
      <c r="B510" s="339" t="s">
        <v>448</v>
      </c>
      <c r="C510" s="383"/>
      <c r="D510" s="216" t="s">
        <v>164</v>
      </c>
      <c r="E510" s="216" t="s">
        <v>166</v>
      </c>
      <c r="F510" s="216" t="s">
        <v>199</v>
      </c>
      <c r="G510" s="216" t="s">
        <v>205</v>
      </c>
      <c r="H510" s="215" t="s">
        <v>164</v>
      </c>
      <c r="I510" s="215" t="s">
        <v>166</v>
      </c>
      <c r="J510" s="215" t="s">
        <v>199</v>
      </c>
      <c r="K510" s="215" t="s">
        <v>205</v>
      </c>
      <c r="L510" s="216" t="s">
        <v>164</v>
      </c>
      <c r="M510" s="216" t="s">
        <v>166</v>
      </c>
      <c r="N510" s="216" t="s">
        <v>199</v>
      </c>
      <c r="O510" s="216" t="s">
        <v>205</v>
      </c>
      <c r="P510" s="215" t="s">
        <v>164</v>
      </c>
      <c r="Q510" s="215" t="s">
        <v>166</v>
      </c>
      <c r="R510" s="215" t="s">
        <v>199</v>
      </c>
      <c r="S510" s="217" t="s">
        <v>205</v>
      </c>
      <c r="T510" s="343"/>
      <c r="U510" s="238" t="s">
        <v>164</v>
      </c>
      <c r="V510" s="238" t="s">
        <v>199</v>
      </c>
      <c r="W510" s="238" t="s">
        <v>205</v>
      </c>
      <c r="X510" s="238" t="s">
        <v>164</v>
      </c>
      <c r="Y510" s="238" t="s">
        <v>199</v>
      </c>
      <c r="Z510" s="238" t="s">
        <v>205</v>
      </c>
    </row>
    <row r="511" spans="1:33" x14ac:dyDescent="0.25">
      <c r="A511" s="8" t="s">
        <v>578</v>
      </c>
      <c r="B511" s="21" t="s">
        <v>13</v>
      </c>
      <c r="C511" s="52"/>
      <c r="D511" s="284" t="s">
        <v>843</v>
      </c>
      <c r="E511" s="284" t="s">
        <v>787</v>
      </c>
      <c r="F511" s="279" t="s">
        <v>846</v>
      </c>
      <c r="G511" s="279" t="s">
        <v>847</v>
      </c>
      <c r="H511" s="284" t="s">
        <v>790</v>
      </c>
      <c r="I511" s="284" t="s">
        <v>790</v>
      </c>
      <c r="J511" s="280" t="s">
        <v>790</v>
      </c>
      <c r="K511" s="280" t="s">
        <v>791</v>
      </c>
      <c r="L511" s="281" t="s">
        <v>803</v>
      </c>
      <c r="M511" s="281" t="s">
        <v>814</v>
      </c>
      <c r="N511" s="279" t="s">
        <v>848</v>
      </c>
      <c r="O511" s="279" t="s">
        <v>847</v>
      </c>
      <c r="P511" s="281" t="s">
        <v>800</v>
      </c>
      <c r="Q511" s="281" t="s">
        <v>800</v>
      </c>
      <c r="R511" s="281" t="s">
        <v>800</v>
      </c>
      <c r="S511" s="282" t="s">
        <v>791</v>
      </c>
      <c r="T511" s="283" t="s">
        <v>791</v>
      </c>
      <c r="U511" s="286" t="s">
        <v>801</v>
      </c>
      <c r="V511" s="286" t="s">
        <v>805</v>
      </c>
      <c r="W511" s="286" t="s">
        <v>806</v>
      </c>
      <c r="X511" s="286" t="s">
        <v>802</v>
      </c>
      <c r="Y511" s="290" t="s">
        <v>821</v>
      </c>
      <c r="Z511" s="290" t="s">
        <v>806</v>
      </c>
    </row>
    <row r="512" spans="1:33" x14ac:dyDescent="0.25">
      <c r="A512" s="8" t="s">
        <v>581</v>
      </c>
      <c r="B512" s="21" t="s">
        <v>13</v>
      </c>
      <c r="C512" s="52"/>
      <c r="D512" s="284" t="s">
        <v>792</v>
      </c>
      <c r="E512" s="284" t="s">
        <v>793</v>
      </c>
      <c r="F512" s="280" t="s">
        <v>794</v>
      </c>
      <c r="G512" s="280" t="s">
        <v>789</v>
      </c>
      <c r="H512" s="284" t="s">
        <v>790</v>
      </c>
      <c r="I512" s="284" t="s">
        <v>790</v>
      </c>
      <c r="J512" s="280" t="s">
        <v>790</v>
      </c>
      <c r="K512" s="280" t="s">
        <v>791</v>
      </c>
      <c r="L512" s="281" t="s">
        <v>803</v>
      </c>
      <c r="M512" s="281" t="s">
        <v>815</v>
      </c>
      <c r="N512" s="281" t="s">
        <v>807</v>
      </c>
      <c r="O512" s="279" t="s">
        <v>789</v>
      </c>
      <c r="P512" s="281" t="s">
        <v>800</v>
      </c>
      <c r="Q512" s="281" t="s">
        <v>800</v>
      </c>
      <c r="R512" s="281" t="s">
        <v>800</v>
      </c>
      <c r="S512" s="282" t="s">
        <v>791</v>
      </c>
      <c r="T512" s="283" t="s">
        <v>791</v>
      </c>
      <c r="U512" s="286" t="s">
        <v>792</v>
      </c>
      <c r="V512" s="286" t="s">
        <v>794</v>
      </c>
      <c r="W512" s="286" t="s">
        <v>789</v>
      </c>
      <c r="X512" s="286" t="s">
        <v>803</v>
      </c>
      <c r="Y512" s="286" t="s">
        <v>807</v>
      </c>
      <c r="Z512" s="286" t="s">
        <v>789</v>
      </c>
    </row>
    <row r="513" spans="1:28" x14ac:dyDescent="0.25">
      <c r="A513" s="8" t="s">
        <v>584</v>
      </c>
      <c r="B513" s="21" t="s">
        <v>13</v>
      </c>
      <c r="C513" s="52"/>
      <c r="D513" s="284" t="s">
        <v>795</v>
      </c>
      <c r="E513" s="284" t="s">
        <v>796</v>
      </c>
      <c r="F513" s="280" t="s">
        <v>797</v>
      </c>
      <c r="G513" s="280" t="s">
        <v>798</v>
      </c>
      <c r="H513" s="284" t="s">
        <v>795</v>
      </c>
      <c r="I513" s="284" t="s">
        <v>796</v>
      </c>
      <c r="J513" s="280" t="s">
        <v>797</v>
      </c>
      <c r="K513" s="280" t="s">
        <v>798</v>
      </c>
      <c r="L513" s="281" t="s">
        <v>804</v>
      </c>
      <c r="M513" s="281" t="s">
        <v>816</v>
      </c>
      <c r="N513" s="279" t="s">
        <v>817</v>
      </c>
      <c r="O513" s="281" t="s">
        <v>798</v>
      </c>
      <c r="P513" s="281" t="s">
        <v>804</v>
      </c>
      <c r="Q513" s="281" t="s">
        <v>816</v>
      </c>
      <c r="R513" s="279" t="s">
        <v>817</v>
      </c>
      <c r="S513" s="282" t="s">
        <v>798</v>
      </c>
      <c r="T513" s="283" t="s">
        <v>791</v>
      </c>
      <c r="U513" s="286" t="s">
        <v>795</v>
      </c>
      <c r="V513" s="286" t="s">
        <v>797</v>
      </c>
      <c r="W513" s="286" t="s">
        <v>798</v>
      </c>
      <c r="X513" s="286" t="s">
        <v>804</v>
      </c>
      <c r="Y513" s="290" t="s">
        <v>817</v>
      </c>
      <c r="Z513" s="286" t="s">
        <v>798</v>
      </c>
    </row>
    <row r="515" spans="1:28" ht="23.45" customHeight="1" x14ac:dyDescent="0.25">
      <c r="A515" s="324" t="s">
        <v>647</v>
      </c>
      <c r="B515" s="325"/>
      <c r="C515" s="325"/>
      <c r="D515" s="325"/>
      <c r="E515" s="325"/>
      <c r="F515" s="325"/>
      <c r="Z515" s="176"/>
    </row>
    <row r="516" spans="1:28" x14ac:dyDescent="0.25">
      <c r="A516" s="326" t="s">
        <v>448</v>
      </c>
      <c r="B516" s="328" t="s">
        <v>198</v>
      </c>
      <c r="C516" s="330" t="s">
        <v>641</v>
      </c>
      <c r="D516" s="330"/>
      <c r="E516" s="330"/>
      <c r="F516" s="330"/>
      <c r="G516" s="330"/>
      <c r="H516" s="330"/>
      <c r="I516" s="330"/>
      <c r="J516" s="330"/>
      <c r="K516" s="330"/>
      <c r="L516" s="330" t="s">
        <v>652</v>
      </c>
      <c r="M516" s="330"/>
      <c r="N516" s="330"/>
      <c r="O516" s="330"/>
      <c r="P516" s="330"/>
      <c r="Q516" s="330"/>
      <c r="R516" s="330"/>
      <c r="S516" s="330"/>
      <c r="T516" s="330"/>
      <c r="U516" s="384" t="s">
        <v>695</v>
      </c>
      <c r="V516" s="385"/>
      <c r="W516" s="385"/>
      <c r="X516" s="385"/>
      <c r="Y516" s="385"/>
      <c r="Z516" s="386"/>
    </row>
    <row r="517" spans="1:28" x14ac:dyDescent="0.25">
      <c r="A517" s="326"/>
      <c r="B517" s="328"/>
      <c r="C517" s="331" t="s">
        <v>201</v>
      </c>
      <c r="D517" s="332"/>
      <c r="E517" s="332"/>
      <c r="F517" s="333"/>
      <c r="G517" s="334" t="s">
        <v>202</v>
      </c>
      <c r="H517" s="335"/>
      <c r="I517" s="335"/>
      <c r="J517" s="336"/>
      <c r="K517" s="337" t="s">
        <v>665</v>
      </c>
      <c r="L517" s="331" t="s">
        <v>201</v>
      </c>
      <c r="M517" s="332"/>
      <c r="N517" s="332"/>
      <c r="O517" s="333"/>
      <c r="P517" s="334" t="s">
        <v>202</v>
      </c>
      <c r="Q517" s="335"/>
      <c r="R517" s="335"/>
      <c r="S517" s="336"/>
      <c r="T517" s="337" t="s">
        <v>665</v>
      </c>
      <c r="U517" s="384" t="s">
        <v>641</v>
      </c>
      <c r="V517" s="385"/>
      <c r="W517" s="386"/>
      <c r="X517" s="384" t="s">
        <v>652</v>
      </c>
      <c r="Y517" s="385"/>
      <c r="Z517" s="386"/>
    </row>
    <row r="518" spans="1:28" x14ac:dyDescent="0.25">
      <c r="A518" s="327"/>
      <c r="B518" s="329"/>
      <c r="C518" s="216" t="s">
        <v>164</v>
      </c>
      <c r="D518" s="216" t="s">
        <v>166</v>
      </c>
      <c r="E518" s="216" t="s">
        <v>199</v>
      </c>
      <c r="F518" s="216" t="s">
        <v>205</v>
      </c>
      <c r="G518" s="215" t="s">
        <v>164</v>
      </c>
      <c r="H518" s="215" t="s">
        <v>166</v>
      </c>
      <c r="I518" s="215" t="s">
        <v>199</v>
      </c>
      <c r="J518" s="215" t="s">
        <v>205</v>
      </c>
      <c r="K518" s="338"/>
      <c r="L518" s="216" t="s">
        <v>164</v>
      </c>
      <c r="M518" s="216" t="s">
        <v>166</v>
      </c>
      <c r="N518" s="216" t="s">
        <v>199</v>
      </c>
      <c r="O518" s="216" t="s">
        <v>205</v>
      </c>
      <c r="P518" s="215" t="s">
        <v>164</v>
      </c>
      <c r="Q518" s="215" t="s">
        <v>166</v>
      </c>
      <c r="R518" s="215" t="s">
        <v>199</v>
      </c>
      <c r="S518" s="215" t="s">
        <v>205</v>
      </c>
      <c r="T518" s="338"/>
      <c r="U518" s="238" t="s">
        <v>164</v>
      </c>
      <c r="V518" s="238" t="s">
        <v>199</v>
      </c>
      <c r="W518" s="238" t="s">
        <v>205</v>
      </c>
      <c r="X518" s="238" t="s">
        <v>164</v>
      </c>
      <c r="Y518" s="238" t="s">
        <v>199</v>
      </c>
      <c r="Z518" s="238" t="s">
        <v>205</v>
      </c>
      <c r="AA518" s="218" t="s">
        <v>655</v>
      </c>
      <c r="AB518" s="218" t="s">
        <v>656</v>
      </c>
    </row>
    <row r="519" spans="1:28" x14ac:dyDescent="0.25">
      <c r="A519" s="53" t="s">
        <v>13</v>
      </c>
      <c r="B519" s="19" t="s">
        <v>195</v>
      </c>
      <c r="C519" s="279" t="s">
        <v>832</v>
      </c>
      <c r="D519" s="21" t="s">
        <v>784</v>
      </c>
      <c r="E519" s="279" t="s">
        <v>833</v>
      </c>
      <c r="F519" s="279" t="s">
        <v>834</v>
      </c>
      <c r="G519" s="21" t="s">
        <v>770</v>
      </c>
      <c r="H519" s="21" t="s">
        <v>769</v>
      </c>
      <c r="I519" s="21" t="s">
        <v>772</v>
      </c>
      <c r="J519" s="21" t="s">
        <v>809</v>
      </c>
      <c r="K519" s="279" t="s">
        <v>839</v>
      </c>
      <c r="L519" s="297" t="s">
        <v>840</v>
      </c>
      <c r="M519" s="297" t="s">
        <v>818</v>
      </c>
      <c r="N519" s="297" t="s">
        <v>841</v>
      </c>
      <c r="O519" s="299" t="str">
        <f>TEXT(58.17,"0.00")</f>
        <v>58.17</v>
      </c>
      <c r="P519" s="21" t="s">
        <v>776</v>
      </c>
      <c r="Q519" s="297" t="s">
        <v>781</v>
      </c>
      <c r="R519" s="297" t="s">
        <v>782</v>
      </c>
      <c r="S519" s="271" t="str">
        <f>TEXT(81.55,"0.00")</f>
        <v>81.55</v>
      </c>
      <c r="T519" s="299" t="str">
        <f>TEXT(43.91,"0.00")</f>
        <v>43.91</v>
      </c>
      <c r="U519" s="295" t="s">
        <v>822</v>
      </c>
      <c r="V519" s="295" t="s">
        <v>823</v>
      </c>
      <c r="W519" s="295" t="s">
        <v>811</v>
      </c>
      <c r="X519" s="295" t="s">
        <v>824</v>
      </c>
      <c r="Y519" s="291" t="s">
        <v>825</v>
      </c>
      <c r="Z519" s="295" t="s">
        <v>811</v>
      </c>
      <c r="AA519" s="288" t="s">
        <v>812</v>
      </c>
      <c r="AB519" s="289" t="s">
        <v>511</v>
      </c>
    </row>
    <row r="520" spans="1:28" x14ac:dyDescent="0.25">
      <c r="C520" s="72"/>
      <c r="L520" s="21" t="s">
        <v>824</v>
      </c>
      <c r="M520" s="21" t="s">
        <v>842</v>
      </c>
      <c r="N520" s="21" t="s">
        <v>831</v>
      </c>
      <c r="O520" s="21" t="s">
        <v>811</v>
      </c>
      <c r="P520" s="21" t="s">
        <v>776</v>
      </c>
      <c r="Q520" s="21" t="s">
        <v>777</v>
      </c>
      <c r="R520" s="21" t="s">
        <v>778</v>
      </c>
      <c r="S520" s="21" t="s">
        <v>809</v>
      </c>
      <c r="T520" s="21" t="s">
        <v>830</v>
      </c>
      <c r="X520" s="296"/>
      <c r="Y520" s="296"/>
    </row>
    <row r="521" spans="1:28" x14ac:dyDescent="0.25">
      <c r="A521" s="347" t="s">
        <v>196</v>
      </c>
      <c r="B521" s="348"/>
      <c r="C521" s="348"/>
      <c r="D521" s="348"/>
      <c r="E521" s="348"/>
      <c r="F521" s="348"/>
      <c r="G521" s="348"/>
      <c r="H521" s="348"/>
      <c r="I521" s="348"/>
      <c r="J521" s="348"/>
    </row>
    <row r="522" spans="1:28" x14ac:dyDescent="0.25">
      <c r="A522" s="226"/>
      <c r="B522" s="227"/>
      <c r="C522" s="330" t="s">
        <v>641</v>
      </c>
      <c r="D522" s="330"/>
      <c r="E522" s="330"/>
      <c r="F522" s="330"/>
      <c r="G522" s="330"/>
      <c r="H522" s="330"/>
      <c r="I522" s="330"/>
      <c r="J522" s="330"/>
      <c r="K522" s="330"/>
      <c r="L522" s="384" t="s">
        <v>695</v>
      </c>
      <c r="M522" s="385"/>
      <c r="N522" s="385"/>
      <c r="Z522" s="176"/>
    </row>
    <row r="523" spans="1:28" x14ac:dyDescent="0.25">
      <c r="A523" s="373" t="s">
        <v>448</v>
      </c>
      <c r="B523" s="373" t="s">
        <v>198</v>
      </c>
      <c r="C523" s="331" t="s">
        <v>201</v>
      </c>
      <c r="D523" s="332"/>
      <c r="E523" s="332"/>
      <c r="F523" s="333"/>
      <c r="G523" s="334" t="s">
        <v>202</v>
      </c>
      <c r="H523" s="335"/>
      <c r="I523" s="335"/>
      <c r="J523" s="336"/>
      <c r="K523" s="337" t="s">
        <v>665</v>
      </c>
      <c r="L523" s="384" t="s">
        <v>641</v>
      </c>
      <c r="M523" s="385"/>
      <c r="N523" s="386"/>
    </row>
    <row r="524" spans="1:28" x14ac:dyDescent="0.25">
      <c r="A524" s="374"/>
      <c r="B524" s="374"/>
      <c r="C524" s="216" t="s">
        <v>164</v>
      </c>
      <c r="D524" s="216" t="s">
        <v>166</v>
      </c>
      <c r="E524" s="216" t="s">
        <v>199</v>
      </c>
      <c r="F524" s="216" t="s">
        <v>205</v>
      </c>
      <c r="G524" s="215" t="s">
        <v>164</v>
      </c>
      <c r="H524" s="215" t="s">
        <v>166</v>
      </c>
      <c r="I524" s="215" t="s">
        <v>199</v>
      </c>
      <c r="J524" s="215" t="s">
        <v>205</v>
      </c>
      <c r="K524" s="338"/>
      <c r="L524" s="238" t="s">
        <v>164</v>
      </c>
      <c r="M524" s="238" t="s">
        <v>199</v>
      </c>
      <c r="N524" s="238" t="s">
        <v>205</v>
      </c>
    </row>
    <row r="525" spans="1:28" x14ac:dyDescent="0.25">
      <c r="A525" s="19" t="s">
        <v>13</v>
      </c>
      <c r="B525" s="19" t="s">
        <v>195</v>
      </c>
      <c r="C525" s="279" t="s">
        <v>832</v>
      </c>
      <c r="D525" s="21" t="s">
        <v>784</v>
      </c>
      <c r="E525" s="279" t="s">
        <v>833</v>
      </c>
      <c r="F525" s="279" t="s">
        <v>834</v>
      </c>
      <c r="G525" s="21" t="s">
        <v>770</v>
      </c>
      <c r="H525" s="21" t="s">
        <v>769</v>
      </c>
      <c r="I525" s="21" t="s">
        <v>772</v>
      </c>
      <c r="J525" s="21" t="s">
        <v>809</v>
      </c>
      <c r="K525" s="279" t="s">
        <v>839</v>
      </c>
      <c r="L525" s="287" t="s">
        <v>822</v>
      </c>
      <c r="M525" s="287" t="s">
        <v>823</v>
      </c>
      <c r="N525" s="287" t="s">
        <v>811</v>
      </c>
    </row>
    <row r="526" spans="1:28" x14ac:dyDescent="0.25">
      <c r="G526" t="s">
        <v>835</v>
      </c>
      <c r="H526" t="s">
        <v>836</v>
      </c>
      <c r="I526" t="s">
        <v>837</v>
      </c>
      <c r="J526" s="294">
        <v>81.55</v>
      </c>
      <c r="K526" s="294" t="s">
        <v>838</v>
      </c>
    </row>
    <row r="527" spans="1:28" x14ac:dyDescent="0.25">
      <c r="A527" s="54" t="s">
        <v>136</v>
      </c>
      <c r="B527" s="55"/>
      <c r="C527" s="55"/>
    </row>
    <row r="528" spans="1:28" x14ac:dyDescent="0.25">
      <c r="A528" s="22" t="s">
        <v>136</v>
      </c>
      <c r="B528" s="22" t="s">
        <v>144</v>
      </c>
      <c r="C528" s="22" t="s">
        <v>145</v>
      </c>
      <c r="D528" s="22" t="s">
        <v>469</v>
      </c>
      <c r="E528" s="22" t="s">
        <v>125</v>
      </c>
      <c r="F528" s="22" t="s">
        <v>54</v>
      </c>
      <c r="G528" s="22" t="s">
        <v>55</v>
      </c>
      <c r="H528" s="22" t="s">
        <v>470</v>
      </c>
      <c r="I528" s="22" t="s">
        <v>471</v>
      </c>
      <c r="J528" s="22" t="s">
        <v>140</v>
      </c>
      <c r="K528" s="22" t="s">
        <v>122</v>
      </c>
      <c r="L528" s="22" t="s">
        <v>120</v>
      </c>
    </row>
    <row r="529" spans="1:33" ht="45" x14ac:dyDescent="0.25">
      <c r="A529" s="24" t="s">
        <v>137</v>
      </c>
      <c r="B529" s="300" t="s">
        <v>216</v>
      </c>
      <c r="C529" s="300" t="s">
        <v>216</v>
      </c>
      <c r="D529" s="25" t="s">
        <v>134</v>
      </c>
      <c r="E529" s="25" t="s">
        <v>325</v>
      </c>
      <c r="F529" s="25"/>
      <c r="G529" s="25"/>
      <c r="H529" s="25"/>
      <c r="I529" s="25"/>
      <c r="J529" s="150">
        <f ca="1">TODAY()</f>
        <v>45142</v>
      </c>
      <c r="K529" s="150" t="str">
        <f>E407</f>
        <v xml:space="preserve">PROPOSED </v>
      </c>
      <c r="L529" s="25" t="s">
        <v>609</v>
      </c>
      <c r="AF529" s="251" t="s">
        <v>747</v>
      </c>
      <c r="AG529" s="251" t="s">
        <v>752</v>
      </c>
    </row>
    <row r="530" spans="1:33" s="265" customFormat="1" x14ac:dyDescent="0.25">
      <c r="A530" s="262"/>
      <c r="B530" s="263"/>
      <c r="C530" s="263"/>
      <c r="D530" s="263"/>
      <c r="E530" s="263"/>
      <c r="F530" s="263"/>
      <c r="G530" s="263"/>
      <c r="H530" s="263"/>
      <c r="I530" s="263"/>
      <c r="J530" s="264"/>
      <c r="K530" s="264"/>
      <c r="L530" s="263"/>
    </row>
    <row r="531" spans="1:33" x14ac:dyDescent="0.25">
      <c r="A531" s="254" t="s">
        <v>762</v>
      </c>
      <c r="B531" s="255"/>
      <c r="C531" s="255"/>
    </row>
    <row r="532" spans="1:33" x14ac:dyDescent="0.25">
      <c r="A532" s="256" t="s">
        <v>54</v>
      </c>
      <c r="B532" s="256" t="s">
        <v>753</v>
      </c>
      <c r="C532" s="256" t="s">
        <v>754</v>
      </c>
    </row>
    <row r="533" spans="1:33" ht="30" x14ac:dyDescent="0.25">
      <c r="A533" s="257" t="str">
        <f ca="1">TEXT(TODAY(),"MM-DD-YYYY")</f>
        <v>08-04-2023</v>
      </c>
      <c r="B533" s="257"/>
      <c r="C533" s="257" t="s">
        <v>755</v>
      </c>
      <c r="AF533" s="251" t="s">
        <v>743</v>
      </c>
      <c r="AG533" s="251" t="s">
        <v>756</v>
      </c>
    </row>
  </sheetData>
  <mergeCells count="256">
    <mergeCell ref="Z89:AF89"/>
    <mergeCell ref="AG89:AL89"/>
    <mergeCell ref="A521:J521"/>
    <mergeCell ref="C522:K522"/>
    <mergeCell ref="L522:N522"/>
    <mergeCell ref="A523:A524"/>
    <mergeCell ref="B523:B524"/>
    <mergeCell ref="C523:F523"/>
    <mergeCell ref="G523:J523"/>
    <mergeCell ref="K523:K524"/>
    <mergeCell ref="L523:N523"/>
    <mergeCell ref="A515:F515"/>
    <mergeCell ref="A516:A518"/>
    <mergeCell ref="B516:B518"/>
    <mergeCell ref="C516:K516"/>
    <mergeCell ref="L516:T516"/>
    <mergeCell ref="U516:Z516"/>
    <mergeCell ref="C517:F517"/>
    <mergeCell ref="G517:J517"/>
    <mergeCell ref="K517:K518"/>
    <mergeCell ref="L517:O517"/>
    <mergeCell ref="P517:S517"/>
    <mergeCell ref="T517:T518"/>
    <mergeCell ref="U517:W517"/>
    <mergeCell ref="X517:Z517"/>
    <mergeCell ref="A507:F507"/>
    <mergeCell ref="A508:A510"/>
    <mergeCell ref="B508:B510"/>
    <mergeCell ref="C508:C510"/>
    <mergeCell ref="D508:K508"/>
    <mergeCell ref="L508:S508"/>
    <mergeCell ref="T508:T510"/>
    <mergeCell ref="U508:Z508"/>
    <mergeCell ref="D509:G509"/>
    <mergeCell ref="H509:K509"/>
    <mergeCell ref="L509:O509"/>
    <mergeCell ref="P509:S509"/>
    <mergeCell ref="U509:W509"/>
    <mergeCell ref="X509:Z509"/>
    <mergeCell ref="A500:H500"/>
    <mergeCell ref="A501:A503"/>
    <mergeCell ref="B501:B503"/>
    <mergeCell ref="C501:C503"/>
    <mergeCell ref="D501:D503"/>
    <mergeCell ref="E501:H501"/>
    <mergeCell ref="I501:L501"/>
    <mergeCell ref="E502:F502"/>
    <mergeCell ref="G502:H502"/>
    <mergeCell ref="I502:J502"/>
    <mergeCell ref="K502:L502"/>
    <mergeCell ref="C493:F493"/>
    <mergeCell ref="G493:J493"/>
    <mergeCell ref="K493:N493"/>
    <mergeCell ref="A494:A495"/>
    <mergeCell ref="C494:D494"/>
    <mergeCell ref="E494:F494"/>
    <mergeCell ref="G494:H494"/>
    <mergeCell ref="I494:J494"/>
    <mergeCell ref="K494:L494"/>
    <mergeCell ref="M494:N494"/>
    <mergeCell ref="L428:N428"/>
    <mergeCell ref="L427:N427"/>
    <mergeCell ref="A436:Z436"/>
    <mergeCell ref="A437:E437"/>
    <mergeCell ref="H437:M437"/>
    <mergeCell ref="N437:S437"/>
    <mergeCell ref="A492:F492"/>
    <mergeCell ref="U414:W414"/>
    <mergeCell ref="X414:Z414"/>
    <mergeCell ref="A426:J426"/>
    <mergeCell ref="C427:K427"/>
    <mergeCell ref="A428:A429"/>
    <mergeCell ref="B428:B429"/>
    <mergeCell ref="C428:F428"/>
    <mergeCell ref="G428:J428"/>
    <mergeCell ref="K428:K429"/>
    <mergeCell ref="U413:Z413"/>
    <mergeCell ref="U421:Z421"/>
    <mergeCell ref="U422:W422"/>
    <mergeCell ref="X422:Z422"/>
    <mergeCell ref="A324:J324"/>
    <mergeCell ref="C325:K325"/>
    <mergeCell ref="A326:A327"/>
    <mergeCell ref="B326:B327"/>
    <mergeCell ref="C326:F326"/>
    <mergeCell ref="G326:J326"/>
    <mergeCell ref="K326:K327"/>
    <mergeCell ref="A341:Z341"/>
    <mergeCell ref="A342:E342"/>
    <mergeCell ref="H342:M342"/>
    <mergeCell ref="N342:S342"/>
    <mergeCell ref="A397:F397"/>
    <mergeCell ref="C398:F398"/>
    <mergeCell ref="G398:J398"/>
    <mergeCell ref="A399:A400"/>
    <mergeCell ref="C399:D399"/>
    <mergeCell ref="E399:F399"/>
    <mergeCell ref="G399:H399"/>
    <mergeCell ref="I399:J399"/>
    <mergeCell ref="C413:C415"/>
    <mergeCell ref="A318:F318"/>
    <mergeCell ref="A319:A321"/>
    <mergeCell ref="B319:B321"/>
    <mergeCell ref="C319:K319"/>
    <mergeCell ref="L319:T319"/>
    <mergeCell ref="C320:F320"/>
    <mergeCell ref="G320:J320"/>
    <mergeCell ref="K320:K321"/>
    <mergeCell ref="L320:O320"/>
    <mergeCell ref="P320:S320"/>
    <mergeCell ref="T320:T321"/>
    <mergeCell ref="L311:S311"/>
    <mergeCell ref="T311:T313"/>
    <mergeCell ref="D312:G312"/>
    <mergeCell ref="H312:K312"/>
    <mergeCell ref="L312:O312"/>
    <mergeCell ref="P312:S312"/>
    <mergeCell ref="A310:F310"/>
    <mergeCell ref="A311:A313"/>
    <mergeCell ref="B311:B313"/>
    <mergeCell ref="C311:C313"/>
    <mergeCell ref="D311:K311"/>
    <mergeCell ref="I304:L304"/>
    <mergeCell ref="E305:F305"/>
    <mergeCell ref="G305:H305"/>
    <mergeCell ref="I305:J305"/>
    <mergeCell ref="K305:L305"/>
    <mergeCell ref="A303:H303"/>
    <mergeCell ref="A304:A306"/>
    <mergeCell ref="B304:B306"/>
    <mergeCell ref="C304:C306"/>
    <mergeCell ref="D304:D306"/>
    <mergeCell ref="E304:H304"/>
    <mergeCell ref="A295:F295"/>
    <mergeCell ref="C296:F296"/>
    <mergeCell ref="G296:J296"/>
    <mergeCell ref="A297:A298"/>
    <mergeCell ref="C297:D297"/>
    <mergeCell ref="E297:F297"/>
    <mergeCell ref="G297:H297"/>
    <mergeCell ref="I297:J297"/>
    <mergeCell ref="A239:Z239"/>
    <mergeCell ref="A240:E240"/>
    <mergeCell ref="H240:M240"/>
    <mergeCell ref="N240:S240"/>
    <mergeCell ref="L207:T207"/>
    <mergeCell ref="L208:O208"/>
    <mergeCell ref="P208:S208"/>
    <mergeCell ref="T208:T209"/>
    <mergeCell ref="C213:K213"/>
    <mergeCell ref="A214:A215"/>
    <mergeCell ref="G208:J208"/>
    <mergeCell ref="K208:K209"/>
    <mergeCell ref="C208:F208"/>
    <mergeCell ref="A207:A209"/>
    <mergeCell ref="B207:B209"/>
    <mergeCell ref="C207:K207"/>
    <mergeCell ref="C214:F214"/>
    <mergeCell ref="D192:D194"/>
    <mergeCell ref="I192:L192"/>
    <mergeCell ref="I193:J193"/>
    <mergeCell ref="K193:L193"/>
    <mergeCell ref="L200:O200"/>
    <mergeCell ref="P200:S200"/>
    <mergeCell ref="L199:S199"/>
    <mergeCell ref="T199:T201"/>
    <mergeCell ref="A206:F206"/>
    <mergeCell ref="D199:K199"/>
    <mergeCell ref="D200:G200"/>
    <mergeCell ref="H200:K200"/>
    <mergeCell ref="A199:A201"/>
    <mergeCell ref="B199:B201"/>
    <mergeCell ref="C199:C201"/>
    <mergeCell ref="A185:A186"/>
    <mergeCell ref="C185:D185"/>
    <mergeCell ref="E185:F185"/>
    <mergeCell ref="G185:H185"/>
    <mergeCell ref="I185:J185"/>
    <mergeCell ref="N128:S128"/>
    <mergeCell ref="A228:H228"/>
    <mergeCell ref="A227:E227"/>
    <mergeCell ref="A128:E128"/>
    <mergeCell ref="A191:H191"/>
    <mergeCell ref="A212:J212"/>
    <mergeCell ref="B214:B215"/>
    <mergeCell ref="G214:J214"/>
    <mergeCell ref="K214:K215"/>
    <mergeCell ref="H128:M128"/>
    <mergeCell ref="C184:F184"/>
    <mergeCell ref="G184:J184"/>
    <mergeCell ref="A198:F198"/>
    <mergeCell ref="E193:F193"/>
    <mergeCell ref="G193:H193"/>
    <mergeCell ref="E192:H192"/>
    <mergeCell ref="A192:A194"/>
    <mergeCell ref="B192:B194"/>
    <mergeCell ref="C192:C194"/>
    <mergeCell ref="A64:D64"/>
    <mergeCell ref="A101:E101"/>
    <mergeCell ref="A106:E106"/>
    <mergeCell ref="A110:E110"/>
    <mergeCell ref="A116:E116"/>
    <mergeCell ref="A97:E97"/>
    <mergeCell ref="A127:Z127"/>
    <mergeCell ref="A183:F183"/>
    <mergeCell ref="A1:J1"/>
    <mergeCell ref="B2:E2"/>
    <mergeCell ref="A6:J6"/>
    <mergeCell ref="A10:H10"/>
    <mergeCell ref="A14:G14"/>
    <mergeCell ref="A81:D81"/>
    <mergeCell ref="A85:R85"/>
    <mergeCell ref="A93:R93"/>
    <mergeCell ref="A74:I74"/>
    <mergeCell ref="A70:D70"/>
    <mergeCell ref="A24:J24"/>
    <mergeCell ref="A80:K80"/>
    <mergeCell ref="A59:J59"/>
    <mergeCell ref="A21:C21"/>
    <mergeCell ref="T89:V89"/>
    <mergeCell ref="W89:X89"/>
    <mergeCell ref="A405:H405"/>
    <mergeCell ref="A406:A408"/>
    <mergeCell ref="B406:B408"/>
    <mergeCell ref="C406:C408"/>
    <mergeCell ref="D406:D408"/>
    <mergeCell ref="E406:H406"/>
    <mergeCell ref="I406:L406"/>
    <mergeCell ref="E407:F407"/>
    <mergeCell ref="G407:H407"/>
    <mergeCell ref="I407:J407"/>
    <mergeCell ref="K407:L407"/>
    <mergeCell ref="K398:N398"/>
    <mergeCell ref="K399:L399"/>
    <mergeCell ref="M399:N399"/>
    <mergeCell ref="A420:F420"/>
    <mergeCell ref="A421:A423"/>
    <mergeCell ref="B421:B423"/>
    <mergeCell ref="C421:K421"/>
    <mergeCell ref="L421:T421"/>
    <mergeCell ref="C422:F422"/>
    <mergeCell ref="G422:J422"/>
    <mergeCell ref="K422:K423"/>
    <mergeCell ref="L422:O422"/>
    <mergeCell ref="P422:S422"/>
    <mergeCell ref="T422:T423"/>
    <mergeCell ref="A412:F412"/>
    <mergeCell ref="A413:A415"/>
    <mergeCell ref="B413:B415"/>
    <mergeCell ref="D413:K413"/>
    <mergeCell ref="L413:S413"/>
    <mergeCell ref="T413:T415"/>
    <mergeCell ref="D414:G414"/>
    <mergeCell ref="H414:K414"/>
    <mergeCell ref="L414:O414"/>
    <mergeCell ref="P414:S414"/>
  </mergeCells>
  <dataValidations count="4">
    <dataValidation type="list" allowBlank="1" showInputMessage="1" showErrorMessage="1" sqref="C195:C197 C307:C308 C409:C410 B430 B424 C504:C505 B525 B519">
      <formula1>"APPROVED, PENDING FOR APPROVAL, ERROR, ,"</formula1>
    </dataValidation>
    <dataValidation type="list" allowBlank="1" showInputMessage="1" showErrorMessage="1" sqref="C134 C138 C144 C148 C142 C132 C130 C14 C290 C6 C152 C154 C158 C162 C166 C170 C174 C178 C246 C250 C256 C260 C254 C244 C242 C264 C266 C270 C274 C278 C282 C286 C21 C392 C348 C352 C358 C362 C356 C346 C344 C366 C368 C372 C376 C380 C384 C388 C487 C443 C447 C453 C457 C451 C441 C439 C461 C463 C467 C471 C475 C479 C483">
      <formula1>"Projected,Original,Seasonal,Recommended"</formula1>
    </dataValidation>
    <dataValidation type="list" allowBlank="1" showInputMessage="1" showErrorMessage="1" sqref="C135:C137 C139:C141 C131 C145:C147 C143 C133 C10 C24 C59 C70 C64 JB64 SX64 ACT64 AMP64 AWL64 BGH64 BQD64 BZZ64 CJV64 CTR64 DDN64 DNJ64 DXF64 EHB64 EQX64 FAT64 FKP64 FUL64 GEH64 GOD64 GXZ64 HHV64 HRR64 IBN64 ILJ64 IVF64 JFB64 JOX64 JYT64 KIP64 KSL64 LCH64 LMD64 LVZ64 MFV64 MPR64 MZN64 NJJ64 NTF64 ODB64 OMX64 OWT64 PGP64 PQL64 QAH64 QKD64 QTZ64 RDV64 RNR64 RXN64 SHJ64 SRF64 TBB64 TKX64 TUT64 UEP64 UOL64 UYH64 VID64 VRZ64 WBV64 WLR64 WVN64 C149:C151 C153 C155:C157 C159:C161 C163:C165 C167:C169 C171:C173 C175:C177 C179:C182 C247:C249 C251:C253 C243 C257:C259 C255 C245 C261:C263 C265 C267:C269 C271:C273 C275:C277 C279:C281 C283:C285 C287:C289 C291:C294 C349:C351 C353:C355 C345 C359:C361 C357 C347 C363:C365 C367 C369:C371 C373:C375 C377:C379 C381:C383 C385:C387 C389:C391 C393:C396 C444:C446 C448:C450 C440 C454:C456 C452 C442 C458:C460 C462 C464:C466 C468:C470 C472:C474 C476:C478 C480:C482 C484:C486 C488:C491">
      <formula1>"Proposed,Original,Seasonal,Recommended"</formula1>
    </dataValidation>
    <dataValidation type="list" allowBlank="1" showInputMessage="1" showErrorMessage="1" sqref="N529:N530 N95 N332 N221:N222 N224:N226 N434 L87:N88">
      <formula1>"Yes,No"</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3" sqref="C13"/>
    </sheetView>
  </sheetViews>
  <sheetFormatPr defaultRowHeight="15" x14ac:dyDescent="0.25"/>
  <sheetData>
    <row r="1" spans="1:4" x14ac:dyDescent="0.25">
      <c r="A1" s="390"/>
      <c r="B1" s="390"/>
      <c r="C1" s="390"/>
      <c r="D1" s="390"/>
    </row>
    <row r="2" spans="1:4" x14ac:dyDescent="0.25">
      <c r="A2" s="27">
        <v>10000</v>
      </c>
      <c r="B2" s="27">
        <v>20</v>
      </c>
      <c r="C2" s="35">
        <f>B2*A2</f>
        <v>200000</v>
      </c>
    </row>
    <row r="3" spans="1:4" x14ac:dyDescent="0.25">
      <c r="A3" s="27"/>
      <c r="B3" s="27">
        <v>5</v>
      </c>
      <c r="C3" s="27">
        <f>1000*5</f>
        <v>5000</v>
      </c>
    </row>
    <row r="4" spans="1:4" x14ac:dyDescent="0.25">
      <c r="A4" s="27"/>
      <c r="B4" s="27">
        <v>4</v>
      </c>
      <c r="C4" s="27">
        <f>4000*4</f>
        <v>16000</v>
      </c>
    </row>
    <row r="5" spans="1:4" x14ac:dyDescent="0.25">
      <c r="A5" s="27"/>
      <c r="B5" s="27">
        <v>3</v>
      </c>
      <c r="C5" s="27">
        <f>5000*3</f>
        <v>15000</v>
      </c>
    </row>
    <row r="6" spans="1:4" x14ac:dyDescent="0.25">
      <c r="A6" s="27"/>
      <c r="B6" s="27">
        <v>10</v>
      </c>
      <c r="C6" s="27"/>
    </row>
    <row r="7" spans="1:4" x14ac:dyDescent="0.25">
      <c r="A7" s="27"/>
      <c r="B7" s="27">
        <v>8</v>
      </c>
      <c r="C7" s="27"/>
    </row>
    <row r="8" spans="1:4" x14ac:dyDescent="0.25">
      <c r="A8" s="27"/>
      <c r="B8" s="27">
        <v>6</v>
      </c>
      <c r="C8" s="27">
        <f>A2*B8</f>
        <v>60000</v>
      </c>
    </row>
    <row r="9" spans="1:4" x14ac:dyDescent="0.25">
      <c r="A9" s="27"/>
      <c r="B9" s="27"/>
      <c r="C9" s="27">
        <f>SUM(C2:C8)</f>
        <v>296000</v>
      </c>
    </row>
    <row r="10" spans="1:4" x14ac:dyDescent="0.25">
      <c r="A10" s="27"/>
      <c r="B10" s="27"/>
      <c r="C10" s="27">
        <f>(C9*9)/100</f>
        <v>26640</v>
      </c>
    </row>
    <row r="11" spans="1:4" x14ac:dyDescent="0.25">
      <c r="A11" s="27"/>
      <c r="B11" s="27" t="s">
        <v>191</v>
      </c>
      <c r="C11" s="35">
        <v>16000</v>
      </c>
    </row>
    <row r="12" spans="1:4" x14ac:dyDescent="0.25">
      <c r="A12" s="27"/>
      <c r="B12" s="27"/>
      <c r="C12" s="27">
        <f>SUM(C9:C11)</f>
        <v>338640</v>
      </c>
    </row>
    <row r="13" spans="1:4" x14ac:dyDescent="0.25">
      <c r="A13" s="27"/>
      <c r="B13" s="27"/>
      <c r="C13" s="27">
        <f>C12*12</f>
        <v>4063680</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68"/>
  <sheetViews>
    <sheetView topLeftCell="A111" workbookViewId="0">
      <selection activeCell="D129" sqref="D129"/>
    </sheetView>
  </sheetViews>
  <sheetFormatPr defaultRowHeight="15" x14ac:dyDescent="0.25"/>
  <cols>
    <col min="1" max="1" width="28.85546875" bestFit="1" customWidth="1" collapsed="1"/>
    <col min="2" max="2" width="20" customWidth="1" collapsed="1"/>
    <col min="3" max="3" width="22.85546875" bestFit="1" customWidth="1" collapsed="1"/>
    <col min="4" max="4" width="20.85546875" customWidth="1" collapsed="1"/>
    <col min="5" max="5" width="18.42578125" customWidth="1" collapsed="1"/>
    <col min="6" max="6" width="15.85546875" customWidth="1" collapsed="1"/>
    <col min="7" max="7" width="17.85546875" customWidth="1" collapsed="1"/>
    <col min="8" max="9" width="14.42578125" customWidth="1" collapsed="1"/>
    <col min="10" max="10" width="14.85546875" customWidth="1" collapsed="1"/>
    <col min="11" max="11" width="14.140625" customWidth="1" collapsed="1"/>
    <col min="12" max="12" width="14.85546875" bestFit="1" customWidth="1" collapsed="1"/>
    <col min="13" max="13" width="14" customWidth="1" collapsed="1"/>
    <col min="14" max="14" width="13.42578125" bestFit="1" customWidth="1" collapsed="1"/>
    <col min="15" max="15" width="25.140625" customWidth="1" collapsed="1"/>
    <col min="16" max="16" width="34.140625" customWidth="1" collapsed="1"/>
    <col min="17" max="17" width="39.42578125" bestFit="1" customWidth="1" collapsed="1"/>
    <col min="18" max="18" width="36.42578125" customWidth="1" collapsed="1"/>
  </cols>
  <sheetData>
    <row r="1" spans="1:118" s="73" customFormat="1" ht="23.25" x14ac:dyDescent="0.25">
      <c r="A1" s="360" t="s">
        <v>221</v>
      </c>
      <c r="B1" s="360"/>
      <c r="C1" s="360"/>
      <c r="D1" s="360"/>
      <c r="E1" s="360"/>
      <c r="F1" s="360"/>
      <c r="G1" s="360"/>
      <c r="H1" s="360"/>
      <c r="I1" s="360"/>
      <c r="J1" s="360"/>
      <c r="L1" s="74"/>
      <c r="N1" s="74"/>
      <c r="O1" s="74"/>
      <c r="P1" s="74"/>
      <c r="Q1" s="74"/>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row>
    <row r="2" spans="1:118" s="77" customFormat="1" ht="18.75" x14ac:dyDescent="0.25">
      <c r="A2" s="76" t="s">
        <v>222</v>
      </c>
      <c r="B2" s="361" t="s">
        <v>223</v>
      </c>
      <c r="C2" s="362"/>
      <c r="D2" s="362"/>
      <c r="E2" s="363"/>
      <c r="F2" s="73"/>
      <c r="G2" s="74"/>
      <c r="H2" s="73"/>
      <c r="I2" s="73"/>
      <c r="L2" s="78"/>
      <c r="V2" s="73"/>
      <c r="AB2" s="73"/>
      <c r="AJ2" s="73"/>
      <c r="BA2" s="73"/>
      <c r="BJ2" s="73"/>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row>
    <row r="3" spans="1:118" ht="15.75" x14ac:dyDescent="0.25">
      <c r="A3" s="80" t="s">
        <v>224</v>
      </c>
      <c r="B3" s="80" t="s">
        <v>0</v>
      </c>
      <c r="C3" s="80" t="s">
        <v>1</v>
      </c>
      <c r="D3" s="5" t="s">
        <v>225</v>
      </c>
      <c r="E3" s="5" t="s">
        <v>226</v>
      </c>
      <c r="F3" s="80" t="s">
        <v>227</v>
      </c>
      <c r="G3" s="80" t="s">
        <v>228</v>
      </c>
    </row>
    <row r="4" spans="1:118" x14ac:dyDescent="0.25">
      <c r="A4" s="81" t="s">
        <v>555</v>
      </c>
      <c r="B4" s="2" t="s">
        <v>6</v>
      </c>
      <c r="C4" s="4" t="s">
        <v>554</v>
      </c>
      <c r="D4" s="4"/>
      <c r="E4" s="4"/>
      <c r="F4" s="3"/>
      <c r="G4" s="82"/>
    </row>
    <row r="6" spans="1:118" s="73" customFormat="1" ht="18.75" x14ac:dyDescent="0.25">
      <c r="A6" s="364" t="s">
        <v>229</v>
      </c>
      <c r="B6" s="364"/>
      <c r="C6" s="364"/>
      <c r="D6" s="364"/>
      <c r="E6" s="364"/>
      <c r="F6" s="364"/>
      <c r="G6" s="364"/>
      <c r="H6" s="364"/>
      <c r="I6" s="364"/>
      <c r="J6" s="364"/>
      <c r="L6" s="74"/>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row>
    <row r="7" spans="1:118" s="73" customFormat="1" ht="78.75" x14ac:dyDescent="0.25">
      <c r="A7" s="83" t="s">
        <v>224</v>
      </c>
      <c r="B7" s="83" t="s">
        <v>1</v>
      </c>
      <c r="C7" s="83" t="s">
        <v>2</v>
      </c>
      <c r="D7" s="83" t="s">
        <v>3</v>
      </c>
      <c r="E7" s="83" t="s">
        <v>230</v>
      </c>
      <c r="F7" s="83" t="s">
        <v>231</v>
      </c>
      <c r="G7" s="84" t="s">
        <v>232</v>
      </c>
      <c r="H7" s="83" t="s">
        <v>233</v>
      </c>
      <c r="I7" s="84" t="s">
        <v>234</v>
      </c>
      <c r="J7" s="84" t="s">
        <v>235</v>
      </c>
      <c r="L7" s="74"/>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row>
    <row r="8" spans="1:118" ht="33.6" customHeight="1" x14ac:dyDescent="0.25">
      <c r="A8" s="81" t="s">
        <v>555</v>
      </c>
      <c r="B8" s="2" t="str">
        <f>C4</f>
        <v>Con_Cust1Auto,IND</v>
      </c>
      <c r="C8" s="2" t="s">
        <v>557</v>
      </c>
      <c r="D8" s="2" t="s">
        <v>5</v>
      </c>
      <c r="E8" s="2" t="s">
        <v>6</v>
      </c>
      <c r="F8" s="2" t="s">
        <v>558</v>
      </c>
      <c r="G8" s="2" t="s">
        <v>4</v>
      </c>
      <c r="H8" s="2" t="s">
        <v>237</v>
      </c>
      <c r="I8" s="2" t="s">
        <v>556</v>
      </c>
      <c r="J8" s="85" t="s">
        <v>238</v>
      </c>
    </row>
    <row r="10" spans="1:118" s="73" customFormat="1" ht="18" customHeight="1" x14ac:dyDescent="0.25">
      <c r="A10" s="364" t="s">
        <v>239</v>
      </c>
      <c r="B10" s="364"/>
      <c r="C10" s="364"/>
      <c r="D10" s="364"/>
      <c r="E10" s="364"/>
      <c r="F10" s="364"/>
      <c r="G10" s="364"/>
      <c r="H10" s="364"/>
      <c r="L10" s="74"/>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75"/>
      <c r="CZ10" s="75"/>
      <c r="DA10" s="75"/>
      <c r="DB10" s="75"/>
      <c r="DC10" s="75"/>
      <c r="DD10" s="75"/>
      <c r="DE10" s="75"/>
      <c r="DF10" s="75"/>
      <c r="DG10" s="75"/>
      <c r="DH10" s="75"/>
      <c r="DI10" s="75"/>
      <c r="DJ10" s="75"/>
      <c r="DK10" s="75"/>
      <c r="DL10" s="75"/>
    </row>
    <row r="11" spans="1:118" s="73" customFormat="1" ht="18" customHeight="1" x14ac:dyDescent="0.25">
      <c r="A11" s="83" t="s">
        <v>1</v>
      </c>
      <c r="B11" s="84" t="s">
        <v>2</v>
      </c>
      <c r="C11" s="84" t="s">
        <v>240</v>
      </c>
      <c r="D11" s="84" t="s">
        <v>0</v>
      </c>
      <c r="E11" s="83" t="s">
        <v>7</v>
      </c>
      <c r="F11" s="83" t="s">
        <v>241</v>
      </c>
      <c r="G11" s="84" t="s">
        <v>242</v>
      </c>
      <c r="H11" s="83" t="s">
        <v>243</v>
      </c>
      <c r="L11" s="74"/>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75"/>
      <c r="CZ11" s="75"/>
      <c r="DA11" s="75"/>
      <c r="DB11" s="75"/>
      <c r="DC11" s="75"/>
      <c r="DD11" s="75"/>
      <c r="DE11" s="75"/>
      <c r="DF11" s="75"/>
      <c r="DG11" s="75"/>
      <c r="DH11" s="75"/>
      <c r="DI11" s="75"/>
      <c r="DJ11" s="75"/>
      <c r="DK11" s="75"/>
      <c r="DL11" s="75"/>
      <c r="DM11" s="75"/>
      <c r="DN11" s="75"/>
    </row>
    <row r="12" spans="1:118" x14ac:dyDescent="0.25">
      <c r="A12" s="86" t="str">
        <f>C4</f>
        <v>Con_Cust1Auto,IND</v>
      </c>
      <c r="B12" s="2" t="s">
        <v>557</v>
      </c>
      <c r="C12" s="7">
        <v>4565319769</v>
      </c>
      <c r="D12" s="2" t="s">
        <v>6</v>
      </c>
      <c r="E12" s="3" t="s">
        <v>8</v>
      </c>
      <c r="F12" s="2" t="s">
        <v>558</v>
      </c>
      <c r="G12" s="3"/>
      <c r="H12" s="2" t="s">
        <v>244</v>
      </c>
      <c r="I12" s="73"/>
    </row>
    <row r="14" spans="1:118" ht="18.75" x14ac:dyDescent="0.25">
      <c r="A14" s="365" t="s">
        <v>245</v>
      </c>
      <c r="B14" s="366"/>
      <c r="C14" s="366"/>
      <c r="D14" s="366"/>
      <c r="E14" s="366"/>
      <c r="F14" s="366"/>
      <c r="G14" s="366"/>
    </row>
    <row r="15" spans="1:118" ht="15.75" x14ac:dyDescent="0.25">
      <c r="A15" s="87" t="s">
        <v>246</v>
      </c>
      <c r="B15" s="87" t="s">
        <v>247</v>
      </c>
      <c r="C15" s="80" t="s">
        <v>9</v>
      </c>
      <c r="D15" s="80" t="s">
        <v>248</v>
      </c>
      <c r="E15" s="80" t="s">
        <v>7</v>
      </c>
      <c r="F15" s="80" t="s">
        <v>0</v>
      </c>
      <c r="G15" s="80" t="s">
        <v>249</v>
      </c>
      <c r="H15" s="80" t="s">
        <v>250</v>
      </c>
      <c r="I15" s="80" t="s">
        <v>251</v>
      </c>
      <c r="J15" s="80" t="s">
        <v>252</v>
      </c>
      <c r="K15" s="80" t="s">
        <v>244</v>
      </c>
      <c r="L15" s="80" t="s">
        <v>253</v>
      </c>
      <c r="M15" s="80" t="s">
        <v>254</v>
      </c>
      <c r="N15" s="80" t="s">
        <v>255</v>
      </c>
      <c r="O15" s="80" t="s">
        <v>256</v>
      </c>
      <c r="P15" s="80" t="s">
        <v>257</v>
      </c>
      <c r="Q15" s="80" t="s">
        <v>258</v>
      </c>
      <c r="R15" s="80" t="s">
        <v>18</v>
      </c>
      <c r="S15" s="80" t="s">
        <v>259</v>
      </c>
      <c r="T15" s="80" t="s">
        <v>547</v>
      </c>
    </row>
    <row r="16" spans="1:118" x14ac:dyDescent="0.25">
      <c r="A16" s="2" t="s">
        <v>260</v>
      </c>
      <c r="B16" s="2" t="s">
        <v>261</v>
      </c>
      <c r="C16" s="2" t="s">
        <v>521</v>
      </c>
      <c r="D16" s="2" t="s">
        <v>532</v>
      </c>
      <c r="E16" s="2" t="s">
        <v>8</v>
      </c>
      <c r="F16" s="2" t="s">
        <v>6</v>
      </c>
      <c r="G16" s="2" t="s">
        <v>262</v>
      </c>
      <c r="H16" s="2">
        <v>10</v>
      </c>
      <c r="I16" s="2" t="s">
        <v>263</v>
      </c>
      <c r="J16" s="2">
        <v>3</v>
      </c>
      <c r="K16" s="2" t="s">
        <v>87</v>
      </c>
      <c r="L16" s="2" t="s">
        <v>312</v>
      </c>
      <c r="M16" s="2" t="s">
        <v>429</v>
      </c>
      <c r="N16" s="2" t="s">
        <v>454</v>
      </c>
      <c r="O16" s="2" t="s">
        <v>264</v>
      </c>
      <c r="P16" s="2" t="s">
        <v>264</v>
      </c>
      <c r="Q16" s="2" t="s">
        <v>265</v>
      </c>
      <c r="R16" s="2" t="s">
        <v>22</v>
      </c>
      <c r="S16" s="2" t="s">
        <v>4</v>
      </c>
      <c r="T16" s="2"/>
      <c r="U16" s="1" t="s">
        <v>157</v>
      </c>
    </row>
    <row r="17" spans="1:115" x14ac:dyDescent="0.25">
      <c r="A17" s="2"/>
      <c r="B17" s="2"/>
      <c r="C17" s="2" t="s">
        <v>522</v>
      </c>
      <c r="D17" s="2" t="s">
        <v>533</v>
      </c>
      <c r="E17" s="2" t="s">
        <v>8</v>
      </c>
      <c r="F17" s="2" t="s">
        <v>6</v>
      </c>
      <c r="G17" s="2" t="s">
        <v>262</v>
      </c>
      <c r="H17" s="2">
        <v>10</v>
      </c>
      <c r="I17" s="2" t="s">
        <v>263</v>
      </c>
      <c r="J17" s="2">
        <v>3</v>
      </c>
      <c r="K17" s="2" t="s">
        <v>87</v>
      </c>
      <c r="L17" s="2" t="s">
        <v>312</v>
      </c>
      <c r="M17" s="2" t="s">
        <v>495</v>
      </c>
      <c r="N17" s="2" t="s">
        <v>459</v>
      </c>
      <c r="O17" s="2" t="s">
        <v>264</v>
      </c>
      <c r="P17" s="2" t="s">
        <v>264</v>
      </c>
      <c r="Q17" s="2" t="s">
        <v>265</v>
      </c>
      <c r="R17" s="2" t="s">
        <v>22</v>
      </c>
      <c r="S17" s="2" t="s">
        <v>4</v>
      </c>
      <c r="T17" s="2"/>
      <c r="U17" s="1" t="s">
        <v>157</v>
      </c>
    </row>
    <row r="18" spans="1:115" x14ac:dyDescent="0.25">
      <c r="A18" s="2"/>
      <c r="B18" s="2"/>
      <c r="C18" s="2" t="s">
        <v>523</v>
      </c>
      <c r="D18" s="2" t="s">
        <v>534</v>
      </c>
      <c r="E18" s="2" t="s">
        <v>8</v>
      </c>
      <c r="F18" s="2" t="s">
        <v>6</v>
      </c>
      <c r="G18" s="2" t="s">
        <v>262</v>
      </c>
      <c r="H18" s="2">
        <v>10</v>
      </c>
      <c r="I18" s="2" t="s">
        <v>263</v>
      </c>
      <c r="J18" s="2">
        <v>3</v>
      </c>
      <c r="K18" s="2" t="s">
        <v>87</v>
      </c>
      <c r="L18" s="2" t="s">
        <v>312</v>
      </c>
      <c r="M18" s="2" t="s">
        <v>457</v>
      </c>
      <c r="N18" s="2" t="s">
        <v>458</v>
      </c>
      <c r="O18" s="2" t="s">
        <v>264</v>
      </c>
      <c r="P18" s="2" t="s">
        <v>264</v>
      </c>
      <c r="Q18" s="2" t="s">
        <v>265</v>
      </c>
      <c r="R18" s="2" t="s">
        <v>22</v>
      </c>
      <c r="S18" s="2" t="s">
        <v>4</v>
      </c>
      <c r="T18" s="2"/>
      <c r="U18" s="1"/>
    </row>
    <row r="19" spans="1:115" x14ac:dyDescent="0.25">
      <c r="A19" s="2"/>
      <c r="B19" s="2"/>
      <c r="C19" s="2" t="s">
        <v>524</v>
      </c>
      <c r="D19" s="2" t="s">
        <v>535</v>
      </c>
      <c r="E19" s="2" t="s">
        <v>8</v>
      </c>
      <c r="F19" s="2" t="s">
        <v>6</v>
      </c>
      <c r="G19" s="2" t="s">
        <v>262</v>
      </c>
      <c r="H19" s="2">
        <v>10</v>
      </c>
      <c r="I19" s="2" t="s">
        <v>263</v>
      </c>
      <c r="J19" s="2">
        <v>3</v>
      </c>
      <c r="K19" s="2" t="s">
        <v>87</v>
      </c>
      <c r="L19" s="2" t="s">
        <v>312</v>
      </c>
      <c r="M19" s="2" t="s">
        <v>455</v>
      </c>
      <c r="N19" s="2" t="s">
        <v>456</v>
      </c>
      <c r="O19" s="2" t="s">
        <v>264</v>
      </c>
      <c r="P19" s="2" t="s">
        <v>264</v>
      </c>
      <c r="Q19" s="2" t="s">
        <v>265</v>
      </c>
      <c r="R19" s="2" t="s">
        <v>22</v>
      </c>
      <c r="S19" s="2" t="s">
        <v>4</v>
      </c>
      <c r="T19" s="2"/>
      <c r="U19" s="1"/>
    </row>
    <row r="20" spans="1:115" x14ac:dyDescent="0.25">
      <c r="A20" s="2"/>
      <c r="B20" s="2"/>
      <c r="C20" s="2" t="s">
        <v>525</v>
      </c>
      <c r="D20" s="2" t="s">
        <v>536</v>
      </c>
      <c r="E20" s="2" t="s">
        <v>8</v>
      </c>
      <c r="F20" s="2" t="s">
        <v>6</v>
      </c>
      <c r="G20" s="2" t="s">
        <v>262</v>
      </c>
      <c r="H20" s="2">
        <v>10</v>
      </c>
      <c r="I20" s="2" t="s">
        <v>263</v>
      </c>
      <c r="J20" s="2">
        <v>3</v>
      </c>
      <c r="K20" s="2" t="s">
        <v>87</v>
      </c>
      <c r="L20" s="2" t="s">
        <v>107</v>
      </c>
      <c r="M20" s="2" t="s">
        <v>429</v>
      </c>
      <c r="N20" s="2" t="s">
        <v>454</v>
      </c>
      <c r="O20" s="2" t="s">
        <v>264</v>
      </c>
      <c r="P20" s="2" t="s">
        <v>264</v>
      </c>
      <c r="Q20" s="2" t="s">
        <v>265</v>
      </c>
      <c r="R20" s="2" t="s">
        <v>22</v>
      </c>
      <c r="S20" s="2" t="s">
        <v>4</v>
      </c>
      <c r="T20" s="2"/>
      <c r="U20" s="1" t="s">
        <v>157</v>
      </c>
    </row>
    <row r="21" spans="1:115" x14ac:dyDescent="0.25">
      <c r="A21" s="2"/>
      <c r="B21" s="2"/>
      <c r="C21" s="2" t="s">
        <v>526</v>
      </c>
      <c r="D21" s="2" t="s">
        <v>537</v>
      </c>
      <c r="E21" s="2" t="s">
        <v>8</v>
      </c>
      <c r="F21" s="2" t="s">
        <v>6</v>
      </c>
      <c r="G21" s="2" t="s">
        <v>262</v>
      </c>
      <c r="H21" s="2">
        <v>10</v>
      </c>
      <c r="I21" s="2" t="s">
        <v>263</v>
      </c>
      <c r="J21" s="2">
        <v>3</v>
      </c>
      <c r="K21" s="2" t="s">
        <v>87</v>
      </c>
      <c r="L21" s="2" t="s">
        <v>107</v>
      </c>
      <c r="M21" s="2" t="s">
        <v>429</v>
      </c>
      <c r="N21" s="2" t="s">
        <v>460</v>
      </c>
      <c r="O21" s="2" t="s">
        <v>264</v>
      </c>
      <c r="P21" s="2" t="s">
        <v>264</v>
      </c>
      <c r="Q21" s="2" t="s">
        <v>265</v>
      </c>
      <c r="R21" s="2" t="s">
        <v>22</v>
      </c>
      <c r="S21" s="2" t="s">
        <v>4</v>
      </c>
      <c r="T21" s="2"/>
      <c r="U21" s="1" t="s">
        <v>157</v>
      </c>
    </row>
    <row r="22" spans="1:115" x14ac:dyDescent="0.25">
      <c r="A22" s="2"/>
      <c r="B22" s="2"/>
      <c r="C22" s="2" t="s">
        <v>527</v>
      </c>
      <c r="D22" s="2" t="s">
        <v>538</v>
      </c>
      <c r="E22" s="2" t="s">
        <v>8</v>
      </c>
      <c r="F22" s="2" t="s">
        <v>6</v>
      </c>
      <c r="G22" s="2" t="s">
        <v>262</v>
      </c>
      <c r="H22" s="2">
        <v>10</v>
      </c>
      <c r="I22" s="2" t="s">
        <v>263</v>
      </c>
      <c r="J22" s="2">
        <v>3</v>
      </c>
      <c r="K22" s="2" t="s">
        <v>87</v>
      </c>
      <c r="L22" s="2" t="s">
        <v>107</v>
      </c>
      <c r="M22" s="2" t="s">
        <v>461</v>
      </c>
      <c r="N22" s="2" t="s">
        <v>462</v>
      </c>
      <c r="O22" s="2" t="s">
        <v>264</v>
      </c>
      <c r="P22" s="2" t="s">
        <v>264</v>
      </c>
      <c r="Q22" s="2" t="s">
        <v>265</v>
      </c>
      <c r="R22" s="2" t="s">
        <v>22</v>
      </c>
      <c r="S22" s="2" t="s">
        <v>4</v>
      </c>
      <c r="T22" s="2"/>
      <c r="U22" s="1"/>
    </row>
    <row r="23" spans="1:115" x14ac:dyDescent="0.25">
      <c r="A23" s="2"/>
      <c r="B23" s="2"/>
      <c r="C23" s="2" t="s">
        <v>528</v>
      </c>
      <c r="D23" s="2" t="s">
        <v>539</v>
      </c>
      <c r="E23" s="2" t="s">
        <v>8</v>
      </c>
      <c r="F23" s="2" t="s">
        <v>6</v>
      </c>
      <c r="G23" s="2" t="s">
        <v>262</v>
      </c>
      <c r="H23" s="2">
        <v>10</v>
      </c>
      <c r="I23" s="2" t="s">
        <v>263</v>
      </c>
      <c r="J23" s="2">
        <v>3</v>
      </c>
      <c r="K23" s="2" t="s">
        <v>87</v>
      </c>
      <c r="L23" s="2" t="s">
        <v>108</v>
      </c>
      <c r="M23" s="2" t="s">
        <v>496</v>
      </c>
      <c r="N23" s="2" t="s">
        <v>463</v>
      </c>
      <c r="O23" s="2" t="s">
        <v>264</v>
      </c>
      <c r="P23" s="2" t="s">
        <v>264</v>
      </c>
      <c r="Q23" s="2" t="s">
        <v>265</v>
      </c>
      <c r="R23" s="2" t="s">
        <v>22</v>
      </c>
      <c r="S23" s="2" t="s">
        <v>4</v>
      </c>
      <c r="T23" s="2"/>
      <c r="U23" s="1"/>
    </row>
    <row r="24" spans="1:115" x14ac:dyDescent="0.25">
      <c r="A24" s="2"/>
      <c r="B24" s="2"/>
      <c r="C24" s="2" t="s">
        <v>529</v>
      </c>
      <c r="D24" s="2" t="s">
        <v>540</v>
      </c>
      <c r="E24" s="2" t="s">
        <v>8</v>
      </c>
      <c r="F24" s="2" t="s">
        <v>6</v>
      </c>
      <c r="G24" s="2" t="s">
        <v>262</v>
      </c>
      <c r="H24" s="2">
        <v>10</v>
      </c>
      <c r="I24" s="2" t="s">
        <v>263</v>
      </c>
      <c r="J24" s="2">
        <v>3</v>
      </c>
      <c r="K24" s="2" t="s">
        <v>87</v>
      </c>
      <c r="L24" s="2" t="s">
        <v>108</v>
      </c>
      <c r="M24" s="2" t="s">
        <v>464</v>
      </c>
      <c r="N24" s="2" t="s">
        <v>429</v>
      </c>
      <c r="O24" s="2" t="s">
        <v>264</v>
      </c>
      <c r="P24" s="2" t="s">
        <v>264</v>
      </c>
      <c r="Q24" s="2" t="s">
        <v>265</v>
      </c>
      <c r="R24" s="2" t="s">
        <v>22</v>
      </c>
      <c r="S24" s="2" t="s">
        <v>4</v>
      </c>
      <c r="T24" s="2"/>
      <c r="U24" s="1"/>
    </row>
    <row r="25" spans="1:115" x14ac:dyDescent="0.25">
      <c r="A25" s="2"/>
      <c r="B25" s="2"/>
      <c r="C25" s="2" t="s">
        <v>548</v>
      </c>
      <c r="D25" s="2" t="s">
        <v>541</v>
      </c>
      <c r="E25" s="2" t="s">
        <v>8</v>
      </c>
      <c r="F25" s="2" t="s">
        <v>6</v>
      </c>
      <c r="G25" s="2" t="s">
        <v>262</v>
      </c>
      <c r="H25" s="2">
        <v>10</v>
      </c>
      <c r="I25" s="2" t="s">
        <v>263</v>
      </c>
      <c r="J25" s="2">
        <v>3</v>
      </c>
      <c r="K25" s="2" t="s">
        <v>87</v>
      </c>
      <c r="L25" s="2" t="s">
        <v>108</v>
      </c>
      <c r="M25" s="2" t="s">
        <v>464</v>
      </c>
      <c r="N25" s="2" t="s">
        <v>465</v>
      </c>
      <c r="O25" s="2" t="s">
        <v>264</v>
      </c>
      <c r="P25" s="2" t="s">
        <v>264</v>
      </c>
      <c r="Q25" s="2" t="s">
        <v>265</v>
      </c>
      <c r="R25" s="2" t="s">
        <v>22</v>
      </c>
      <c r="S25" s="2" t="s">
        <v>4</v>
      </c>
      <c r="T25" s="2"/>
      <c r="U25" s="1"/>
    </row>
    <row r="26" spans="1:115" x14ac:dyDescent="0.25">
      <c r="A26" s="2"/>
      <c r="B26" s="2"/>
      <c r="C26" s="2" t="s">
        <v>530</v>
      </c>
      <c r="D26" s="2" t="s">
        <v>542</v>
      </c>
      <c r="E26" s="2" t="s">
        <v>8</v>
      </c>
      <c r="F26" s="2" t="s">
        <v>6</v>
      </c>
      <c r="G26" s="2" t="s">
        <v>262</v>
      </c>
      <c r="H26" s="2">
        <v>10</v>
      </c>
      <c r="I26" s="2" t="s">
        <v>263</v>
      </c>
      <c r="J26" s="2">
        <v>3</v>
      </c>
      <c r="K26" s="2" t="s">
        <v>87</v>
      </c>
      <c r="L26" s="2" t="s">
        <v>89</v>
      </c>
      <c r="M26" s="2" t="s">
        <v>464</v>
      </c>
      <c r="N26" s="2" t="s">
        <v>466</v>
      </c>
      <c r="O26" s="2" t="s">
        <v>264</v>
      </c>
      <c r="P26" s="2" t="s">
        <v>264</v>
      </c>
      <c r="Q26" s="2" t="s">
        <v>265</v>
      </c>
      <c r="R26" s="2" t="s">
        <v>22</v>
      </c>
      <c r="S26" s="2" t="s">
        <v>4</v>
      </c>
      <c r="T26" s="2"/>
      <c r="U26" s="1" t="s">
        <v>157</v>
      </c>
    </row>
    <row r="27" spans="1:115" x14ac:dyDescent="0.25">
      <c r="A27" s="2"/>
      <c r="B27" s="2"/>
      <c r="C27" s="2" t="s">
        <v>531</v>
      </c>
      <c r="D27" s="2" t="s">
        <v>543</v>
      </c>
      <c r="E27" s="2" t="s">
        <v>8</v>
      </c>
      <c r="F27" s="2" t="s">
        <v>6</v>
      </c>
      <c r="G27" s="2" t="s">
        <v>262</v>
      </c>
      <c r="H27" s="2">
        <v>10</v>
      </c>
      <c r="I27" s="2" t="s">
        <v>263</v>
      </c>
      <c r="J27" s="2">
        <v>3</v>
      </c>
      <c r="K27" s="2" t="s">
        <v>87</v>
      </c>
      <c r="L27" s="2" t="s">
        <v>88</v>
      </c>
      <c r="M27" s="2" t="s">
        <v>429</v>
      </c>
      <c r="N27" s="2" t="s">
        <v>454</v>
      </c>
      <c r="O27" s="2" t="s">
        <v>264</v>
      </c>
      <c r="P27" s="2" t="s">
        <v>264</v>
      </c>
      <c r="Q27" s="2" t="s">
        <v>265</v>
      </c>
      <c r="R27" s="2" t="s">
        <v>22</v>
      </c>
      <c r="S27" s="2" t="s">
        <v>4</v>
      </c>
      <c r="T27" s="2"/>
      <c r="U27" s="1" t="s">
        <v>157</v>
      </c>
    </row>
    <row r="28" spans="1:115" ht="18.75" x14ac:dyDescent="0.25">
      <c r="A28" s="369" t="s">
        <v>267</v>
      </c>
      <c r="B28" s="369"/>
      <c r="C28" s="369"/>
    </row>
    <row r="29" spans="1:115" ht="15.75" x14ac:dyDescent="0.25">
      <c r="A29" s="83" t="s">
        <v>268</v>
      </c>
      <c r="B29" s="83" t="s">
        <v>269</v>
      </c>
      <c r="C29" s="84" t="s">
        <v>270</v>
      </c>
      <c r="D29" s="80" t="s">
        <v>0</v>
      </c>
    </row>
    <row r="30" spans="1:115" x14ac:dyDescent="0.25">
      <c r="A30" s="88" t="s">
        <v>467</v>
      </c>
      <c r="B30" s="2" t="s">
        <v>53</v>
      </c>
      <c r="C30" s="2" t="s">
        <v>271</v>
      </c>
      <c r="D30" s="2" t="s">
        <v>6</v>
      </c>
    </row>
    <row r="32" spans="1:115" s="73" customFormat="1" ht="18" customHeight="1" x14ac:dyDescent="0.25">
      <c r="A32" s="364" t="s">
        <v>272</v>
      </c>
      <c r="B32" s="364"/>
      <c r="C32" s="364"/>
      <c r="D32" s="364"/>
      <c r="E32" s="364"/>
      <c r="F32" s="364"/>
      <c r="G32" s="364"/>
      <c r="H32" s="364"/>
      <c r="I32" s="364"/>
      <c r="J32" s="364"/>
      <c r="O32" s="74"/>
      <c r="P32" s="74"/>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row>
    <row r="33" spans="1:117" s="73" customFormat="1" ht="22.5" x14ac:dyDescent="0.25">
      <c r="A33" s="83" t="s">
        <v>268</v>
      </c>
      <c r="B33" s="83" t="s">
        <v>269</v>
      </c>
      <c r="C33" s="83" t="s">
        <v>273</v>
      </c>
      <c r="D33" s="89" t="s">
        <v>17</v>
      </c>
      <c r="E33" s="89" t="s">
        <v>54</v>
      </c>
      <c r="F33" s="89" t="s">
        <v>55</v>
      </c>
      <c r="G33" s="89" t="s">
        <v>274</v>
      </c>
      <c r="H33" s="89" t="s">
        <v>275</v>
      </c>
      <c r="I33" s="90" t="s">
        <v>56</v>
      </c>
      <c r="J33" s="91" t="s">
        <v>276</v>
      </c>
      <c r="K33" s="92" t="s">
        <v>277</v>
      </c>
      <c r="L33" s="94" t="s">
        <v>278</v>
      </c>
      <c r="M33" s="95" t="s">
        <v>18</v>
      </c>
      <c r="N33" s="95" t="s">
        <v>279</v>
      </c>
      <c r="O33" s="96" t="s">
        <v>295</v>
      </c>
      <c r="P33" s="96" t="s">
        <v>296</v>
      </c>
      <c r="Q33" s="74"/>
      <c r="R33" s="74"/>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row>
    <row r="34" spans="1:117" s="73" customFormat="1" x14ac:dyDescent="0.25">
      <c r="A34" s="88" t="s">
        <v>549</v>
      </c>
      <c r="B34" s="2" t="s">
        <v>544</v>
      </c>
      <c r="C34" s="2" t="s">
        <v>525</v>
      </c>
      <c r="D34" s="2" t="s">
        <v>21</v>
      </c>
      <c r="E34" s="2" t="s">
        <v>271</v>
      </c>
      <c r="F34" s="2"/>
      <c r="G34" s="2" t="s">
        <v>4</v>
      </c>
      <c r="H34" s="2" t="s">
        <v>280</v>
      </c>
      <c r="I34" s="2" t="s">
        <v>550</v>
      </c>
      <c r="J34" s="2"/>
      <c r="K34" s="2"/>
      <c r="L34" s="93"/>
      <c r="M34" s="2"/>
      <c r="N34" s="95" t="s">
        <v>281</v>
      </c>
      <c r="O34" s="96"/>
      <c r="P34" s="96"/>
      <c r="Q34" s="74"/>
      <c r="R34" s="74"/>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row>
    <row r="35" spans="1:117" s="73" customFormat="1" x14ac:dyDescent="0.25">
      <c r="A35" s="88"/>
      <c r="B35" s="2"/>
      <c r="C35" s="2" t="s">
        <v>526</v>
      </c>
      <c r="D35" s="2" t="s">
        <v>21</v>
      </c>
      <c r="E35" s="2" t="s">
        <v>271</v>
      </c>
      <c r="F35" s="2"/>
      <c r="G35" s="2" t="s">
        <v>4</v>
      </c>
      <c r="H35" s="2" t="s">
        <v>280</v>
      </c>
      <c r="I35" s="88" t="s">
        <v>442</v>
      </c>
      <c r="J35" s="2"/>
      <c r="K35" s="2"/>
      <c r="L35" s="93"/>
      <c r="M35" s="2"/>
      <c r="N35" s="95" t="s">
        <v>281</v>
      </c>
      <c r="O35" s="96"/>
      <c r="P35" s="96"/>
      <c r="Q35" s="74"/>
      <c r="R35" s="74"/>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row>
    <row r="36" spans="1:117" s="73" customFormat="1" x14ac:dyDescent="0.25">
      <c r="A36" s="2"/>
      <c r="B36" s="2"/>
      <c r="C36" s="2" t="s">
        <v>527</v>
      </c>
      <c r="D36" s="2" t="s">
        <v>21</v>
      </c>
      <c r="E36" s="2" t="s">
        <v>271</v>
      </c>
      <c r="F36" s="2"/>
      <c r="G36" s="2" t="s">
        <v>4</v>
      </c>
      <c r="H36" s="2" t="s">
        <v>280</v>
      </c>
      <c r="I36" s="88" t="s">
        <v>466</v>
      </c>
      <c r="J36" s="2"/>
      <c r="K36" s="2"/>
      <c r="L36" s="93"/>
      <c r="M36" s="2"/>
      <c r="N36" s="95" t="s">
        <v>282</v>
      </c>
      <c r="O36" s="96"/>
      <c r="P36" s="96"/>
      <c r="Q36" s="74"/>
      <c r="R36" s="74"/>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75"/>
      <c r="CZ36" s="75"/>
      <c r="DA36" s="75"/>
      <c r="DB36" s="75"/>
      <c r="DC36" s="75"/>
      <c r="DD36" s="75"/>
      <c r="DE36" s="75"/>
      <c r="DF36" s="75"/>
      <c r="DG36" s="75"/>
      <c r="DH36" s="75"/>
      <c r="DI36" s="75"/>
      <c r="DJ36" s="75"/>
      <c r="DK36" s="75"/>
      <c r="DL36" s="75"/>
      <c r="DM36" s="75"/>
    </row>
    <row r="37" spans="1:117" s="73" customFormat="1" x14ac:dyDescent="0.25">
      <c r="A37" s="2"/>
      <c r="B37" s="2"/>
      <c r="C37" s="2" t="s">
        <v>528</v>
      </c>
      <c r="D37" s="2" t="s">
        <v>21</v>
      </c>
      <c r="E37" s="2" t="s">
        <v>271</v>
      </c>
      <c r="F37" s="2"/>
      <c r="G37" s="2" t="s">
        <v>4</v>
      </c>
      <c r="H37" s="2" t="s">
        <v>280</v>
      </c>
      <c r="I37" s="2" t="s">
        <v>432</v>
      </c>
      <c r="J37" s="2"/>
      <c r="K37" s="2"/>
      <c r="L37" s="93"/>
      <c r="M37" s="2"/>
      <c r="N37" s="95" t="s">
        <v>282</v>
      </c>
      <c r="O37" s="96"/>
      <c r="P37" s="96"/>
      <c r="Q37" s="74"/>
      <c r="R37" s="74"/>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c r="CM37" s="75"/>
      <c r="CN37" s="75"/>
      <c r="CO37" s="75"/>
      <c r="CP37" s="75"/>
      <c r="CQ37" s="75"/>
      <c r="CR37" s="75"/>
      <c r="CS37" s="75"/>
      <c r="CT37" s="75"/>
      <c r="CU37" s="75"/>
      <c r="CV37" s="75"/>
      <c r="CW37" s="75"/>
      <c r="CX37" s="75"/>
      <c r="CY37" s="75"/>
      <c r="CZ37" s="75"/>
      <c r="DA37" s="75"/>
      <c r="DB37" s="75"/>
      <c r="DC37" s="75"/>
      <c r="DD37" s="75"/>
      <c r="DE37" s="75"/>
      <c r="DF37" s="75"/>
      <c r="DG37" s="75"/>
      <c r="DH37" s="75"/>
      <c r="DI37" s="75"/>
      <c r="DJ37" s="75"/>
      <c r="DK37" s="75"/>
      <c r="DL37" s="75"/>
      <c r="DM37" s="75"/>
    </row>
    <row r="38" spans="1:117" s="73" customFormat="1" x14ac:dyDescent="0.25">
      <c r="A38" s="88" t="s">
        <v>552</v>
      </c>
      <c r="B38" s="2" t="s">
        <v>545</v>
      </c>
      <c r="C38" s="2" t="s">
        <v>529</v>
      </c>
      <c r="D38" s="2" t="s">
        <v>21</v>
      </c>
      <c r="E38" s="2" t="s">
        <v>271</v>
      </c>
      <c r="F38" s="2"/>
      <c r="G38" s="2" t="s">
        <v>4</v>
      </c>
      <c r="H38" s="2" t="s">
        <v>280</v>
      </c>
      <c r="I38" s="88" t="s">
        <v>551</v>
      </c>
      <c r="J38" s="2"/>
      <c r="K38" s="2"/>
      <c r="L38" s="93"/>
      <c r="M38" s="2"/>
      <c r="N38" s="95" t="s">
        <v>282</v>
      </c>
      <c r="O38" s="96"/>
      <c r="P38" s="96"/>
      <c r="Q38" s="74"/>
      <c r="R38" s="74"/>
      <c r="BO38" s="75"/>
      <c r="BP38" s="75"/>
      <c r="BQ38" s="75"/>
      <c r="BR38" s="75"/>
      <c r="BS38" s="75"/>
      <c r="BT38" s="75"/>
      <c r="BU38" s="75"/>
      <c r="BV38" s="75"/>
      <c r="BW38" s="75"/>
      <c r="BX38" s="75"/>
      <c r="BY38" s="75"/>
      <c r="BZ38" s="75"/>
      <c r="CA38" s="75"/>
      <c r="CB38" s="75"/>
      <c r="CC38" s="75"/>
      <c r="CD38" s="75"/>
      <c r="CE38" s="75"/>
      <c r="CF38" s="75"/>
      <c r="CG38" s="75"/>
      <c r="CH38" s="75"/>
      <c r="CI38" s="75"/>
      <c r="CJ38" s="75"/>
      <c r="CK38" s="75"/>
      <c r="CL38" s="75"/>
      <c r="CM38" s="75"/>
      <c r="CN38" s="75"/>
      <c r="CO38" s="75"/>
      <c r="CP38" s="75"/>
      <c r="CQ38" s="75"/>
      <c r="CR38" s="75"/>
      <c r="CS38" s="75"/>
      <c r="CT38" s="75"/>
      <c r="CU38" s="75"/>
      <c r="CV38" s="75"/>
      <c r="CW38" s="75"/>
      <c r="CX38" s="75"/>
      <c r="CY38" s="75"/>
      <c r="CZ38" s="75"/>
      <c r="DA38" s="75"/>
      <c r="DB38" s="75"/>
      <c r="DC38" s="75"/>
      <c r="DD38" s="75"/>
      <c r="DE38" s="75"/>
      <c r="DF38" s="75"/>
      <c r="DG38" s="75"/>
      <c r="DH38" s="75"/>
      <c r="DI38" s="75"/>
      <c r="DJ38" s="75"/>
      <c r="DK38" s="75"/>
      <c r="DL38" s="75"/>
      <c r="DM38" s="75"/>
    </row>
    <row r="39" spans="1:117" s="73" customFormat="1" x14ac:dyDescent="0.25">
      <c r="A39" s="2"/>
      <c r="B39" s="2"/>
      <c r="C39" s="2" t="s">
        <v>548</v>
      </c>
      <c r="D39" s="2" t="s">
        <v>21</v>
      </c>
      <c r="E39" s="2" t="s">
        <v>271</v>
      </c>
      <c r="F39" s="2"/>
      <c r="G39" s="2" t="s">
        <v>4</v>
      </c>
      <c r="H39" s="2" t="s">
        <v>280</v>
      </c>
      <c r="I39" s="88" t="s">
        <v>292</v>
      </c>
      <c r="J39" s="2"/>
      <c r="K39" s="2"/>
      <c r="L39" s="93"/>
      <c r="M39" s="2"/>
      <c r="N39" s="95" t="s">
        <v>281</v>
      </c>
      <c r="O39" s="96"/>
      <c r="P39" s="96"/>
      <c r="Q39" s="74"/>
      <c r="R39" s="74"/>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75"/>
      <c r="CZ39" s="75"/>
      <c r="DA39" s="75"/>
      <c r="DB39" s="75"/>
      <c r="DC39" s="75"/>
      <c r="DD39" s="75"/>
      <c r="DE39" s="75"/>
      <c r="DF39" s="75"/>
      <c r="DG39" s="75"/>
      <c r="DH39" s="75"/>
      <c r="DI39" s="75"/>
      <c r="DJ39" s="75"/>
      <c r="DK39" s="75"/>
      <c r="DL39" s="75"/>
      <c r="DM39" s="75"/>
    </row>
    <row r="40" spans="1:117" s="73" customFormat="1" x14ac:dyDescent="0.25">
      <c r="A40" s="2" t="s">
        <v>553</v>
      </c>
      <c r="B40" s="2" t="s">
        <v>546</v>
      </c>
      <c r="C40" s="2" t="s">
        <v>530</v>
      </c>
      <c r="D40" s="2" t="s">
        <v>21</v>
      </c>
      <c r="E40" s="2" t="s">
        <v>271</v>
      </c>
      <c r="F40" s="2"/>
      <c r="G40" s="2" t="s">
        <v>4</v>
      </c>
      <c r="H40" s="2" t="s">
        <v>280</v>
      </c>
      <c r="I40" s="88" t="s">
        <v>293</v>
      </c>
      <c r="J40" s="2"/>
      <c r="K40" s="2"/>
      <c r="L40" s="93"/>
      <c r="M40" s="2"/>
      <c r="N40" s="95" t="s">
        <v>281</v>
      </c>
      <c r="O40" s="96" t="s">
        <v>50</v>
      </c>
      <c r="P40" s="96"/>
      <c r="Q40" s="74"/>
      <c r="R40" s="74"/>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row>
    <row r="41" spans="1:117" s="73" customFormat="1" x14ac:dyDescent="0.25">
      <c r="A41" s="2"/>
      <c r="B41" s="2"/>
      <c r="C41" s="2" t="s">
        <v>531</v>
      </c>
      <c r="D41" s="2" t="s">
        <v>21</v>
      </c>
      <c r="E41" s="2" t="s">
        <v>271</v>
      </c>
      <c r="F41" s="2"/>
      <c r="G41" s="2" t="s">
        <v>4</v>
      </c>
      <c r="H41" s="2" t="s">
        <v>280</v>
      </c>
      <c r="I41" s="2" t="s">
        <v>294</v>
      </c>
      <c r="J41" s="2"/>
      <c r="K41" s="2"/>
      <c r="L41" s="93"/>
      <c r="M41" s="2"/>
      <c r="N41" s="95" t="s">
        <v>281</v>
      </c>
      <c r="O41" s="96" t="s">
        <v>4</v>
      </c>
      <c r="P41" s="96"/>
      <c r="Q41" s="74"/>
      <c r="R41" s="74"/>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row>
    <row r="42" spans="1:117" ht="18.75" x14ac:dyDescent="0.25">
      <c r="A42" s="361" t="s">
        <v>285</v>
      </c>
      <c r="B42" s="362"/>
      <c r="C42" s="362"/>
      <c r="D42" s="363"/>
    </row>
    <row r="43" spans="1:117" ht="15.75" x14ac:dyDescent="0.25">
      <c r="A43" s="83" t="s">
        <v>268</v>
      </c>
      <c r="B43" s="83" t="s">
        <v>269</v>
      </c>
      <c r="C43" s="84" t="s">
        <v>286</v>
      </c>
      <c r="D43" s="83" t="s">
        <v>287</v>
      </c>
      <c r="E43" s="80" t="s">
        <v>54</v>
      </c>
    </row>
    <row r="44" spans="1:117" x14ac:dyDescent="0.25">
      <c r="A44" s="88"/>
      <c r="B44" s="2" t="s">
        <v>544</v>
      </c>
      <c r="C44" s="4" t="s">
        <v>86</v>
      </c>
      <c r="D44" s="2" t="s">
        <v>57</v>
      </c>
      <c r="E44" s="2" t="s">
        <v>271</v>
      </c>
    </row>
    <row r="45" spans="1:117" x14ac:dyDescent="0.25">
      <c r="A45" s="88"/>
      <c r="B45" s="2" t="s">
        <v>545</v>
      </c>
      <c r="C45" s="4" t="s">
        <v>86</v>
      </c>
      <c r="D45" s="2" t="s">
        <v>57</v>
      </c>
      <c r="E45" s="2" t="s">
        <v>271</v>
      </c>
    </row>
    <row r="46" spans="1:117" x14ac:dyDescent="0.25">
      <c r="A46" s="2"/>
      <c r="B46" s="2" t="s">
        <v>546</v>
      </c>
      <c r="C46" s="4" t="s">
        <v>86</v>
      </c>
      <c r="D46" s="2" t="s">
        <v>57</v>
      </c>
      <c r="E46" s="2" t="s">
        <v>271</v>
      </c>
    </row>
    <row r="48" spans="1:117" ht="18.75" x14ac:dyDescent="0.25">
      <c r="A48" s="361" t="s">
        <v>288</v>
      </c>
      <c r="B48" s="362"/>
      <c r="C48" s="362"/>
      <c r="D48" s="363"/>
    </row>
    <row r="49" spans="1:18" ht="15.75" x14ac:dyDescent="0.25">
      <c r="A49" s="83" t="s">
        <v>287</v>
      </c>
      <c r="B49" s="84" t="s">
        <v>286</v>
      </c>
      <c r="C49" s="84" t="s">
        <v>58</v>
      </c>
      <c r="D49" s="83" t="s">
        <v>289</v>
      </c>
      <c r="E49" s="83" t="s">
        <v>56</v>
      </c>
      <c r="F49" s="5" t="s">
        <v>18</v>
      </c>
      <c r="G49" s="5"/>
    </row>
    <row r="50" spans="1:18" x14ac:dyDescent="0.25">
      <c r="A50" s="2" t="s">
        <v>57</v>
      </c>
      <c r="B50" s="4" t="s">
        <v>86</v>
      </c>
      <c r="C50" s="4" t="s">
        <v>521</v>
      </c>
      <c r="D50" s="2" t="s">
        <v>21</v>
      </c>
      <c r="E50" s="2" t="s">
        <v>297</v>
      </c>
      <c r="F50" s="2" t="s">
        <v>22</v>
      </c>
      <c r="G50" s="2"/>
    </row>
    <row r="51" spans="1:18" x14ac:dyDescent="0.25">
      <c r="A51" s="2" t="s">
        <v>57</v>
      </c>
      <c r="B51" s="4" t="s">
        <v>86</v>
      </c>
      <c r="C51" s="4" t="s">
        <v>522</v>
      </c>
      <c r="D51" s="2" t="s">
        <v>21</v>
      </c>
      <c r="E51" s="2" t="s">
        <v>110</v>
      </c>
      <c r="F51" s="2" t="s">
        <v>22</v>
      </c>
      <c r="G51" s="2"/>
    </row>
    <row r="52" spans="1:18" x14ac:dyDescent="0.25">
      <c r="A52" s="2" t="s">
        <v>57</v>
      </c>
      <c r="B52" s="4" t="s">
        <v>86</v>
      </c>
      <c r="C52" s="4" t="s">
        <v>523</v>
      </c>
      <c r="D52" s="2" t="s">
        <v>21</v>
      </c>
      <c r="E52" s="2" t="s">
        <v>559</v>
      </c>
      <c r="F52" s="2" t="s">
        <v>22</v>
      </c>
      <c r="G52" s="2"/>
    </row>
    <row r="53" spans="1:18" x14ac:dyDescent="0.25">
      <c r="A53" s="2" t="s">
        <v>57</v>
      </c>
      <c r="B53" s="4" t="s">
        <v>86</v>
      </c>
      <c r="C53" s="4" t="s">
        <v>524</v>
      </c>
      <c r="D53" s="2" t="s">
        <v>21</v>
      </c>
      <c r="E53" s="2" t="s">
        <v>560</v>
      </c>
      <c r="F53" s="2" t="s">
        <v>22</v>
      </c>
      <c r="G53" s="2"/>
    </row>
    <row r="57" spans="1:18" ht="50.45" customHeight="1" x14ac:dyDescent="0.25">
      <c r="A57" s="368" t="s">
        <v>115</v>
      </c>
      <c r="B57" s="368"/>
      <c r="C57" s="368"/>
      <c r="D57" s="368"/>
      <c r="E57" s="368"/>
      <c r="F57" s="368"/>
      <c r="G57" s="368"/>
      <c r="H57" s="368"/>
      <c r="I57" s="368"/>
      <c r="J57" s="368"/>
      <c r="K57" s="368"/>
    </row>
    <row r="59" spans="1:18" ht="16.7" customHeight="1" x14ac:dyDescent="0.25">
      <c r="A59" s="367" t="s">
        <v>111</v>
      </c>
      <c r="B59" s="367"/>
      <c r="C59" s="367"/>
      <c r="D59" s="367"/>
    </row>
    <row r="60" spans="1:18" x14ac:dyDescent="0.25">
      <c r="A60" s="22" t="s">
        <v>112</v>
      </c>
      <c r="B60" s="22" t="s">
        <v>113</v>
      </c>
      <c r="C60" s="22" t="s">
        <v>0</v>
      </c>
      <c r="D60" s="22" t="s">
        <v>114</v>
      </c>
    </row>
    <row r="61" spans="1:18" x14ac:dyDescent="0.25">
      <c r="A61" s="3"/>
      <c r="B61" s="81"/>
      <c r="C61" s="6"/>
      <c r="D61" s="4"/>
    </row>
    <row r="63" spans="1:18" x14ac:dyDescent="0.25">
      <c r="A63" s="324" t="s">
        <v>117</v>
      </c>
      <c r="B63" s="325"/>
      <c r="C63" s="325"/>
      <c r="D63" s="325"/>
      <c r="E63" s="325"/>
      <c r="F63" s="325"/>
      <c r="G63" s="325"/>
      <c r="H63" s="325"/>
      <c r="I63" s="325"/>
      <c r="J63" s="325"/>
      <c r="K63" s="325"/>
      <c r="L63" s="325"/>
      <c r="M63" s="325"/>
      <c r="N63" s="325"/>
      <c r="O63" s="325"/>
      <c r="P63" s="325"/>
      <c r="Q63" s="325"/>
      <c r="R63" s="325"/>
    </row>
    <row r="64" spans="1:18" x14ac:dyDescent="0.25">
      <c r="A64" s="22" t="s">
        <v>118</v>
      </c>
      <c r="B64" s="22" t="s">
        <v>119</v>
      </c>
      <c r="C64" s="22" t="s">
        <v>120</v>
      </c>
      <c r="D64" s="22" t="s">
        <v>121</v>
      </c>
      <c r="E64" s="22" t="s">
        <v>122</v>
      </c>
      <c r="F64" s="22" t="s">
        <v>123</v>
      </c>
      <c r="G64" s="22" t="s">
        <v>124</v>
      </c>
      <c r="H64" s="22" t="s">
        <v>125</v>
      </c>
      <c r="I64" s="22" t="s">
        <v>126</v>
      </c>
      <c r="J64" s="22" t="s">
        <v>127</v>
      </c>
      <c r="K64" s="22" t="s">
        <v>128</v>
      </c>
      <c r="L64" s="22" t="s">
        <v>129</v>
      </c>
      <c r="M64" s="22" t="s">
        <v>130</v>
      </c>
      <c r="N64" s="22" t="s">
        <v>131</v>
      </c>
      <c r="O64" s="22" t="s">
        <v>132</v>
      </c>
      <c r="P64" s="22" t="s">
        <v>133</v>
      </c>
      <c r="Q64" s="22" t="s">
        <v>133</v>
      </c>
      <c r="R64" s="22" t="s">
        <v>135</v>
      </c>
    </row>
    <row r="65" spans="1:18" x14ac:dyDescent="0.25">
      <c r="A65" s="19"/>
      <c r="B65" s="20"/>
      <c r="C65" s="21"/>
      <c r="D65" s="19"/>
      <c r="E65" s="10"/>
      <c r="F65" s="10"/>
      <c r="G65" s="19"/>
      <c r="H65" s="19"/>
      <c r="I65" s="19"/>
      <c r="J65" s="19"/>
      <c r="K65" s="19"/>
      <c r="L65" s="19"/>
      <c r="M65" s="19"/>
      <c r="N65" s="19"/>
      <c r="O65" s="19"/>
      <c r="P65" s="19"/>
      <c r="Q65" s="19"/>
      <c r="R65" s="19"/>
    </row>
    <row r="67" spans="1:18" x14ac:dyDescent="0.25">
      <c r="A67" s="324" t="s">
        <v>136</v>
      </c>
      <c r="B67" s="325"/>
      <c r="C67" s="325"/>
      <c r="D67" s="325"/>
      <c r="E67" s="325"/>
      <c r="F67" s="325"/>
      <c r="G67" s="325"/>
      <c r="H67" s="325"/>
      <c r="I67" s="325"/>
      <c r="J67" s="325"/>
      <c r="K67" s="325"/>
      <c r="L67" s="325"/>
      <c r="M67" s="325"/>
      <c r="N67" s="325"/>
      <c r="O67" s="325"/>
      <c r="P67" s="325"/>
      <c r="Q67" s="325"/>
      <c r="R67" s="325"/>
    </row>
    <row r="68" spans="1:18" x14ac:dyDescent="0.25">
      <c r="A68" s="22" t="s">
        <v>136</v>
      </c>
      <c r="B68" s="22" t="s">
        <v>144</v>
      </c>
      <c r="C68" s="22" t="s">
        <v>145</v>
      </c>
      <c r="D68" s="22" t="s">
        <v>119</v>
      </c>
      <c r="E68" s="22" t="s">
        <v>120</v>
      </c>
      <c r="F68" s="22" t="s">
        <v>121</v>
      </c>
      <c r="G68" s="22" t="s">
        <v>122</v>
      </c>
      <c r="H68" s="22" t="s">
        <v>140</v>
      </c>
      <c r="I68" s="22" t="s">
        <v>141</v>
      </c>
      <c r="J68" s="22" t="s">
        <v>54</v>
      </c>
      <c r="K68" s="22" t="s">
        <v>55</v>
      </c>
      <c r="L68" s="22" t="s">
        <v>142</v>
      </c>
      <c r="M68" s="22" t="s">
        <v>143</v>
      </c>
      <c r="N68" s="22"/>
      <c r="O68" s="22"/>
      <c r="P68" s="22"/>
      <c r="Q68" s="22"/>
      <c r="R68" s="22"/>
    </row>
    <row r="69" spans="1:18" x14ac:dyDescent="0.25">
      <c r="A69" s="24"/>
      <c r="B69" s="25"/>
      <c r="C69" s="25"/>
      <c r="D69" s="25"/>
      <c r="E69" s="21"/>
      <c r="F69" s="19"/>
      <c r="G69" s="10"/>
      <c r="H69" s="10"/>
      <c r="I69" s="19"/>
      <c r="J69" s="19"/>
      <c r="K69" s="19"/>
      <c r="L69" s="19"/>
      <c r="M69" s="19"/>
      <c r="N69" s="19"/>
      <c r="O69" s="19"/>
      <c r="P69" s="19"/>
      <c r="Q69" s="19"/>
      <c r="R69" s="19"/>
    </row>
    <row r="71" spans="1:18" x14ac:dyDescent="0.25">
      <c r="A71" s="324" t="s">
        <v>147</v>
      </c>
      <c r="B71" s="325"/>
      <c r="C71" s="325"/>
      <c r="D71" s="325"/>
      <c r="E71" s="325"/>
    </row>
    <row r="72" spans="1:18" x14ac:dyDescent="0.25">
      <c r="A72" s="26" t="s">
        <v>148</v>
      </c>
      <c r="B72" s="26" t="s">
        <v>149</v>
      </c>
      <c r="C72" s="26" t="s">
        <v>54</v>
      </c>
      <c r="D72" s="26" t="s">
        <v>55</v>
      </c>
      <c r="E72" s="23" t="s">
        <v>150</v>
      </c>
    </row>
    <row r="73" spans="1:18" x14ac:dyDescent="0.25">
      <c r="A73" s="88" t="s">
        <v>549</v>
      </c>
      <c r="B73" s="88">
        <v>1</v>
      </c>
      <c r="C73" s="10">
        <f>E65</f>
        <v>0</v>
      </c>
      <c r="D73" s="3"/>
      <c r="E73" s="3"/>
    </row>
    <row r="74" spans="1:18" x14ac:dyDescent="0.25">
      <c r="A74" s="88" t="s">
        <v>552</v>
      </c>
      <c r="B74" s="88">
        <v>2</v>
      </c>
      <c r="C74" s="10">
        <f>E65</f>
        <v>0</v>
      </c>
      <c r="D74" s="3"/>
      <c r="E74" s="3"/>
    </row>
    <row r="75" spans="1:18" x14ac:dyDescent="0.25">
      <c r="A75" s="2" t="s">
        <v>553</v>
      </c>
      <c r="B75" s="88">
        <v>3</v>
      </c>
      <c r="C75" s="10">
        <f>E65</f>
        <v>0</v>
      </c>
      <c r="D75" s="3"/>
      <c r="E75" s="3"/>
    </row>
    <row r="77" spans="1:18" x14ac:dyDescent="0.25">
      <c r="A77" s="324" t="s">
        <v>152</v>
      </c>
      <c r="B77" s="325"/>
      <c r="C77" s="325"/>
      <c r="D77" s="325"/>
      <c r="E77" s="325"/>
    </row>
    <row r="78" spans="1:18" x14ac:dyDescent="0.25">
      <c r="A78" s="26" t="s">
        <v>151</v>
      </c>
      <c r="B78" s="26" t="s">
        <v>154</v>
      </c>
      <c r="C78" s="26" t="s">
        <v>156</v>
      </c>
      <c r="D78" s="26" t="s">
        <v>158</v>
      </c>
      <c r="E78" s="23"/>
      <c r="K78" s="45"/>
    </row>
    <row r="79" spans="1:18" ht="45" x14ac:dyDescent="0.25">
      <c r="A79" s="6"/>
      <c r="B79" s="3" t="s">
        <v>153</v>
      </c>
      <c r="C79" s="10" t="s">
        <v>157</v>
      </c>
      <c r="D79" s="174" t="s">
        <v>561</v>
      </c>
      <c r="E79" s="3"/>
    </row>
    <row r="80" spans="1:18" x14ac:dyDescent="0.25">
      <c r="A80" s="6"/>
      <c r="B80" s="3" t="s">
        <v>155</v>
      </c>
      <c r="C80" s="10" t="s">
        <v>157</v>
      </c>
      <c r="D80" s="3" t="s">
        <v>562</v>
      </c>
      <c r="E80" s="3"/>
    </row>
    <row r="82" spans="1:18" x14ac:dyDescent="0.25">
      <c r="A82" s="376" t="s">
        <v>217</v>
      </c>
      <c r="B82" s="376"/>
      <c r="C82" s="376"/>
      <c r="D82" s="376"/>
      <c r="E82" s="376"/>
    </row>
    <row r="83" spans="1:18" x14ac:dyDescent="0.25">
      <c r="A83" s="324" t="s">
        <v>159</v>
      </c>
      <c r="B83" s="325"/>
      <c r="C83" s="325"/>
      <c r="D83" s="325"/>
      <c r="E83" s="325"/>
    </row>
    <row r="84" spans="1:18" x14ac:dyDescent="0.25">
      <c r="A84" s="173" t="s">
        <v>160</v>
      </c>
      <c r="B84" s="173" t="s">
        <v>43</v>
      </c>
      <c r="C84" s="173" t="s">
        <v>168</v>
      </c>
      <c r="D84" s="39" t="s">
        <v>176</v>
      </c>
      <c r="E84" s="39" t="s">
        <v>177</v>
      </c>
      <c r="F84" s="39" t="s">
        <v>56</v>
      </c>
      <c r="G84" s="173" t="s">
        <v>161</v>
      </c>
      <c r="H84" s="173" t="s">
        <v>162</v>
      </c>
      <c r="I84" s="39" t="s">
        <v>18</v>
      </c>
      <c r="J84" s="39" t="s">
        <v>163</v>
      </c>
      <c r="K84" s="39" t="s">
        <v>164</v>
      </c>
      <c r="L84" s="39" t="s">
        <v>165</v>
      </c>
      <c r="M84" s="39" t="s">
        <v>166</v>
      </c>
      <c r="N84" s="39" t="s">
        <v>183</v>
      </c>
      <c r="O84" s="39" t="s">
        <v>180</v>
      </c>
      <c r="P84" s="39" t="s">
        <v>181</v>
      </c>
      <c r="Q84" s="39" t="s">
        <v>182</v>
      </c>
      <c r="R84" s="39" t="s">
        <v>167</v>
      </c>
    </row>
    <row r="85" spans="1:18" x14ac:dyDescent="0.25">
      <c r="A85" s="46" t="s">
        <v>169</v>
      </c>
      <c r="B85" s="46"/>
      <c r="C85" s="46" t="s">
        <v>178</v>
      </c>
      <c r="D85" s="46"/>
      <c r="E85" s="46"/>
      <c r="F85" s="46"/>
      <c r="G85" s="46"/>
      <c r="H85" s="46"/>
      <c r="I85" s="46"/>
      <c r="J85" s="47">
        <f>J87+J105+J119</f>
        <v>336009</v>
      </c>
      <c r="K85" s="48">
        <f>SUMIFS(K87:K152,C87:C152,C85,A87:A152,"*"&amp;"DE_"&amp;"*")</f>
        <v>6753624.7800000003</v>
      </c>
      <c r="L85" s="46"/>
      <c r="M85" s="48">
        <f>SUMIFS(M87:M152,C87:C152,C85,A87:A152,"*"&amp;"DE_"&amp;"*")</f>
        <v>1008157</v>
      </c>
      <c r="N85" s="46"/>
      <c r="O85" s="46"/>
      <c r="P85" s="46"/>
      <c r="Q85" s="46"/>
      <c r="R85" s="46" t="s">
        <v>479</v>
      </c>
    </row>
    <row r="86" spans="1:18" x14ac:dyDescent="0.25">
      <c r="A86" s="46" t="s">
        <v>169</v>
      </c>
      <c r="B86" s="46"/>
      <c r="C86" s="46" t="s">
        <v>173</v>
      </c>
      <c r="D86" s="46"/>
      <c r="E86" s="46"/>
      <c r="F86" s="46"/>
      <c r="G86" s="46"/>
      <c r="H86" s="46"/>
      <c r="I86" s="46"/>
      <c r="J86" s="47">
        <f>(J88+J106+J120)</f>
        <v>336000</v>
      </c>
      <c r="K86" s="48">
        <f>SUMIFS(K87:K152,C87:C152,C86,A87:A152,"*"&amp;"DE_"&amp;"*")</f>
        <v>648000</v>
      </c>
      <c r="L86" s="46"/>
      <c r="M86" s="48">
        <f>SUMIFS(M87:M152,C87:C152,C86,A87:A152,"*"&amp;"DE_"&amp;"*")</f>
        <v>144010</v>
      </c>
      <c r="N86" s="46"/>
      <c r="O86" s="46"/>
      <c r="P86" s="46"/>
      <c r="Q86" s="46"/>
      <c r="R86" s="46"/>
    </row>
    <row r="87" spans="1:18" x14ac:dyDescent="0.25">
      <c r="A87" s="49" t="s">
        <v>170</v>
      </c>
      <c r="B87" s="49"/>
      <c r="C87" s="49" t="s">
        <v>178</v>
      </c>
      <c r="D87" s="49"/>
      <c r="E87" s="49"/>
      <c r="F87" s="49"/>
      <c r="G87" s="49"/>
      <c r="H87" s="49"/>
      <c r="I87" s="49"/>
      <c r="J87" s="50">
        <f>SUMIFS(J89:J102,C89:C102,C87)</f>
        <v>48001</v>
      </c>
      <c r="K87" s="51">
        <f>SUMIFS(K89:K104,C89:C104,C87)</f>
        <v>657717.19999999995</v>
      </c>
      <c r="L87" s="49"/>
      <c r="M87" s="51">
        <f>SUMIFS(M89:M104,C89:C104,C87)</f>
        <v>144023</v>
      </c>
      <c r="N87" s="49"/>
      <c r="O87" s="49"/>
      <c r="P87" s="49"/>
      <c r="Q87" s="49"/>
      <c r="R87" s="49" t="s">
        <v>478</v>
      </c>
    </row>
    <row r="88" spans="1:18" x14ac:dyDescent="0.25">
      <c r="A88" s="49" t="s">
        <v>170</v>
      </c>
      <c r="B88" s="49"/>
      <c r="C88" s="49" t="s">
        <v>173</v>
      </c>
      <c r="D88" s="49"/>
      <c r="E88" s="49"/>
      <c r="F88" s="49"/>
      <c r="G88" s="49"/>
      <c r="H88" s="49"/>
      <c r="I88" s="49"/>
      <c r="J88" s="50">
        <f>SUMIFS(J89:J102,C89:C102,C88)</f>
        <v>48000</v>
      </c>
      <c r="K88" s="51">
        <f>SUMIFS(K89:K104,C89:C104,C88)</f>
        <v>648000</v>
      </c>
      <c r="L88" s="49"/>
      <c r="M88" s="51">
        <f>SUMIFS(M89:M104,C89:C104,C88)</f>
        <v>144010</v>
      </c>
      <c r="N88" s="49"/>
      <c r="O88" s="49"/>
      <c r="P88" s="49"/>
      <c r="Q88" s="49"/>
      <c r="R88" s="49"/>
    </row>
    <row r="89" spans="1:18" x14ac:dyDescent="0.25">
      <c r="A89" s="56" t="s">
        <v>94</v>
      </c>
      <c r="B89" s="8"/>
      <c r="C89" s="28" t="s">
        <v>178</v>
      </c>
      <c r="D89" s="28"/>
      <c r="E89" s="28"/>
      <c r="F89" s="28">
        <v>13.5</v>
      </c>
      <c r="G89" s="28" t="str">
        <f>CONCATENATE("USD,FLAT ",TEXT(F89,"0.00"))</f>
        <v>USD,FLAT 13.50</v>
      </c>
      <c r="H89" s="34">
        <f>K89/J89</f>
        <v>13.5</v>
      </c>
      <c r="I89" s="28" t="s">
        <v>22</v>
      </c>
      <c r="J89" s="30">
        <v>48000</v>
      </c>
      <c r="K89" s="34">
        <f>J89*F89</f>
        <v>648000</v>
      </c>
      <c r="L89" s="28" t="str">
        <f>TEXT(IFERROR(((K89-K90)/K90*100),"0.00"),"0.00")</f>
        <v>0.00</v>
      </c>
      <c r="M89" s="34">
        <f>(10+J89*3)</f>
        <v>144010</v>
      </c>
      <c r="N89" s="28"/>
      <c r="O89" s="28" t="s">
        <v>153</v>
      </c>
      <c r="P89" s="28" t="s">
        <v>473</v>
      </c>
      <c r="Q89" s="28" t="s">
        <v>474</v>
      </c>
      <c r="R89" s="28" t="s">
        <v>477</v>
      </c>
    </row>
    <row r="90" spans="1:18" x14ac:dyDescent="0.25">
      <c r="A90" s="8"/>
      <c r="B90" s="8"/>
      <c r="C90" s="31" t="s">
        <v>173</v>
      </c>
      <c r="D90" s="31"/>
      <c r="E90" s="31"/>
      <c r="F90" s="31">
        <v>13.5</v>
      </c>
      <c r="G90" s="31" t="str">
        <f>CONCATENATE("USD,FLAT ",TEXT(F90,"0.00"))</f>
        <v>USD,FLAT 13.50</v>
      </c>
      <c r="H90" s="36">
        <f>IFERROR(K90/J90,"0")</f>
        <v>13.5</v>
      </c>
      <c r="I90" s="31" t="s">
        <v>22</v>
      </c>
      <c r="J90" s="32">
        <v>48000</v>
      </c>
      <c r="K90" s="36">
        <f>J90*F90</f>
        <v>648000</v>
      </c>
      <c r="L90" s="31"/>
      <c r="M90" s="36">
        <f>(10+J90*3)</f>
        <v>144010</v>
      </c>
      <c r="N90" s="31"/>
      <c r="O90" s="31"/>
      <c r="P90" s="31"/>
      <c r="Q90" s="31"/>
      <c r="R90" s="31"/>
    </row>
    <row r="91" spans="1:18" hidden="1" x14ac:dyDescent="0.25">
      <c r="A91" s="8"/>
      <c r="B91" s="8"/>
      <c r="C91" s="40" t="s">
        <v>174</v>
      </c>
      <c r="D91" s="40"/>
      <c r="E91" s="40"/>
      <c r="F91" s="40"/>
      <c r="G91" s="40"/>
      <c r="H91" s="40"/>
      <c r="I91" s="40"/>
      <c r="J91" s="40"/>
      <c r="K91" s="40"/>
      <c r="L91" s="40"/>
      <c r="M91" s="40"/>
      <c r="N91" s="40"/>
      <c r="O91" s="40"/>
      <c r="P91" s="40"/>
      <c r="Q91" s="40"/>
      <c r="R91" s="40"/>
    </row>
    <row r="92" spans="1:18" hidden="1" x14ac:dyDescent="0.25">
      <c r="A92" s="8"/>
      <c r="B92" s="8"/>
      <c r="C92" s="41" t="s">
        <v>175</v>
      </c>
      <c r="D92" s="41"/>
      <c r="E92" s="41"/>
      <c r="F92" s="41"/>
      <c r="G92" s="41"/>
      <c r="H92" s="41"/>
      <c r="I92" s="41"/>
      <c r="J92" s="41"/>
      <c r="K92" s="41"/>
      <c r="L92" s="41"/>
      <c r="M92" s="41"/>
      <c r="N92" s="41"/>
      <c r="O92" s="41"/>
      <c r="P92" s="41"/>
      <c r="Q92" s="41"/>
      <c r="R92" s="41"/>
    </row>
    <row r="93" spans="1:18" x14ac:dyDescent="0.25">
      <c r="A93" s="56" t="s">
        <v>95</v>
      </c>
      <c r="B93" s="8"/>
      <c r="C93" s="28" t="s">
        <v>178</v>
      </c>
      <c r="D93" s="28"/>
      <c r="E93" s="28"/>
      <c r="F93" s="28">
        <v>9.9499999999999993</v>
      </c>
      <c r="G93" s="28" t="str">
        <f>CONCATENATE("USD,FLAT ",TEXT(F93,"0.00"))</f>
        <v>USD,FLAT 9.95</v>
      </c>
      <c r="H93" s="34">
        <f>K93/J93</f>
        <v>9.9499999999999993</v>
      </c>
      <c r="I93" s="28" t="s">
        <v>22</v>
      </c>
      <c r="J93" s="30">
        <v>1</v>
      </c>
      <c r="K93" s="34">
        <f>J93*F93</f>
        <v>9.9499999999999993</v>
      </c>
      <c r="L93" s="28" t="str">
        <f>TEXT(IFERROR(((K93-K94)/K94*100),"0.00"),"0.00")</f>
        <v>0.00</v>
      </c>
      <c r="M93" s="34">
        <f>(10+J93*3)</f>
        <v>13</v>
      </c>
      <c r="N93" s="28"/>
      <c r="O93" s="28" t="s">
        <v>153</v>
      </c>
      <c r="P93" s="28" t="s">
        <v>473</v>
      </c>
      <c r="Q93" s="28" t="s">
        <v>474</v>
      </c>
      <c r="R93" s="28"/>
    </row>
    <row r="94" spans="1:18" x14ac:dyDescent="0.25">
      <c r="A94" s="8"/>
      <c r="B94" s="8"/>
      <c r="C94" s="31" t="s">
        <v>173</v>
      </c>
      <c r="D94" s="31"/>
      <c r="E94" s="31"/>
      <c r="F94" s="31">
        <v>9.9499999999999993</v>
      </c>
      <c r="G94" s="31" t="str">
        <f>CONCATENATE("USD,FLAT ",TEXT(F94,"0.00"))</f>
        <v>USD,FLAT 9.95</v>
      </c>
      <c r="H94" s="36" t="str">
        <f>IFERROR(K94/J94,"0")</f>
        <v>0</v>
      </c>
      <c r="I94" s="31"/>
      <c r="J94" s="32"/>
      <c r="K94" s="36">
        <f>J94*F94</f>
        <v>0</v>
      </c>
      <c r="L94" s="31"/>
      <c r="M94" s="36"/>
      <c r="N94" s="31"/>
      <c r="O94" s="31"/>
      <c r="P94" s="31"/>
      <c r="Q94" s="31"/>
      <c r="R94" s="31"/>
    </row>
    <row r="95" spans="1:18" hidden="1" x14ac:dyDescent="0.25">
      <c r="A95" s="8"/>
      <c r="B95" s="8"/>
      <c r="C95" s="40" t="s">
        <v>174</v>
      </c>
      <c r="D95" s="40"/>
      <c r="E95" s="40"/>
      <c r="F95" s="40"/>
      <c r="G95" s="40"/>
      <c r="H95" s="40"/>
      <c r="I95" s="40"/>
      <c r="J95" s="40"/>
      <c r="K95" s="40"/>
      <c r="L95" s="40"/>
      <c r="M95" s="40"/>
      <c r="N95" s="40"/>
      <c r="O95" s="40"/>
      <c r="P95" s="40"/>
      <c r="Q95" s="40"/>
      <c r="R95" s="40"/>
    </row>
    <row r="96" spans="1:18" hidden="1" x14ac:dyDescent="0.25">
      <c r="A96" s="8"/>
      <c r="B96" s="8"/>
      <c r="C96" s="41" t="s">
        <v>175</v>
      </c>
      <c r="D96" s="41"/>
      <c r="E96" s="41"/>
      <c r="F96" s="41"/>
      <c r="G96" s="41"/>
      <c r="H96" s="41"/>
      <c r="I96" s="41"/>
      <c r="J96" s="41"/>
      <c r="K96" s="41"/>
      <c r="L96" s="41"/>
      <c r="M96" s="41"/>
      <c r="N96" s="41"/>
      <c r="O96" s="41"/>
      <c r="P96" s="41"/>
      <c r="Q96" s="41"/>
      <c r="R96" s="41"/>
    </row>
    <row r="97" spans="1:18" x14ac:dyDescent="0.25">
      <c r="A97" s="56" t="s">
        <v>184</v>
      </c>
      <c r="B97" s="8"/>
      <c r="C97" s="28" t="s">
        <v>178</v>
      </c>
      <c r="D97" s="28"/>
      <c r="E97" s="28"/>
      <c r="F97" s="28">
        <v>112.04</v>
      </c>
      <c r="G97" s="28" t="str">
        <f>CONCATENATE("USD,FLAT ",TEXT(F97,"0.00"))</f>
        <v>USD,FLAT 112.04</v>
      </c>
      <c r="H97" s="34">
        <f>F97</f>
        <v>112.04</v>
      </c>
      <c r="I97" s="28"/>
      <c r="J97" s="30"/>
      <c r="K97" s="34">
        <f>(F97*5*5)</f>
        <v>2801</v>
      </c>
      <c r="L97" s="28" t="str">
        <f>TEXT(IFERROR(((K97-K98)/K98*100),"0.00"),"0.00")</f>
        <v>0.00</v>
      </c>
      <c r="M97" s="34">
        <v>0</v>
      </c>
      <c r="N97" s="33" t="s">
        <v>53</v>
      </c>
      <c r="O97" s="28" t="s">
        <v>190</v>
      </c>
      <c r="P97" s="28" t="s">
        <v>475</v>
      </c>
      <c r="Q97" s="28"/>
      <c r="R97" s="28"/>
    </row>
    <row r="98" spans="1:18" x14ac:dyDescent="0.25">
      <c r="A98" s="8"/>
      <c r="B98" s="8"/>
      <c r="C98" s="31" t="s">
        <v>173</v>
      </c>
      <c r="D98" s="31"/>
      <c r="E98" s="31"/>
      <c r="F98" s="31"/>
      <c r="G98" s="31"/>
      <c r="H98" s="36"/>
      <c r="I98" s="31"/>
      <c r="J98" s="32"/>
      <c r="K98" s="36"/>
      <c r="L98" s="31"/>
      <c r="M98" s="36"/>
      <c r="N98" s="31"/>
      <c r="O98" s="31"/>
      <c r="P98" s="31"/>
      <c r="Q98" s="31"/>
      <c r="R98" s="31"/>
    </row>
    <row r="99" spans="1:18" hidden="1" x14ac:dyDescent="0.25">
      <c r="A99" s="8"/>
      <c r="B99" s="8"/>
      <c r="C99" s="40" t="s">
        <v>174</v>
      </c>
      <c r="D99" s="40"/>
      <c r="E99" s="40"/>
      <c r="F99" s="40"/>
      <c r="G99" s="40"/>
      <c r="H99" s="40"/>
      <c r="I99" s="40"/>
      <c r="J99" s="40"/>
      <c r="K99" s="40"/>
      <c r="L99" s="40"/>
      <c r="M99" s="40"/>
      <c r="N99" s="40"/>
      <c r="O99" s="40"/>
      <c r="P99" s="40"/>
      <c r="Q99" s="40"/>
      <c r="R99" s="40"/>
    </row>
    <row r="100" spans="1:18" hidden="1" x14ac:dyDescent="0.25">
      <c r="A100" s="8"/>
      <c r="B100" s="8"/>
      <c r="C100" s="41" t="s">
        <v>175</v>
      </c>
      <c r="D100" s="41"/>
      <c r="E100" s="41"/>
      <c r="F100" s="41"/>
      <c r="G100" s="41"/>
      <c r="H100" s="41"/>
      <c r="I100" s="41"/>
      <c r="J100" s="41"/>
      <c r="K100" s="41"/>
      <c r="L100" s="41"/>
      <c r="M100" s="41"/>
      <c r="N100" s="41"/>
      <c r="O100" s="41"/>
      <c r="P100" s="41"/>
      <c r="Q100" s="41"/>
      <c r="R100" s="41"/>
    </row>
    <row r="101" spans="1:18" x14ac:dyDescent="0.25">
      <c r="A101" s="56" t="s">
        <v>96</v>
      </c>
      <c r="B101" s="8"/>
      <c r="C101" s="28" t="s">
        <v>178</v>
      </c>
      <c r="D101" s="28"/>
      <c r="E101" s="28"/>
      <c r="F101" s="28">
        <v>276.25</v>
      </c>
      <c r="G101" s="28" t="str">
        <f>CONCATENATE("USD,FLAT ",TEXT(F101,"0.00"))</f>
        <v>USD,FLAT 276.25</v>
      </c>
      <c r="H101" s="34">
        <f>F101</f>
        <v>276.25</v>
      </c>
      <c r="I101" s="28"/>
      <c r="J101" s="30"/>
      <c r="K101" s="34">
        <f>(F101*5*5)</f>
        <v>6906.25</v>
      </c>
      <c r="L101" s="28" t="str">
        <f>TEXT(IFERROR(((K101-K102)/K102*100),"0.00"),"0.00")</f>
        <v>0.00</v>
      </c>
      <c r="M101" s="34">
        <v>0</v>
      </c>
      <c r="N101" s="33" t="s">
        <v>53</v>
      </c>
      <c r="O101" s="28" t="s">
        <v>190</v>
      </c>
      <c r="P101" s="28" t="s">
        <v>475</v>
      </c>
      <c r="Q101" s="28"/>
      <c r="R101" s="28"/>
    </row>
    <row r="102" spans="1:18" x14ac:dyDescent="0.25">
      <c r="A102" s="8"/>
      <c r="B102" s="8"/>
      <c r="C102" s="31" t="s">
        <v>173</v>
      </c>
      <c r="D102" s="31"/>
      <c r="E102" s="31"/>
      <c r="F102" s="31"/>
      <c r="G102" s="31"/>
      <c r="H102" s="36"/>
      <c r="I102" s="31"/>
      <c r="J102" s="32"/>
      <c r="K102" s="36"/>
      <c r="L102" s="31"/>
      <c r="M102" s="36"/>
      <c r="N102" s="31"/>
      <c r="O102" s="31"/>
      <c r="P102" s="31"/>
      <c r="Q102" s="31"/>
      <c r="R102" s="31"/>
    </row>
    <row r="103" spans="1:18" hidden="1" x14ac:dyDescent="0.25">
      <c r="A103" s="8"/>
      <c r="B103" s="8"/>
      <c r="C103" s="40" t="s">
        <v>174</v>
      </c>
      <c r="D103" s="40"/>
      <c r="E103" s="40"/>
      <c r="F103" s="40"/>
      <c r="G103" s="40"/>
      <c r="H103" s="40"/>
      <c r="I103" s="40"/>
      <c r="J103" s="40"/>
      <c r="K103" s="40"/>
      <c r="L103" s="40"/>
      <c r="M103" s="40"/>
      <c r="N103" s="40"/>
      <c r="O103" s="40"/>
      <c r="P103" s="40"/>
      <c r="Q103" s="40"/>
      <c r="R103" s="40"/>
    </row>
    <row r="104" spans="1:18" hidden="1" x14ac:dyDescent="0.25">
      <c r="A104" s="8"/>
      <c r="B104" s="8"/>
      <c r="C104" s="41" t="s">
        <v>175</v>
      </c>
      <c r="D104" s="41"/>
      <c r="E104" s="41"/>
      <c r="F104" s="41"/>
      <c r="G104" s="41"/>
      <c r="H104" s="41"/>
      <c r="I104" s="41"/>
      <c r="J104" s="41"/>
      <c r="K104" s="41"/>
      <c r="L104" s="41"/>
      <c r="M104" s="41"/>
      <c r="N104" s="41"/>
      <c r="O104" s="41"/>
      <c r="P104" s="41"/>
      <c r="Q104" s="41"/>
      <c r="R104" s="41"/>
    </row>
    <row r="105" spans="1:18" x14ac:dyDescent="0.25">
      <c r="A105" s="49" t="s">
        <v>171</v>
      </c>
      <c r="B105" s="49"/>
      <c r="C105" s="49" t="s">
        <v>178</v>
      </c>
      <c r="D105" s="49"/>
      <c r="E105" s="49"/>
      <c r="F105" s="49"/>
      <c r="G105" s="49"/>
      <c r="H105" s="49"/>
      <c r="I105" s="49"/>
      <c r="J105" s="50">
        <f>SUMIFS(J107:J116,C107:C116,C105)</f>
        <v>288000</v>
      </c>
      <c r="K105" s="51">
        <f>SUMIFS(K107:K118,C107:C118,C105)</f>
        <v>6092880</v>
      </c>
      <c r="L105" s="49"/>
      <c r="M105" s="51">
        <f>SUMIFS(M107:M118,C107:C118,C105)</f>
        <v>864030</v>
      </c>
      <c r="N105" s="49"/>
      <c r="O105" s="49"/>
      <c r="P105" s="49"/>
      <c r="Q105" s="49"/>
      <c r="R105" s="49"/>
    </row>
    <row r="106" spans="1:18" x14ac:dyDescent="0.25">
      <c r="A106" s="49" t="s">
        <v>171</v>
      </c>
      <c r="B106" s="49"/>
      <c r="C106" s="49" t="s">
        <v>173</v>
      </c>
      <c r="D106" s="49"/>
      <c r="E106" s="49"/>
      <c r="F106" s="49"/>
      <c r="G106" s="49"/>
      <c r="H106" s="49"/>
      <c r="I106" s="49"/>
      <c r="J106" s="50">
        <f>SUMIFS(J107:J116,C107:C116,C106)</f>
        <v>288000</v>
      </c>
      <c r="K106" s="51">
        <f>SUMIFS(K107:K116,C107:C116,C106)</f>
        <v>0</v>
      </c>
      <c r="L106" s="49"/>
      <c r="M106" s="51">
        <f>SUMIFS(M107:M116,C107:C116,C106)</f>
        <v>0</v>
      </c>
      <c r="N106" s="49"/>
      <c r="O106" s="49"/>
      <c r="P106" s="49"/>
      <c r="Q106" s="49"/>
      <c r="R106" s="49"/>
    </row>
    <row r="107" spans="1:18" ht="30" x14ac:dyDescent="0.25">
      <c r="A107" s="56" t="s">
        <v>97</v>
      </c>
      <c r="B107" s="8"/>
      <c r="C107" s="28" t="s">
        <v>178</v>
      </c>
      <c r="D107" s="28"/>
      <c r="E107" s="28"/>
      <c r="F107" s="29" t="s">
        <v>188</v>
      </c>
      <c r="G107" s="28" t="s">
        <v>185</v>
      </c>
      <c r="H107" s="34">
        <f>K107/J107</f>
        <v>12.25</v>
      </c>
      <c r="I107" s="28" t="s">
        <v>22</v>
      </c>
      <c r="J107" s="30">
        <v>72000</v>
      </c>
      <c r="K107" s="34">
        <f>(1000*12.95+4000*12.15+1000*11.95)*12</f>
        <v>882000</v>
      </c>
      <c r="L107" s="28" t="str">
        <f>TEXT(IFERROR(((K107-K108)/K108*100),"0.00"),"0.00")</f>
        <v>0.00</v>
      </c>
      <c r="M107" s="34">
        <f>(10+J107*3)</f>
        <v>216010</v>
      </c>
      <c r="N107" s="33" t="s">
        <v>53</v>
      </c>
      <c r="O107" s="28" t="s">
        <v>190</v>
      </c>
      <c r="P107" s="28" t="s">
        <v>476</v>
      </c>
      <c r="Q107" s="28"/>
      <c r="R107" s="28"/>
    </row>
    <row r="108" spans="1:18" x14ac:dyDescent="0.25">
      <c r="A108" s="8"/>
      <c r="B108" s="8"/>
      <c r="C108" s="31" t="s">
        <v>173</v>
      </c>
      <c r="D108" s="31"/>
      <c r="E108" s="31"/>
      <c r="F108" s="31"/>
      <c r="G108" s="31"/>
      <c r="H108" s="36">
        <f>IFERROR(K108/J108,"0")</f>
        <v>0</v>
      </c>
      <c r="I108" s="31" t="s">
        <v>22</v>
      </c>
      <c r="J108" s="32">
        <v>72000</v>
      </c>
      <c r="K108" s="38">
        <v>0</v>
      </c>
      <c r="L108" s="31"/>
      <c r="M108" s="36"/>
      <c r="N108" s="31"/>
      <c r="O108" s="31"/>
      <c r="P108" s="31"/>
      <c r="Q108" s="31"/>
      <c r="R108" s="31"/>
    </row>
    <row r="109" spans="1:18" hidden="1" x14ac:dyDescent="0.25">
      <c r="A109" s="8"/>
      <c r="B109" s="8"/>
      <c r="C109" s="40" t="s">
        <v>174</v>
      </c>
      <c r="D109" s="40"/>
      <c r="E109" s="40"/>
      <c r="F109" s="40"/>
      <c r="G109" s="40"/>
      <c r="H109" s="40"/>
      <c r="I109" s="40"/>
      <c r="J109" s="40"/>
      <c r="K109" s="42"/>
      <c r="L109" s="40"/>
      <c r="M109" s="40"/>
      <c r="N109" s="40"/>
      <c r="O109" s="40"/>
      <c r="P109" s="40"/>
      <c r="Q109" s="40"/>
      <c r="R109" s="40"/>
    </row>
    <row r="110" spans="1:18" hidden="1" x14ac:dyDescent="0.25">
      <c r="A110" s="8"/>
      <c r="B110" s="8"/>
      <c r="C110" s="41" t="s">
        <v>175</v>
      </c>
      <c r="D110" s="41"/>
      <c r="E110" s="41"/>
      <c r="F110" s="41"/>
      <c r="G110" s="41"/>
      <c r="H110" s="41"/>
      <c r="I110" s="41"/>
      <c r="J110" s="41"/>
      <c r="K110" s="43"/>
      <c r="L110" s="41"/>
      <c r="M110" s="41"/>
      <c r="N110" s="41"/>
      <c r="O110" s="41"/>
      <c r="P110" s="41"/>
      <c r="Q110" s="41"/>
      <c r="R110" s="41"/>
    </row>
    <row r="111" spans="1:18" ht="30" x14ac:dyDescent="0.25">
      <c r="A111" s="56" t="s">
        <v>98</v>
      </c>
      <c r="B111" s="8"/>
      <c r="C111" s="28" t="s">
        <v>178</v>
      </c>
      <c r="D111" s="28"/>
      <c r="E111" s="28"/>
      <c r="F111" s="29" t="s">
        <v>188</v>
      </c>
      <c r="G111" s="28" t="s">
        <v>186</v>
      </c>
      <c r="H111" s="34">
        <f>K111/J111</f>
        <v>11.95</v>
      </c>
      <c r="I111" s="28" t="s">
        <v>22</v>
      </c>
      <c r="J111" s="30">
        <v>96000</v>
      </c>
      <c r="K111" s="34">
        <f>J111*11.95</f>
        <v>1147200</v>
      </c>
      <c r="L111" s="28" t="str">
        <f>TEXT(IFERROR(((K111-K112)/K112*100),"0.00"),"0.00")</f>
        <v>0.00</v>
      </c>
      <c r="M111" s="34">
        <f>(10+J111*3)</f>
        <v>288010</v>
      </c>
      <c r="N111" s="33" t="s">
        <v>53</v>
      </c>
      <c r="O111" s="28" t="s">
        <v>190</v>
      </c>
      <c r="P111" s="28" t="s">
        <v>476</v>
      </c>
      <c r="Q111" s="28"/>
      <c r="R111" s="28"/>
    </row>
    <row r="112" spans="1:18" x14ac:dyDescent="0.25">
      <c r="A112" s="8"/>
      <c r="B112" s="8"/>
      <c r="C112" s="31" t="s">
        <v>173</v>
      </c>
      <c r="D112" s="31"/>
      <c r="E112" s="31"/>
      <c r="F112" s="31"/>
      <c r="G112" s="31"/>
      <c r="H112" s="36">
        <f>IFERROR(K112/J112,"0")</f>
        <v>0</v>
      </c>
      <c r="I112" s="31" t="s">
        <v>22</v>
      </c>
      <c r="J112" s="32">
        <v>96000</v>
      </c>
      <c r="K112" s="38">
        <v>0</v>
      </c>
      <c r="L112" s="31"/>
      <c r="M112" s="31"/>
      <c r="N112" s="31"/>
      <c r="O112" s="31"/>
      <c r="P112" s="31"/>
      <c r="Q112" s="31"/>
      <c r="R112" s="31"/>
    </row>
    <row r="113" spans="1:18" hidden="1" x14ac:dyDescent="0.25">
      <c r="A113" s="8"/>
      <c r="B113" s="8"/>
      <c r="C113" s="40" t="s">
        <v>174</v>
      </c>
      <c r="D113" s="40"/>
      <c r="E113" s="40"/>
      <c r="F113" s="40"/>
      <c r="G113" s="40"/>
      <c r="H113" s="40"/>
      <c r="I113" s="40"/>
      <c r="J113" s="40"/>
      <c r="K113" s="42"/>
      <c r="L113" s="40"/>
      <c r="M113" s="40"/>
      <c r="N113" s="40"/>
      <c r="O113" s="40"/>
      <c r="P113" s="40"/>
      <c r="Q113" s="40"/>
      <c r="R113" s="40"/>
    </row>
    <row r="114" spans="1:18" hidden="1" x14ac:dyDescent="0.25">
      <c r="A114" s="8"/>
      <c r="B114" s="8"/>
      <c r="C114" s="41" t="s">
        <v>175</v>
      </c>
      <c r="D114" s="41"/>
      <c r="E114" s="41"/>
      <c r="F114" s="41"/>
      <c r="G114" s="41"/>
      <c r="H114" s="41"/>
      <c r="I114" s="41"/>
      <c r="J114" s="41"/>
      <c r="K114" s="43"/>
      <c r="L114" s="41"/>
      <c r="M114" s="41"/>
      <c r="N114" s="41"/>
      <c r="O114" s="41"/>
      <c r="P114" s="41"/>
      <c r="Q114" s="41"/>
      <c r="R114" s="41"/>
    </row>
    <row r="115" spans="1:18" ht="45" x14ac:dyDescent="0.25">
      <c r="A115" s="56" t="s">
        <v>99</v>
      </c>
      <c r="B115" s="8"/>
      <c r="C115" s="28" t="s">
        <v>178</v>
      </c>
      <c r="D115" s="28"/>
      <c r="E115" s="28"/>
      <c r="F115" s="29" t="s">
        <v>189</v>
      </c>
      <c r="G115" s="28" t="s">
        <v>187</v>
      </c>
      <c r="H115" s="34">
        <f>K115/J115</f>
        <v>33.863999999999997</v>
      </c>
      <c r="I115" s="28" t="s">
        <v>22</v>
      </c>
      <c r="J115" s="30">
        <v>120000</v>
      </c>
      <c r="K115" s="34">
        <f>'UC01 - CALCULATOIN'!C13</f>
        <v>4063680</v>
      </c>
      <c r="L115" s="28" t="str">
        <f>TEXT(IFERROR(((K115-K116)/K116*100),"0.00"),"0.00")</f>
        <v>0.00</v>
      </c>
      <c r="M115" s="34">
        <f>(10+J115*3)</f>
        <v>360010</v>
      </c>
      <c r="N115" s="33" t="s">
        <v>53</v>
      </c>
      <c r="O115" s="28" t="s">
        <v>190</v>
      </c>
      <c r="P115" s="28" t="s">
        <v>476</v>
      </c>
      <c r="Q115" s="28"/>
      <c r="R115" s="28"/>
    </row>
    <row r="116" spans="1:18" x14ac:dyDescent="0.25">
      <c r="A116" s="8"/>
      <c r="B116" s="8"/>
      <c r="C116" s="31" t="s">
        <v>173</v>
      </c>
      <c r="D116" s="31"/>
      <c r="E116" s="31"/>
      <c r="F116" s="31"/>
      <c r="G116" s="31"/>
      <c r="H116" s="36">
        <f>IFERROR(K116/J116,"0")</f>
        <v>0</v>
      </c>
      <c r="I116" s="31" t="s">
        <v>22</v>
      </c>
      <c r="J116" s="32">
        <v>120000</v>
      </c>
      <c r="K116" s="38">
        <v>0</v>
      </c>
      <c r="L116" s="31"/>
      <c r="M116" s="31"/>
      <c r="N116" s="31"/>
      <c r="O116" s="31"/>
      <c r="P116" s="31"/>
      <c r="Q116" s="31"/>
      <c r="R116" s="31"/>
    </row>
    <row r="117" spans="1:18" hidden="1" x14ac:dyDescent="0.25">
      <c r="A117" s="8"/>
      <c r="B117" s="8"/>
      <c r="C117" s="40" t="s">
        <v>174</v>
      </c>
      <c r="D117" s="40"/>
      <c r="E117" s="40"/>
      <c r="F117" s="40"/>
      <c r="G117" s="40"/>
      <c r="H117" s="40"/>
      <c r="I117" s="40"/>
      <c r="J117" s="40"/>
      <c r="K117" s="42"/>
      <c r="L117" s="40"/>
      <c r="M117" s="40"/>
      <c r="N117" s="40"/>
      <c r="O117" s="40"/>
      <c r="P117" s="40"/>
      <c r="Q117" s="40"/>
      <c r="R117" s="40"/>
    </row>
    <row r="118" spans="1:18" hidden="1" x14ac:dyDescent="0.25">
      <c r="A118" s="8"/>
      <c r="B118" s="8"/>
      <c r="C118" s="41" t="s">
        <v>175</v>
      </c>
      <c r="D118" s="41"/>
      <c r="E118" s="41"/>
      <c r="F118" s="41"/>
      <c r="G118" s="41"/>
      <c r="H118" s="41"/>
      <c r="I118" s="41"/>
      <c r="J118" s="41"/>
      <c r="K118" s="43"/>
      <c r="L118" s="41"/>
      <c r="M118" s="41"/>
      <c r="N118" s="41"/>
      <c r="O118" s="41"/>
      <c r="P118" s="41"/>
      <c r="Q118" s="41"/>
      <c r="R118" s="41"/>
    </row>
    <row r="119" spans="1:18" x14ac:dyDescent="0.25">
      <c r="A119" s="49" t="s">
        <v>172</v>
      </c>
      <c r="B119" s="49"/>
      <c r="C119" s="49" t="s">
        <v>178</v>
      </c>
      <c r="D119" s="49"/>
      <c r="E119" s="49"/>
      <c r="F119" s="49"/>
      <c r="G119" s="49"/>
      <c r="H119" s="49"/>
      <c r="I119" s="49"/>
      <c r="J119" s="50">
        <f>SUMIFS(J121:J150,C121:C150,C119)</f>
        <v>8</v>
      </c>
      <c r="K119" s="51">
        <f>SUMIFS(K121:K152,C121:C152,C119)</f>
        <v>3027.5800000000004</v>
      </c>
      <c r="L119" s="49"/>
      <c r="M119" s="51">
        <f>SUMIFS(M121:M152,C121:C152,C119)</f>
        <v>104</v>
      </c>
      <c r="N119" s="49"/>
      <c r="O119" s="49"/>
      <c r="P119" s="49"/>
      <c r="Q119" s="49"/>
      <c r="R119" s="49"/>
    </row>
    <row r="120" spans="1:18" x14ac:dyDescent="0.25">
      <c r="A120" s="49" t="s">
        <v>172</v>
      </c>
      <c r="B120" s="49"/>
      <c r="C120" s="49" t="s">
        <v>173</v>
      </c>
      <c r="D120" s="49"/>
      <c r="E120" s="49"/>
      <c r="F120" s="49"/>
      <c r="G120" s="49"/>
      <c r="H120" s="49"/>
      <c r="I120" s="49"/>
      <c r="J120" s="50">
        <f>SUMIFS(J121:J150,C121:C150,C120)</f>
        <v>0</v>
      </c>
      <c r="K120" s="51">
        <f>SUMIFS(K121:K152,C121:C152,C120)</f>
        <v>0</v>
      </c>
      <c r="L120" s="49"/>
      <c r="M120" s="51">
        <f>SUMIFS(M121:M152,C121:C152,C120)</f>
        <v>0</v>
      </c>
      <c r="N120" s="49"/>
      <c r="O120" s="49"/>
      <c r="P120" s="49"/>
      <c r="Q120" s="49"/>
      <c r="R120" s="49"/>
    </row>
    <row r="121" spans="1:18" x14ac:dyDescent="0.25">
      <c r="A121" s="56" t="s">
        <v>100</v>
      </c>
      <c r="B121" s="8"/>
      <c r="C121" s="28" t="s">
        <v>178</v>
      </c>
      <c r="D121" s="28"/>
      <c r="E121" s="28"/>
      <c r="F121" s="37">
        <v>0.15</v>
      </c>
      <c r="G121" s="28" t="str">
        <f>CONCATENATE("USD,FLAT ",TEXT(F121,"0.00"))</f>
        <v>USD,FLAT 0.15</v>
      </c>
      <c r="H121" s="34">
        <f>(K121/J121)</f>
        <v>3000.15</v>
      </c>
      <c r="I121" s="28" t="s">
        <v>22</v>
      </c>
      <c r="J121" s="30">
        <v>1</v>
      </c>
      <c r="K121" s="37">
        <f>J121*F121+3000</f>
        <v>3000.15</v>
      </c>
      <c r="L121" s="28" t="str">
        <f>TEXT(IFERROR(((K121-K122)/K122*100),"0.00"),"0.00")</f>
        <v>0.00</v>
      </c>
      <c r="M121" s="34">
        <f>(10+J121*3)</f>
        <v>13</v>
      </c>
      <c r="N121" s="33" t="s">
        <v>53</v>
      </c>
      <c r="O121" s="28" t="s">
        <v>190</v>
      </c>
      <c r="P121" s="28" t="s">
        <v>476</v>
      </c>
      <c r="Q121" s="28"/>
      <c r="R121" s="28"/>
    </row>
    <row r="122" spans="1:18" x14ac:dyDescent="0.25">
      <c r="A122" s="8"/>
      <c r="B122" s="8"/>
      <c r="C122" s="31" t="s">
        <v>173</v>
      </c>
      <c r="D122" s="31"/>
      <c r="E122" s="31"/>
      <c r="F122" s="31"/>
      <c r="G122" s="31"/>
      <c r="H122" s="36" t="str">
        <f>IFERROR(K122/J122,"0")</f>
        <v>0</v>
      </c>
      <c r="I122" s="31"/>
      <c r="J122" s="32"/>
      <c r="K122" s="38"/>
      <c r="L122" s="31"/>
      <c r="M122" s="31"/>
      <c r="N122" s="31"/>
      <c r="O122" s="31"/>
      <c r="P122" s="31"/>
      <c r="Q122" s="31"/>
      <c r="R122" s="31"/>
    </row>
    <row r="123" spans="1:18" hidden="1" x14ac:dyDescent="0.25">
      <c r="A123" s="8"/>
      <c r="B123" s="8"/>
      <c r="C123" s="40" t="s">
        <v>174</v>
      </c>
      <c r="D123" s="40"/>
      <c r="E123" s="40"/>
      <c r="F123" s="40"/>
      <c r="G123" s="40"/>
      <c r="H123" s="40"/>
      <c r="I123" s="40"/>
      <c r="J123" s="40"/>
      <c r="K123" s="42"/>
      <c r="L123" s="40"/>
      <c r="M123" s="40"/>
      <c r="N123" s="40"/>
      <c r="O123" s="40"/>
      <c r="P123" s="40"/>
      <c r="Q123" s="40"/>
      <c r="R123" s="40"/>
    </row>
    <row r="124" spans="1:18" hidden="1" x14ac:dyDescent="0.25">
      <c r="A124" s="8"/>
      <c r="B124" s="8"/>
      <c r="C124" s="41" t="s">
        <v>175</v>
      </c>
      <c r="D124" s="41"/>
      <c r="E124" s="41"/>
      <c r="F124" s="41"/>
      <c r="G124" s="41"/>
      <c r="H124" s="41"/>
      <c r="I124" s="41"/>
      <c r="J124" s="41"/>
      <c r="K124" s="43"/>
      <c r="L124" s="41"/>
      <c r="M124" s="41"/>
      <c r="N124" s="41"/>
      <c r="O124" s="41"/>
      <c r="P124" s="41"/>
      <c r="Q124" s="41"/>
      <c r="R124" s="41"/>
    </row>
    <row r="125" spans="1:18" x14ac:dyDescent="0.25">
      <c r="A125" s="56" t="s">
        <v>101</v>
      </c>
      <c r="B125" s="8"/>
      <c r="C125" s="28" t="s">
        <v>178</v>
      </c>
      <c r="D125" s="28"/>
      <c r="E125" s="28"/>
      <c r="F125" s="37">
        <v>2.0499999999999998</v>
      </c>
      <c r="G125" s="28" t="str">
        <f>CONCATENATE("USD,FLAT ",TEXT(F125,"0.00"))</f>
        <v>USD,FLAT 2.05</v>
      </c>
      <c r="H125" s="34">
        <f>K125/J125</f>
        <v>2.0499999999999998</v>
      </c>
      <c r="I125" s="28" t="s">
        <v>22</v>
      </c>
      <c r="J125" s="30">
        <v>1</v>
      </c>
      <c r="K125" s="37">
        <f>J125*F125</f>
        <v>2.0499999999999998</v>
      </c>
      <c r="L125" s="28" t="str">
        <f>TEXT(IFERROR(((K125-K126)/K126*100),"0.00"),"0.00")</f>
        <v>0.00</v>
      </c>
      <c r="M125" s="34">
        <f>(10+J125*3)</f>
        <v>13</v>
      </c>
      <c r="N125" s="33" t="s">
        <v>53</v>
      </c>
      <c r="O125" s="28" t="s">
        <v>190</v>
      </c>
      <c r="P125" s="28" t="s">
        <v>476</v>
      </c>
      <c r="Q125" s="28"/>
      <c r="R125" s="28"/>
    </row>
    <row r="126" spans="1:18" x14ac:dyDescent="0.25">
      <c r="A126" s="8"/>
      <c r="B126" s="8"/>
      <c r="C126" s="31" t="s">
        <v>173</v>
      </c>
      <c r="D126" s="31"/>
      <c r="E126" s="31"/>
      <c r="F126" s="31"/>
      <c r="G126" s="31"/>
      <c r="H126" s="36" t="str">
        <f>IFERROR(K126/J126,"0")</f>
        <v>0</v>
      </c>
      <c r="I126" s="31"/>
      <c r="J126" s="32"/>
      <c r="K126" s="38"/>
      <c r="L126" s="31"/>
      <c r="M126" s="31"/>
      <c r="N126" s="31"/>
      <c r="O126" s="31"/>
      <c r="P126" s="31"/>
      <c r="Q126" s="31"/>
      <c r="R126" s="31"/>
    </row>
    <row r="127" spans="1:18" hidden="1" x14ac:dyDescent="0.25">
      <c r="A127" s="8"/>
      <c r="B127" s="8"/>
      <c r="C127" s="40" t="s">
        <v>174</v>
      </c>
      <c r="D127" s="40"/>
      <c r="E127" s="40"/>
      <c r="F127" s="40"/>
      <c r="G127" s="40"/>
      <c r="H127" s="40"/>
      <c r="I127" s="40"/>
      <c r="J127" s="40"/>
      <c r="K127" s="42"/>
      <c r="L127" s="40"/>
      <c r="M127" s="40"/>
      <c r="N127" s="40"/>
      <c r="O127" s="40"/>
      <c r="P127" s="40"/>
      <c r="Q127" s="40"/>
      <c r="R127" s="40"/>
    </row>
    <row r="128" spans="1:18" hidden="1" x14ac:dyDescent="0.25">
      <c r="A128" s="8"/>
      <c r="B128" s="8"/>
      <c r="C128" s="41" t="s">
        <v>175</v>
      </c>
      <c r="D128" s="41"/>
      <c r="E128" s="41"/>
      <c r="F128" s="41"/>
      <c r="G128" s="41"/>
      <c r="H128" s="41"/>
      <c r="I128" s="41"/>
      <c r="J128" s="41"/>
      <c r="K128" s="43"/>
      <c r="L128" s="41"/>
      <c r="M128" s="41"/>
      <c r="N128" s="41"/>
      <c r="O128" s="41"/>
      <c r="P128" s="41"/>
      <c r="Q128" s="41"/>
      <c r="R128" s="41"/>
    </row>
    <row r="129" spans="1:18" x14ac:dyDescent="0.25">
      <c r="A129" s="56" t="s">
        <v>101</v>
      </c>
      <c r="B129" s="8" t="s">
        <v>50</v>
      </c>
      <c r="C129" s="28" t="s">
        <v>178</v>
      </c>
      <c r="D129" s="28"/>
      <c r="E129" s="28"/>
      <c r="F129" s="37">
        <v>0.75</v>
      </c>
      <c r="G129" s="28" t="str">
        <f>CONCATENATE("USD,FLAT ",TEXT(F129,"0.00"))</f>
        <v>USD,FLAT 0.75</v>
      </c>
      <c r="H129" s="34">
        <f>K129/J129</f>
        <v>0.75</v>
      </c>
      <c r="I129" s="28" t="s">
        <v>22</v>
      </c>
      <c r="J129" s="30">
        <v>1</v>
      </c>
      <c r="K129" s="37">
        <f>J129*F129</f>
        <v>0.75</v>
      </c>
      <c r="L129" s="28" t="str">
        <f>TEXT(IFERROR(((K129-K130)/K130*100),"0.00"),"0.00")</f>
        <v>0.00</v>
      </c>
      <c r="M129" s="34">
        <f>(10+J129*3)</f>
        <v>13</v>
      </c>
      <c r="N129" s="33" t="s">
        <v>53</v>
      </c>
      <c r="O129" s="28" t="s">
        <v>190</v>
      </c>
      <c r="P129" s="28" t="s">
        <v>476</v>
      </c>
      <c r="Q129" s="28"/>
      <c r="R129" s="28"/>
    </row>
    <row r="130" spans="1:18" x14ac:dyDescent="0.25">
      <c r="A130" s="8"/>
      <c r="B130" s="8"/>
      <c r="C130" s="31" t="s">
        <v>173</v>
      </c>
      <c r="D130" s="31"/>
      <c r="E130" s="31"/>
      <c r="F130" s="31"/>
      <c r="G130" s="31"/>
      <c r="H130" s="36" t="str">
        <f>IFERROR(K130/J130,"0")</f>
        <v>0</v>
      </c>
      <c r="I130" s="31"/>
      <c r="J130" s="32"/>
      <c r="K130" s="38"/>
      <c r="L130" s="31"/>
      <c r="M130" s="31"/>
      <c r="N130" s="31"/>
      <c r="O130" s="31"/>
      <c r="P130" s="31"/>
      <c r="Q130" s="31"/>
      <c r="R130" s="31"/>
    </row>
    <row r="131" spans="1:18" hidden="1" x14ac:dyDescent="0.25">
      <c r="A131" s="8"/>
      <c r="B131" s="8"/>
      <c r="C131" s="40" t="s">
        <v>174</v>
      </c>
      <c r="D131" s="40"/>
      <c r="E131" s="40"/>
      <c r="F131" s="40"/>
      <c r="G131" s="40"/>
      <c r="H131" s="40"/>
      <c r="I131" s="40"/>
      <c r="J131" s="40"/>
      <c r="K131" s="42"/>
      <c r="L131" s="40"/>
      <c r="M131" s="40"/>
      <c r="N131" s="40"/>
      <c r="O131" s="40"/>
      <c r="P131" s="40"/>
      <c r="Q131" s="40"/>
      <c r="R131" s="40"/>
    </row>
    <row r="132" spans="1:18" hidden="1" x14ac:dyDescent="0.25">
      <c r="A132" s="8"/>
      <c r="B132" s="8"/>
      <c r="C132" s="41" t="s">
        <v>175</v>
      </c>
      <c r="D132" s="41"/>
      <c r="E132" s="41"/>
      <c r="F132" s="41"/>
      <c r="G132" s="41"/>
      <c r="H132" s="41"/>
      <c r="I132" s="41"/>
      <c r="J132" s="41"/>
      <c r="K132" s="43"/>
      <c r="L132" s="41"/>
      <c r="M132" s="41"/>
      <c r="N132" s="41"/>
      <c r="O132" s="41"/>
      <c r="P132" s="41"/>
      <c r="Q132" s="41"/>
      <c r="R132" s="41"/>
    </row>
    <row r="133" spans="1:18" x14ac:dyDescent="0.25">
      <c r="A133" s="56" t="s">
        <v>101</v>
      </c>
      <c r="B133" s="8" t="s">
        <v>179</v>
      </c>
      <c r="C133" s="28" t="s">
        <v>178</v>
      </c>
      <c r="D133" s="28"/>
      <c r="E133" s="28"/>
      <c r="F133" s="37">
        <v>0.3</v>
      </c>
      <c r="G133" s="28" t="str">
        <f>CONCATENATE("USD,FLAT ",TEXT(F133,"0.00"))</f>
        <v>USD,FLAT 0.30</v>
      </c>
      <c r="H133" s="34">
        <f>K133/J133</f>
        <v>0.3</v>
      </c>
      <c r="I133" s="28" t="s">
        <v>22</v>
      </c>
      <c r="J133" s="30">
        <v>1</v>
      </c>
      <c r="K133" s="37">
        <f>J133*F133</f>
        <v>0.3</v>
      </c>
      <c r="L133" s="28" t="str">
        <f>TEXT(IFERROR(((K133-K134)/K134*100),"0.00"),"0.00")</f>
        <v>0.00</v>
      </c>
      <c r="M133" s="34">
        <f>(10+J133*3)</f>
        <v>13</v>
      </c>
      <c r="N133" s="33" t="s">
        <v>53</v>
      </c>
      <c r="O133" s="28" t="s">
        <v>190</v>
      </c>
      <c r="P133" s="28" t="s">
        <v>476</v>
      </c>
      <c r="Q133" s="28"/>
      <c r="R133" s="28"/>
    </row>
    <row r="134" spans="1:18" x14ac:dyDescent="0.25">
      <c r="A134" s="8"/>
      <c r="B134" s="8"/>
      <c r="C134" s="31" t="s">
        <v>173</v>
      </c>
      <c r="D134" s="31"/>
      <c r="E134" s="31"/>
      <c r="F134" s="31"/>
      <c r="G134" s="31"/>
      <c r="H134" s="36" t="str">
        <f>IFERROR(K134/J134,"0")</f>
        <v>0</v>
      </c>
      <c r="I134" s="31"/>
      <c r="J134" s="32"/>
      <c r="K134" s="38"/>
      <c r="L134" s="31"/>
      <c r="M134" s="31"/>
      <c r="N134" s="31"/>
      <c r="O134" s="31"/>
      <c r="P134" s="31"/>
      <c r="Q134" s="31"/>
      <c r="R134" s="31"/>
    </row>
    <row r="135" spans="1:18" hidden="1" x14ac:dyDescent="0.25">
      <c r="A135" s="8"/>
      <c r="B135" s="8"/>
      <c r="C135" s="40" t="s">
        <v>174</v>
      </c>
      <c r="D135" s="40"/>
      <c r="E135" s="40"/>
      <c r="F135" s="40"/>
      <c r="G135" s="40"/>
      <c r="H135" s="40"/>
      <c r="I135" s="40"/>
      <c r="J135" s="40"/>
      <c r="K135" s="42"/>
      <c r="L135" s="40"/>
      <c r="M135" s="40"/>
      <c r="N135" s="40"/>
      <c r="O135" s="40"/>
      <c r="P135" s="40"/>
      <c r="Q135" s="40"/>
      <c r="R135" s="40"/>
    </row>
    <row r="136" spans="1:18" hidden="1" x14ac:dyDescent="0.25">
      <c r="A136" s="8"/>
      <c r="B136" s="8"/>
      <c r="C136" s="41" t="s">
        <v>175</v>
      </c>
      <c r="D136" s="41"/>
      <c r="E136" s="41"/>
      <c r="F136" s="41"/>
      <c r="G136" s="41"/>
      <c r="H136" s="41"/>
      <c r="I136" s="41"/>
      <c r="J136" s="41"/>
      <c r="K136" s="43"/>
      <c r="L136" s="41"/>
      <c r="M136" s="41"/>
      <c r="N136" s="41"/>
      <c r="O136" s="41"/>
      <c r="P136" s="41"/>
      <c r="Q136" s="41"/>
      <c r="R136" s="41"/>
    </row>
    <row r="137" spans="1:18" x14ac:dyDescent="0.25">
      <c r="A137" s="56" t="s">
        <v>101</v>
      </c>
      <c r="B137" s="8" t="s">
        <v>4</v>
      </c>
      <c r="C137" s="28" t="s">
        <v>178</v>
      </c>
      <c r="D137" s="28"/>
      <c r="E137" s="28"/>
      <c r="F137" s="37">
        <v>6.67</v>
      </c>
      <c r="G137" s="28" t="str">
        <f>CONCATENATE("USD,FLAT ",TEXT(F137,"0.00"))</f>
        <v>USD,FLAT 6.67</v>
      </c>
      <c r="H137" s="34">
        <f>K137/J137</f>
        <v>6.67</v>
      </c>
      <c r="I137" s="28" t="s">
        <v>22</v>
      </c>
      <c r="J137" s="30">
        <v>1</v>
      </c>
      <c r="K137" s="37">
        <f>J137*F137</f>
        <v>6.67</v>
      </c>
      <c r="L137" s="37" t="str">
        <f>IFERROR(((K137-K138)/K138*100),"0.00")</f>
        <v>0.00</v>
      </c>
      <c r="M137" s="34">
        <f>(10+J137*3)</f>
        <v>13</v>
      </c>
      <c r="N137" s="33" t="s">
        <v>53</v>
      </c>
      <c r="O137" s="28" t="s">
        <v>190</v>
      </c>
      <c r="P137" s="28" t="s">
        <v>476</v>
      </c>
      <c r="Q137" s="28"/>
      <c r="R137" s="28"/>
    </row>
    <row r="138" spans="1:18" x14ac:dyDescent="0.25">
      <c r="A138" s="8"/>
      <c r="B138" s="8"/>
      <c r="C138" s="31" t="s">
        <v>173</v>
      </c>
      <c r="D138" s="31"/>
      <c r="E138" s="31"/>
      <c r="F138" s="31"/>
      <c r="G138" s="31"/>
      <c r="H138" s="36" t="str">
        <f>IFERROR(K138/J138,"0")</f>
        <v>0</v>
      </c>
      <c r="I138" s="31"/>
      <c r="J138" s="32"/>
      <c r="K138" s="38"/>
      <c r="L138" s="31"/>
      <c r="M138" s="31"/>
      <c r="N138" s="31"/>
      <c r="O138" s="31"/>
      <c r="P138" s="31"/>
      <c r="Q138" s="31"/>
      <c r="R138" s="31"/>
    </row>
    <row r="139" spans="1:18" hidden="1" x14ac:dyDescent="0.25">
      <c r="A139" s="8"/>
      <c r="B139" s="8"/>
      <c r="C139" s="40" t="s">
        <v>174</v>
      </c>
      <c r="D139" s="40"/>
      <c r="E139" s="40"/>
      <c r="F139" s="40"/>
      <c r="G139" s="40"/>
      <c r="H139" s="40"/>
      <c r="I139" s="40"/>
      <c r="J139" s="40"/>
      <c r="K139" s="42"/>
      <c r="L139" s="40"/>
      <c r="M139" s="40"/>
      <c r="N139" s="40"/>
      <c r="O139" s="40"/>
      <c r="P139" s="40"/>
      <c r="Q139" s="40"/>
      <c r="R139" s="40"/>
    </row>
    <row r="140" spans="1:18" hidden="1" x14ac:dyDescent="0.25">
      <c r="A140" s="8"/>
      <c r="B140" s="8"/>
      <c r="C140" s="41" t="s">
        <v>175</v>
      </c>
      <c r="D140" s="41"/>
      <c r="E140" s="41"/>
      <c r="F140" s="41"/>
      <c r="G140" s="41"/>
      <c r="H140" s="41"/>
      <c r="I140" s="41"/>
      <c r="J140" s="41"/>
      <c r="K140" s="43"/>
      <c r="L140" s="41"/>
      <c r="M140" s="41"/>
      <c r="N140" s="41"/>
      <c r="O140" s="41"/>
      <c r="P140" s="41"/>
      <c r="Q140" s="41"/>
      <c r="R140" s="41"/>
    </row>
    <row r="141" spans="1:18" x14ac:dyDescent="0.25">
      <c r="A141" s="56" t="s">
        <v>102</v>
      </c>
      <c r="B141" s="8"/>
      <c r="C141" s="28" t="s">
        <v>178</v>
      </c>
      <c r="D141" s="28"/>
      <c r="E141" s="28"/>
      <c r="F141" s="37">
        <v>0.4</v>
      </c>
      <c r="G141" s="28" t="str">
        <f>CONCATENATE("USD,FLAT ",TEXT(F141,"0.00"))</f>
        <v>USD,FLAT 0.40</v>
      </c>
      <c r="H141" s="34">
        <f>K141/J141</f>
        <v>0.4</v>
      </c>
      <c r="I141" s="28" t="s">
        <v>22</v>
      </c>
      <c r="J141" s="30">
        <v>1</v>
      </c>
      <c r="K141" s="37">
        <f>J141*F141</f>
        <v>0.4</v>
      </c>
      <c r="L141" s="28" t="str">
        <f>TEXT(IFERROR(((K141-K142)/K142*100),"0.00"),"0.00")</f>
        <v>0.00</v>
      </c>
      <c r="M141" s="34">
        <f>(10+J141*3)</f>
        <v>13</v>
      </c>
      <c r="N141" s="33" t="s">
        <v>53</v>
      </c>
      <c r="O141" s="28" t="s">
        <v>190</v>
      </c>
      <c r="P141" s="28" t="s">
        <v>476</v>
      </c>
      <c r="Q141" s="28"/>
      <c r="R141" s="28"/>
    </row>
    <row r="142" spans="1:18" x14ac:dyDescent="0.25">
      <c r="A142" s="8"/>
      <c r="B142" s="8"/>
      <c r="C142" s="31" t="s">
        <v>173</v>
      </c>
      <c r="D142" s="31"/>
      <c r="E142" s="31"/>
      <c r="F142" s="31"/>
      <c r="G142" s="31"/>
      <c r="H142" s="36" t="str">
        <f>IFERROR(K142/J142,"0")</f>
        <v>0</v>
      </c>
      <c r="I142" s="31"/>
      <c r="J142" s="32"/>
      <c r="K142" s="38"/>
      <c r="L142" s="31"/>
      <c r="M142" s="31"/>
      <c r="N142" s="31"/>
      <c r="O142" s="31"/>
      <c r="P142" s="31"/>
      <c r="Q142" s="31"/>
      <c r="R142" s="31"/>
    </row>
    <row r="143" spans="1:18" hidden="1" x14ac:dyDescent="0.25">
      <c r="A143" s="8"/>
      <c r="B143" s="8"/>
      <c r="C143" s="40" t="s">
        <v>174</v>
      </c>
      <c r="D143" s="40"/>
      <c r="E143" s="40"/>
      <c r="F143" s="40"/>
      <c r="G143" s="40"/>
      <c r="H143" s="40"/>
      <c r="I143" s="40"/>
      <c r="J143" s="40"/>
      <c r="K143" s="42"/>
      <c r="L143" s="40"/>
      <c r="M143" s="40"/>
      <c r="N143" s="40"/>
      <c r="O143" s="40"/>
      <c r="P143" s="40"/>
      <c r="Q143" s="40"/>
      <c r="R143" s="40"/>
    </row>
    <row r="144" spans="1:18" hidden="1" x14ac:dyDescent="0.25">
      <c r="A144" s="8"/>
      <c r="B144" s="8"/>
      <c r="C144" s="41" t="s">
        <v>175</v>
      </c>
      <c r="D144" s="41"/>
      <c r="E144" s="41"/>
      <c r="F144" s="41"/>
      <c r="G144" s="41"/>
      <c r="H144" s="41"/>
      <c r="I144" s="41"/>
      <c r="J144" s="41"/>
      <c r="K144" s="43"/>
      <c r="L144" s="41"/>
      <c r="M144" s="41"/>
      <c r="N144" s="41"/>
      <c r="O144" s="41"/>
      <c r="P144" s="41"/>
      <c r="Q144" s="41"/>
      <c r="R144" s="41"/>
    </row>
    <row r="145" spans="1:18" x14ac:dyDescent="0.25">
      <c r="A145" s="56" t="s">
        <v>103</v>
      </c>
      <c r="B145" s="8"/>
      <c r="C145" s="28" t="s">
        <v>178</v>
      </c>
      <c r="D145" s="28"/>
      <c r="E145" s="28"/>
      <c r="F145" s="37">
        <v>0.6</v>
      </c>
      <c r="G145" s="28" t="str">
        <f>CONCATENATE("USD,FLAT ",TEXT(F145,"0.00"))</f>
        <v>USD,FLAT 0.60</v>
      </c>
      <c r="H145" s="34">
        <f>K145/J145</f>
        <v>0.6</v>
      </c>
      <c r="I145" s="28" t="s">
        <v>22</v>
      </c>
      <c r="J145" s="30">
        <v>1</v>
      </c>
      <c r="K145" s="37">
        <f>J145*F145</f>
        <v>0.6</v>
      </c>
      <c r="L145" s="28" t="str">
        <f>TEXT(IFERROR(((K145-K146)/K146*100),"0.00"),"0.00")</f>
        <v>0.00</v>
      </c>
      <c r="M145" s="34">
        <f>(10+J145*3)</f>
        <v>13</v>
      </c>
      <c r="N145" s="33" t="s">
        <v>53</v>
      </c>
      <c r="O145" s="28" t="s">
        <v>190</v>
      </c>
      <c r="P145" s="28" t="s">
        <v>476</v>
      </c>
      <c r="Q145" s="28"/>
      <c r="R145" s="28"/>
    </row>
    <row r="146" spans="1:18" x14ac:dyDescent="0.25">
      <c r="A146" s="8"/>
      <c r="B146" s="8"/>
      <c r="C146" s="31" t="s">
        <v>173</v>
      </c>
      <c r="D146" s="31"/>
      <c r="E146" s="31"/>
      <c r="F146" s="31"/>
      <c r="G146" s="31"/>
      <c r="H146" s="36" t="str">
        <f>IFERROR(K146/J146,"0")</f>
        <v>0</v>
      </c>
      <c r="I146" s="31"/>
      <c r="J146" s="32"/>
      <c r="K146" s="38"/>
      <c r="L146" s="31"/>
      <c r="M146" s="31"/>
      <c r="N146" s="31"/>
      <c r="O146" s="31"/>
      <c r="P146" s="31"/>
      <c r="Q146" s="31"/>
      <c r="R146" s="31"/>
    </row>
    <row r="147" spans="1:18" hidden="1" x14ac:dyDescent="0.25">
      <c r="A147" s="8"/>
      <c r="B147" s="8"/>
      <c r="C147" s="40" t="s">
        <v>174</v>
      </c>
      <c r="D147" s="40"/>
      <c r="E147" s="40"/>
      <c r="F147" s="40"/>
      <c r="G147" s="40"/>
      <c r="H147" s="40"/>
      <c r="I147" s="40"/>
      <c r="J147" s="40"/>
      <c r="K147" s="42"/>
      <c r="L147" s="40"/>
      <c r="M147" s="40"/>
      <c r="N147" s="40"/>
      <c r="O147" s="40"/>
      <c r="P147" s="40"/>
      <c r="Q147" s="40"/>
      <c r="R147" s="40"/>
    </row>
    <row r="148" spans="1:18" hidden="1" x14ac:dyDescent="0.25">
      <c r="A148" s="8"/>
      <c r="B148" s="8"/>
      <c r="C148" s="41" t="s">
        <v>175</v>
      </c>
      <c r="D148" s="41"/>
      <c r="E148" s="41"/>
      <c r="F148" s="41"/>
      <c r="G148" s="41"/>
      <c r="H148" s="41"/>
      <c r="I148" s="41"/>
      <c r="J148" s="41"/>
      <c r="K148" s="43"/>
      <c r="L148" s="41"/>
      <c r="M148" s="41"/>
      <c r="N148" s="41"/>
      <c r="O148" s="41"/>
      <c r="P148" s="41"/>
      <c r="Q148" s="41"/>
      <c r="R148" s="41"/>
    </row>
    <row r="149" spans="1:18" x14ac:dyDescent="0.25">
      <c r="A149" s="56" t="s">
        <v>104</v>
      </c>
      <c r="B149" s="44"/>
      <c r="C149" s="28" t="s">
        <v>178</v>
      </c>
      <c r="D149" s="28"/>
      <c r="E149" s="28"/>
      <c r="F149" s="28">
        <v>16.66</v>
      </c>
      <c r="G149" s="28" t="str">
        <f>CONCATENATE("USD,FLAT ",TEXT(F149,"0.00"))</f>
        <v>USD,FLAT 16.66</v>
      </c>
      <c r="H149" s="34">
        <f>K149/J149</f>
        <v>16.66</v>
      </c>
      <c r="I149" s="28" t="s">
        <v>22</v>
      </c>
      <c r="J149" s="30">
        <v>1</v>
      </c>
      <c r="K149" s="37">
        <f>J149*F149</f>
        <v>16.66</v>
      </c>
      <c r="L149" s="28" t="str">
        <f>TEXT(IFERROR(((K149-K150)/K150*100),"0.00"),"0.00")</f>
        <v>0.00</v>
      </c>
      <c r="M149" s="34">
        <f>(10+J149*3)</f>
        <v>13</v>
      </c>
      <c r="N149" s="33" t="s">
        <v>53</v>
      </c>
      <c r="O149" s="28" t="s">
        <v>190</v>
      </c>
      <c r="P149" s="28" t="s">
        <v>476</v>
      </c>
      <c r="Q149" s="28"/>
      <c r="R149" s="28"/>
    </row>
    <row r="150" spans="1:18" x14ac:dyDescent="0.25">
      <c r="A150" s="8"/>
      <c r="B150" s="44"/>
      <c r="C150" s="31" t="s">
        <v>173</v>
      </c>
      <c r="D150" s="31"/>
      <c r="E150" s="31"/>
      <c r="F150" s="31"/>
      <c r="G150" s="31"/>
      <c r="H150" s="36" t="str">
        <f>IFERROR(K150/J150,"0")</f>
        <v>0</v>
      </c>
      <c r="I150" s="31"/>
      <c r="J150" s="32"/>
      <c r="K150" s="38"/>
      <c r="L150" s="31"/>
      <c r="M150" s="31"/>
      <c r="N150" s="31"/>
      <c r="O150" s="31"/>
      <c r="P150" s="31"/>
      <c r="Q150" s="31"/>
      <c r="R150" s="31"/>
    </row>
    <row r="151" spans="1:18" hidden="1" x14ac:dyDescent="0.25">
      <c r="A151" s="8"/>
      <c r="B151" s="44"/>
      <c r="C151" s="40" t="s">
        <v>174</v>
      </c>
      <c r="D151" s="40"/>
      <c r="E151" s="40"/>
      <c r="F151" s="40"/>
      <c r="G151" s="40"/>
      <c r="H151" s="40"/>
      <c r="I151" s="40"/>
      <c r="J151" s="40"/>
      <c r="K151" s="42"/>
      <c r="L151" s="40"/>
      <c r="M151" s="40"/>
      <c r="N151" s="40"/>
      <c r="O151" s="40"/>
      <c r="P151" s="40"/>
      <c r="Q151" s="40"/>
      <c r="R151" s="40"/>
    </row>
    <row r="152" spans="1:18" hidden="1" x14ac:dyDescent="0.25">
      <c r="A152" s="8"/>
      <c r="B152" s="44"/>
      <c r="C152" s="41" t="s">
        <v>175</v>
      </c>
      <c r="D152" s="41"/>
      <c r="E152" s="41"/>
      <c r="F152" s="41"/>
      <c r="G152" s="41"/>
      <c r="H152" s="41"/>
      <c r="I152" s="41"/>
      <c r="J152" s="41"/>
      <c r="K152" s="43"/>
      <c r="L152" s="41"/>
      <c r="M152" s="41"/>
      <c r="N152" s="41"/>
      <c r="O152" s="41"/>
      <c r="P152" s="41"/>
      <c r="Q152" s="41"/>
      <c r="R152" s="41"/>
    </row>
    <row r="154" spans="1:18" x14ac:dyDescent="0.25">
      <c r="A154" s="347" t="s">
        <v>197</v>
      </c>
      <c r="B154" s="348"/>
      <c r="C154" s="348"/>
      <c r="D154" s="348"/>
      <c r="E154" s="348"/>
      <c r="F154" s="348"/>
      <c r="G154" s="348"/>
      <c r="H154" s="348"/>
    </row>
    <row r="155" spans="1:18" x14ac:dyDescent="0.25">
      <c r="A155" s="22" t="s">
        <v>1</v>
      </c>
      <c r="B155" s="22" t="s">
        <v>0</v>
      </c>
      <c r="C155" s="22" t="s">
        <v>181</v>
      </c>
      <c r="D155" s="22" t="s">
        <v>192</v>
      </c>
      <c r="E155" s="22" t="s">
        <v>203</v>
      </c>
      <c r="F155" s="22" t="s">
        <v>204</v>
      </c>
      <c r="G155" s="22" t="s">
        <v>193</v>
      </c>
      <c r="H155" s="22" t="s">
        <v>194</v>
      </c>
    </row>
    <row r="156" spans="1:18" x14ac:dyDescent="0.25">
      <c r="A156" s="19" t="str">
        <f>C4</f>
        <v>Con_Cust1Auto,IND</v>
      </c>
      <c r="B156" s="21" t="str">
        <f>B4</f>
        <v>IND</v>
      </c>
      <c r="C156" s="19" t="s">
        <v>195</v>
      </c>
      <c r="D156" s="52">
        <f>((E156-G156)/G156*100)</f>
        <v>942.22604629629632</v>
      </c>
      <c r="E156" s="53">
        <f>K85</f>
        <v>6753624.7800000003</v>
      </c>
      <c r="F156" s="53">
        <f>M85</f>
        <v>1008157</v>
      </c>
      <c r="G156" s="53">
        <f>K86</f>
        <v>648000</v>
      </c>
      <c r="H156" s="53">
        <f>M86</f>
        <v>144010</v>
      </c>
    </row>
    <row r="158" spans="1:18" x14ac:dyDescent="0.25">
      <c r="A158" s="347" t="s">
        <v>196</v>
      </c>
      <c r="B158" s="348"/>
      <c r="C158" s="348"/>
      <c r="D158" s="348"/>
      <c r="E158" s="348"/>
      <c r="F158" s="348"/>
      <c r="G158" s="348"/>
      <c r="H158" s="348"/>
      <c r="I158" s="348"/>
      <c r="J158" s="348"/>
    </row>
    <row r="159" spans="1:18" x14ac:dyDescent="0.25">
      <c r="A159" s="373" t="s">
        <v>198</v>
      </c>
      <c r="B159" s="391" t="s">
        <v>201</v>
      </c>
      <c r="C159" s="392"/>
      <c r="D159" s="392"/>
      <c r="E159" s="393"/>
      <c r="F159" s="391" t="s">
        <v>202</v>
      </c>
      <c r="G159" s="392"/>
      <c r="H159" s="392"/>
      <c r="I159" s="393"/>
      <c r="J159" s="337" t="s">
        <v>200</v>
      </c>
    </row>
    <row r="160" spans="1:18" x14ac:dyDescent="0.25">
      <c r="A160" s="374"/>
      <c r="B160" s="22" t="s">
        <v>164</v>
      </c>
      <c r="C160" s="22" t="s">
        <v>166</v>
      </c>
      <c r="D160" s="22" t="s">
        <v>199</v>
      </c>
      <c r="E160" s="22" t="s">
        <v>205</v>
      </c>
      <c r="F160" s="22" t="s">
        <v>164</v>
      </c>
      <c r="G160" s="22" t="s">
        <v>166</v>
      </c>
      <c r="H160" s="22" t="s">
        <v>199</v>
      </c>
      <c r="I160" s="22" t="s">
        <v>205</v>
      </c>
      <c r="J160" s="338"/>
    </row>
    <row r="161" spans="1:12" x14ac:dyDescent="0.25">
      <c r="A161" s="19"/>
      <c r="B161" s="53">
        <f>E156</f>
        <v>6753624.7800000003</v>
      </c>
      <c r="C161" s="53">
        <f>F156</f>
        <v>1008157</v>
      </c>
      <c r="D161" s="53">
        <f>B161-C161</f>
        <v>5745467.7800000003</v>
      </c>
      <c r="E161" s="52">
        <f>((B161-C161)/B161*100)</f>
        <v>85.072356951402924</v>
      </c>
      <c r="F161" s="53">
        <f>G156</f>
        <v>648000</v>
      </c>
      <c r="G161" s="53">
        <f>H156</f>
        <v>144010</v>
      </c>
      <c r="H161" s="53">
        <f>F161-G161</f>
        <v>503990</v>
      </c>
      <c r="I161" s="52">
        <f>((F161-G161)/F161*100)</f>
        <v>77.776234567901241</v>
      </c>
      <c r="J161" s="52">
        <f>((B161-F161)/F161*100)</f>
        <v>942.22604629629632</v>
      </c>
    </row>
    <row r="163" spans="1:12" x14ac:dyDescent="0.25">
      <c r="A163" s="54" t="s">
        <v>136</v>
      </c>
      <c r="B163" s="55"/>
      <c r="C163" s="55"/>
    </row>
    <row r="164" spans="1:12" x14ac:dyDescent="0.25">
      <c r="A164" s="22" t="s">
        <v>136</v>
      </c>
      <c r="B164" s="22" t="s">
        <v>144</v>
      </c>
      <c r="C164" s="22" t="s">
        <v>145</v>
      </c>
      <c r="D164" s="22" t="s">
        <v>469</v>
      </c>
      <c r="E164" s="22" t="s">
        <v>125</v>
      </c>
      <c r="F164" s="22" t="s">
        <v>54</v>
      </c>
      <c r="G164" s="22" t="s">
        <v>55</v>
      </c>
      <c r="H164" s="22" t="s">
        <v>470</v>
      </c>
      <c r="I164" s="22" t="s">
        <v>471</v>
      </c>
      <c r="J164" s="22" t="s">
        <v>140</v>
      </c>
      <c r="K164" s="22" t="s">
        <v>122</v>
      </c>
      <c r="L164" s="22" t="s">
        <v>120</v>
      </c>
    </row>
    <row r="165" spans="1:12" ht="75" x14ac:dyDescent="0.25">
      <c r="A165" s="24" t="s">
        <v>137</v>
      </c>
      <c r="B165" s="25" t="s">
        <v>216</v>
      </c>
      <c r="C165" s="25" t="s">
        <v>216</v>
      </c>
      <c r="D165" s="25" t="s">
        <v>134</v>
      </c>
      <c r="E165" s="25" t="s">
        <v>134</v>
      </c>
      <c r="F165" s="25"/>
      <c r="G165" s="25"/>
      <c r="H165" s="25"/>
      <c r="I165" s="25"/>
      <c r="J165" s="150">
        <v>44380</v>
      </c>
      <c r="K165" s="150">
        <v>44380</v>
      </c>
      <c r="L165" s="25" t="s">
        <v>4</v>
      </c>
    </row>
    <row r="166" spans="1:12" x14ac:dyDescent="0.25">
      <c r="A166" s="347" t="s">
        <v>207</v>
      </c>
      <c r="B166" s="348"/>
      <c r="C166" s="348"/>
      <c r="D166" s="348"/>
      <c r="E166" s="348"/>
      <c r="F166" s="348"/>
      <c r="G166" s="348"/>
      <c r="H166" s="348"/>
    </row>
    <row r="167" spans="1:12" x14ac:dyDescent="0.25">
      <c r="A167" s="22" t="s">
        <v>208</v>
      </c>
      <c r="B167" s="22" t="s">
        <v>209</v>
      </c>
      <c r="C167" s="22" t="s">
        <v>210</v>
      </c>
      <c r="D167" s="22" t="s">
        <v>0</v>
      </c>
      <c r="E167" s="22" t="s">
        <v>9</v>
      </c>
      <c r="F167" s="22" t="s">
        <v>211</v>
      </c>
      <c r="G167" s="22" t="s">
        <v>212</v>
      </c>
      <c r="H167" s="22"/>
    </row>
    <row r="168" spans="1:12" x14ac:dyDescent="0.25">
      <c r="A168" s="17">
        <v>10</v>
      </c>
      <c r="B168" s="17" t="s">
        <v>4</v>
      </c>
      <c r="C168" s="17">
        <v>1000</v>
      </c>
      <c r="D168" s="17" t="s">
        <v>6</v>
      </c>
      <c r="E168" s="17"/>
      <c r="F168" s="17" t="s">
        <v>206</v>
      </c>
      <c r="G168" s="17" t="s">
        <v>164</v>
      </c>
      <c r="H168" s="17"/>
    </row>
    <row r="169" spans="1:12" x14ac:dyDescent="0.25">
      <c r="A169" s="17">
        <v>20</v>
      </c>
      <c r="B169" s="17" t="s">
        <v>4</v>
      </c>
      <c r="C169" s="17">
        <v>1000</v>
      </c>
      <c r="D169" s="17" t="s">
        <v>6</v>
      </c>
      <c r="E169" s="17"/>
      <c r="F169" s="17" t="s">
        <v>215</v>
      </c>
      <c r="G169" s="17" t="s">
        <v>164</v>
      </c>
      <c r="H169" s="17"/>
    </row>
    <row r="170" spans="1:12" x14ac:dyDescent="0.25">
      <c r="A170" s="17">
        <v>30</v>
      </c>
      <c r="B170" s="17" t="s">
        <v>4</v>
      </c>
      <c r="C170" s="17">
        <v>1000</v>
      </c>
      <c r="D170" s="17" t="s">
        <v>6</v>
      </c>
      <c r="E170" s="17"/>
      <c r="F170" s="17" t="s">
        <v>213</v>
      </c>
      <c r="G170" s="17" t="s">
        <v>166</v>
      </c>
      <c r="H170" s="17"/>
    </row>
    <row r="171" spans="1:12" x14ac:dyDescent="0.25">
      <c r="A171" s="17">
        <v>40</v>
      </c>
      <c r="B171" s="17" t="s">
        <v>4</v>
      </c>
      <c r="C171" s="17">
        <v>1000</v>
      </c>
      <c r="D171" s="17" t="s">
        <v>6</v>
      </c>
      <c r="E171" s="17"/>
      <c r="F171" s="17" t="s">
        <v>214</v>
      </c>
      <c r="G171" s="17" t="s">
        <v>166</v>
      </c>
      <c r="H171" s="17"/>
    </row>
    <row r="172" spans="1:12" x14ac:dyDescent="0.25">
      <c r="A172" s="54" t="s">
        <v>136</v>
      </c>
      <c r="B172" s="55"/>
      <c r="C172" s="55"/>
      <c r="D172" s="9"/>
      <c r="E172" s="9"/>
      <c r="F172" s="9"/>
      <c r="G172" s="9"/>
      <c r="H172" s="9"/>
    </row>
    <row r="173" spans="1:12" x14ac:dyDescent="0.25">
      <c r="A173" s="22" t="s">
        <v>136</v>
      </c>
      <c r="B173" s="22" t="s">
        <v>144</v>
      </c>
      <c r="C173" s="22" t="s">
        <v>145</v>
      </c>
      <c r="D173" s="9"/>
      <c r="E173" s="9"/>
      <c r="F173" s="9"/>
      <c r="G173" s="9"/>
      <c r="H173" s="9"/>
    </row>
    <row r="174" spans="1:12" ht="75" x14ac:dyDescent="0.25">
      <c r="A174" s="57" t="s">
        <v>137</v>
      </c>
      <c r="B174" s="58" t="s">
        <v>146</v>
      </c>
      <c r="C174" s="58" t="s">
        <v>146</v>
      </c>
      <c r="D174" s="9"/>
      <c r="E174" s="9"/>
      <c r="F174" s="9"/>
      <c r="G174" s="9"/>
      <c r="H174" s="9"/>
    </row>
    <row r="175" spans="1:12" x14ac:dyDescent="0.25">
      <c r="A175" s="376" t="s">
        <v>218</v>
      </c>
      <c r="B175" s="376"/>
      <c r="C175" s="376"/>
      <c r="D175" s="376"/>
      <c r="E175" s="376"/>
    </row>
    <row r="176" spans="1:12" x14ac:dyDescent="0.25">
      <c r="A176" s="347" t="s">
        <v>196</v>
      </c>
      <c r="B176" s="348"/>
      <c r="C176" s="348"/>
      <c r="D176" s="348"/>
      <c r="E176" s="348"/>
      <c r="F176" s="348"/>
      <c r="G176" s="348"/>
      <c r="H176" s="348"/>
      <c r="I176" s="348"/>
      <c r="J176" s="348"/>
    </row>
    <row r="177" spans="1:18" x14ac:dyDescent="0.25">
      <c r="A177" s="373" t="s">
        <v>198</v>
      </c>
      <c r="B177" s="391" t="s">
        <v>201</v>
      </c>
      <c r="C177" s="392"/>
      <c r="D177" s="392"/>
      <c r="E177" s="393"/>
      <c r="F177" s="391" t="s">
        <v>202</v>
      </c>
      <c r="G177" s="392"/>
      <c r="H177" s="392"/>
      <c r="I177" s="393"/>
      <c r="J177" s="337" t="s">
        <v>200</v>
      </c>
    </row>
    <row r="178" spans="1:18" x14ac:dyDescent="0.25">
      <c r="A178" s="374"/>
      <c r="B178" s="22" t="s">
        <v>164</v>
      </c>
      <c r="C178" s="22" t="s">
        <v>166</v>
      </c>
      <c r="D178" s="22" t="s">
        <v>199</v>
      </c>
      <c r="E178" s="22" t="s">
        <v>205</v>
      </c>
      <c r="F178" s="22" t="s">
        <v>164</v>
      </c>
      <c r="G178" s="22" t="s">
        <v>166</v>
      </c>
      <c r="H178" s="22" t="s">
        <v>199</v>
      </c>
      <c r="I178" s="22" t="s">
        <v>205</v>
      </c>
      <c r="J178" s="338"/>
    </row>
    <row r="179" spans="1:18" x14ac:dyDescent="0.25">
      <c r="A179" s="19"/>
      <c r="B179" s="53">
        <f>E156+C168+C169</f>
        <v>6755624.7800000003</v>
      </c>
      <c r="C179" s="53">
        <f>F156+C170+C171</f>
        <v>1010157</v>
      </c>
      <c r="D179" s="53">
        <f>B179-C179</f>
        <v>5745467.7800000003</v>
      </c>
      <c r="E179" s="52">
        <f>((B179-C179)/B179*100)</f>
        <v>85.047171314331052</v>
      </c>
      <c r="F179" s="53">
        <f>G156</f>
        <v>648000</v>
      </c>
      <c r="G179" s="53">
        <f>H156</f>
        <v>144010</v>
      </c>
      <c r="H179" s="53">
        <f>F179-G179</f>
        <v>503990</v>
      </c>
      <c r="I179" s="52">
        <f>((F179-G179)/F179*100)</f>
        <v>77.776234567901241</v>
      </c>
      <c r="J179" s="52">
        <f>((B179-F179)/F179*100)</f>
        <v>942.53468827160486</v>
      </c>
    </row>
    <row r="180" spans="1:18" x14ac:dyDescent="0.25">
      <c r="A180" s="347" t="s">
        <v>197</v>
      </c>
      <c r="B180" s="348"/>
      <c r="C180" s="348"/>
      <c r="D180" s="348"/>
      <c r="E180" s="348"/>
      <c r="F180" s="348"/>
      <c r="G180" s="348"/>
      <c r="H180" s="348"/>
    </row>
    <row r="181" spans="1:18" x14ac:dyDescent="0.25">
      <c r="A181" s="22" t="s">
        <v>1</v>
      </c>
      <c r="B181" s="22" t="s">
        <v>0</v>
      </c>
      <c r="C181" s="22" t="s">
        <v>181</v>
      </c>
      <c r="D181" s="22" t="s">
        <v>192</v>
      </c>
      <c r="E181" s="22" t="s">
        <v>203</v>
      </c>
      <c r="F181" s="22" t="s">
        <v>204</v>
      </c>
      <c r="G181" s="22" t="s">
        <v>193</v>
      </c>
      <c r="H181" s="22" t="s">
        <v>194</v>
      </c>
    </row>
    <row r="182" spans="1:18" x14ac:dyDescent="0.25">
      <c r="A182" s="19"/>
      <c r="B182" s="21"/>
      <c r="C182" s="19" t="s">
        <v>195</v>
      </c>
      <c r="D182" s="52">
        <f>((E182-G182)/G182*100)</f>
        <v>942.53468827160486</v>
      </c>
      <c r="E182" s="53">
        <f>E156+C168+C169</f>
        <v>6755624.7800000003</v>
      </c>
      <c r="F182" s="53">
        <f>F156+C170+C171</f>
        <v>1010157</v>
      </c>
      <c r="G182" s="53">
        <f>G156</f>
        <v>648000</v>
      </c>
      <c r="H182" s="53">
        <f>H156</f>
        <v>144010</v>
      </c>
    </row>
    <row r="183" spans="1:18" x14ac:dyDescent="0.25">
      <c r="A183" s="70"/>
      <c r="B183" s="71"/>
      <c r="C183" s="71"/>
      <c r="D183" s="71"/>
      <c r="E183" s="72"/>
      <c r="F183" s="71"/>
      <c r="G183" s="71"/>
      <c r="H183" s="71"/>
      <c r="I183" s="72"/>
      <c r="J183" s="72"/>
    </row>
    <row r="184" spans="1:18" x14ac:dyDescent="0.25">
      <c r="A184" s="54" t="s">
        <v>136</v>
      </c>
      <c r="B184" s="55"/>
      <c r="C184" s="55"/>
    </row>
    <row r="185" spans="1:18" x14ac:dyDescent="0.25">
      <c r="A185" s="22" t="s">
        <v>136</v>
      </c>
      <c r="B185" s="22" t="s">
        <v>144</v>
      </c>
      <c r="C185" s="22" t="s">
        <v>145</v>
      </c>
    </row>
    <row r="186" spans="1:18" ht="75" x14ac:dyDescent="0.25">
      <c r="A186" s="57" t="s">
        <v>137</v>
      </c>
      <c r="B186" s="58" t="s">
        <v>216</v>
      </c>
      <c r="C186" s="58" t="s">
        <v>216</v>
      </c>
    </row>
    <row r="188" spans="1:18" x14ac:dyDescent="0.25">
      <c r="A188" s="376" t="s">
        <v>472</v>
      </c>
      <c r="B188" s="376"/>
      <c r="C188" s="376"/>
      <c r="D188" s="376"/>
      <c r="E188" s="376"/>
      <c r="F188" s="376"/>
      <c r="G188" s="376"/>
      <c r="H188" s="376"/>
      <c r="I188" s="376"/>
      <c r="J188" s="376"/>
      <c r="K188" s="376"/>
      <c r="L188" s="376"/>
    </row>
    <row r="189" spans="1:18" x14ac:dyDescent="0.25">
      <c r="A189" s="170" t="s">
        <v>219</v>
      </c>
      <c r="B189" s="63">
        <f>E65+60</f>
        <v>60</v>
      </c>
      <c r="C189" s="170"/>
      <c r="D189" s="170"/>
      <c r="E189" s="170"/>
      <c r="F189" s="170"/>
      <c r="G189" s="170"/>
      <c r="H189" s="170"/>
      <c r="I189" s="170"/>
      <c r="J189" s="170"/>
      <c r="K189" s="170"/>
      <c r="L189" s="170"/>
    </row>
    <row r="190" spans="1:18" x14ac:dyDescent="0.25">
      <c r="A190" s="324" t="s">
        <v>159</v>
      </c>
      <c r="B190" s="325"/>
      <c r="C190" s="325"/>
      <c r="D190" s="325"/>
      <c r="E190" s="325"/>
    </row>
    <row r="191" spans="1:18" x14ac:dyDescent="0.25">
      <c r="A191" s="173" t="s">
        <v>160</v>
      </c>
      <c r="B191" s="173" t="s">
        <v>43</v>
      </c>
      <c r="C191" s="173" t="s">
        <v>168</v>
      </c>
      <c r="D191" s="39" t="s">
        <v>176</v>
      </c>
      <c r="E191" s="39" t="s">
        <v>177</v>
      </c>
      <c r="F191" s="39" t="s">
        <v>56</v>
      </c>
      <c r="G191" s="173" t="s">
        <v>161</v>
      </c>
      <c r="H191" s="173" t="s">
        <v>162</v>
      </c>
      <c r="I191" s="39" t="s">
        <v>18</v>
      </c>
      <c r="J191" s="39" t="s">
        <v>163</v>
      </c>
      <c r="K191" s="39" t="s">
        <v>164</v>
      </c>
      <c r="L191" s="39" t="s">
        <v>165</v>
      </c>
      <c r="M191" s="39" t="s">
        <v>166</v>
      </c>
      <c r="N191" s="39" t="s">
        <v>183</v>
      </c>
      <c r="O191" s="39" t="s">
        <v>180</v>
      </c>
      <c r="P191" s="39" t="s">
        <v>181</v>
      </c>
      <c r="Q191" s="39" t="s">
        <v>182</v>
      </c>
      <c r="R191" s="39" t="s">
        <v>167</v>
      </c>
    </row>
    <row r="192" spans="1:18" x14ac:dyDescent="0.25">
      <c r="A192" s="46" t="s">
        <v>169</v>
      </c>
      <c r="B192" s="46"/>
      <c r="C192" s="46" t="s">
        <v>178</v>
      </c>
      <c r="D192" s="46"/>
      <c r="E192" s="46"/>
      <c r="F192" s="46"/>
      <c r="G192" s="46"/>
      <c r="H192" s="46"/>
      <c r="I192" s="46"/>
      <c r="J192" s="47">
        <f>J194+J212+J226</f>
        <v>336013</v>
      </c>
      <c r="K192" s="48">
        <f>SUMIFS(K194:K259,C194:C259,C192,A194:A259,"*"&amp;"DE_"&amp;"*")</f>
        <v>6753622.5700000003</v>
      </c>
      <c r="L192" s="46"/>
      <c r="M192" s="48">
        <f>SUMIFS(M194:M259,C194:C259,C192,A194:A259,"*"&amp;"DE_"&amp;"*")</f>
        <v>1008169</v>
      </c>
      <c r="N192" s="46"/>
      <c r="O192" s="46"/>
      <c r="P192" s="46"/>
      <c r="Q192" s="46"/>
      <c r="R192" s="46"/>
    </row>
    <row r="193" spans="1:18" x14ac:dyDescent="0.25">
      <c r="A193" s="46" t="s">
        <v>169</v>
      </c>
      <c r="B193" s="46"/>
      <c r="C193" s="46" t="s">
        <v>173</v>
      </c>
      <c r="D193" s="46"/>
      <c r="E193" s="46"/>
      <c r="F193" s="46"/>
      <c r="G193" s="46"/>
      <c r="H193" s="46"/>
      <c r="I193" s="46"/>
      <c r="J193" s="47">
        <f>J195+J213+J227</f>
        <v>336000</v>
      </c>
      <c r="K193" s="48">
        <f>SUMIFS(K194:K259,C194:C259,C193,A194:A259,"*"&amp;"DE_"&amp;"*")</f>
        <v>648000</v>
      </c>
      <c r="L193" s="46"/>
      <c r="M193" s="48">
        <f>SUMIFS(M194:M259,C194:C259,C193,A194:A259,"*"&amp;"DE_"&amp;"*")</f>
        <v>144010</v>
      </c>
      <c r="N193" s="46"/>
      <c r="O193" s="46"/>
      <c r="P193" s="46"/>
      <c r="Q193" s="46"/>
      <c r="R193" s="46"/>
    </row>
    <row r="194" spans="1:18" x14ac:dyDescent="0.25">
      <c r="A194" s="49" t="s">
        <v>170</v>
      </c>
      <c r="B194" s="49"/>
      <c r="C194" s="49" t="s">
        <v>178</v>
      </c>
      <c r="D194" s="49"/>
      <c r="E194" s="49"/>
      <c r="F194" s="49"/>
      <c r="G194" s="49"/>
      <c r="H194" s="49"/>
      <c r="I194" s="49"/>
      <c r="J194" s="50">
        <f>SUMIFS(J196:J211,C196:C211,C194)</f>
        <v>48003</v>
      </c>
      <c r="K194" s="51">
        <f>SUMIFS(K196:K211,C196:C211,C194)</f>
        <v>657712.92000000004</v>
      </c>
      <c r="L194" s="49"/>
      <c r="M194" s="51">
        <f>SUMIFS(M196:M211,C196:C211,C194)</f>
        <v>144029</v>
      </c>
      <c r="N194" s="49"/>
      <c r="O194" s="49"/>
      <c r="P194" s="49"/>
      <c r="Q194" s="49"/>
      <c r="R194" s="49"/>
    </row>
    <row r="195" spans="1:18" x14ac:dyDescent="0.25">
      <c r="A195" s="49" t="s">
        <v>170</v>
      </c>
      <c r="B195" s="49"/>
      <c r="C195" s="49" t="s">
        <v>173</v>
      </c>
      <c r="D195" s="49"/>
      <c r="E195" s="49"/>
      <c r="F195" s="49"/>
      <c r="G195" s="49"/>
      <c r="H195" s="49"/>
      <c r="I195" s="49"/>
      <c r="J195" s="50">
        <f>SUMIFS(J196:J211,C196:C211,C195)</f>
        <v>48000</v>
      </c>
      <c r="K195" s="51">
        <f>SUMIFS(K196:K211,C196:C211,C195)</f>
        <v>648000</v>
      </c>
      <c r="L195" s="49"/>
      <c r="M195" s="51">
        <f>SUMIFS(M196:M211,C196:C211,C195)</f>
        <v>144010</v>
      </c>
      <c r="N195" s="49"/>
      <c r="O195" s="49"/>
      <c r="P195" s="49"/>
      <c r="Q195" s="49"/>
      <c r="R195" s="49"/>
    </row>
    <row r="196" spans="1:18" x14ac:dyDescent="0.25">
      <c r="A196" s="56" t="s">
        <v>94</v>
      </c>
      <c r="B196" s="56"/>
      <c r="C196" s="28" t="s">
        <v>178</v>
      </c>
      <c r="D196" s="67">
        <v>44197</v>
      </c>
      <c r="E196" s="68">
        <f>D198-1</f>
        <v>59</v>
      </c>
      <c r="F196" s="28">
        <v>13.5</v>
      </c>
      <c r="G196" s="28" t="str">
        <f>CONCATENATE("USD,FLAT ",TEXT(F196,"0.00"))</f>
        <v>USD,FLAT 13.50</v>
      </c>
      <c r="H196" s="34">
        <f>K196/J196</f>
        <v>13.5</v>
      </c>
      <c r="I196" s="28" t="s">
        <v>22</v>
      </c>
      <c r="J196" s="30">
        <v>48000</v>
      </c>
      <c r="K196" s="34">
        <f>J196*F196</f>
        <v>648000</v>
      </c>
      <c r="L196" s="28" t="str">
        <f>TEXT(IFERROR(((K196-K197)/K197*100),"0.00"),"0.00")</f>
        <v>0.00</v>
      </c>
      <c r="M196" s="34">
        <f>(10+J196*3)</f>
        <v>144010</v>
      </c>
      <c r="N196" s="28"/>
      <c r="O196" s="28" t="s">
        <v>153</v>
      </c>
      <c r="P196" s="28" t="s">
        <v>473</v>
      </c>
      <c r="Q196" s="28" t="s">
        <v>474</v>
      </c>
      <c r="R196" s="28"/>
    </row>
    <row r="197" spans="1:18" hidden="1" x14ac:dyDescent="0.25">
      <c r="A197" s="56"/>
      <c r="B197" s="56"/>
      <c r="C197" s="31" t="s">
        <v>173</v>
      </c>
      <c r="D197" s="66"/>
      <c r="E197" s="66"/>
      <c r="F197" s="31">
        <v>13.5</v>
      </c>
      <c r="G197" s="31" t="str">
        <f>CONCATENATE("USD,FLAT ",TEXT(F197,"0.00"))</f>
        <v>USD,FLAT 13.50</v>
      </c>
      <c r="H197" s="36">
        <f>IFERROR(K197/J197,"0")</f>
        <v>13.5</v>
      </c>
      <c r="I197" s="31" t="s">
        <v>22</v>
      </c>
      <c r="J197" s="32">
        <v>48000</v>
      </c>
      <c r="K197" s="36">
        <f>J197*F197</f>
        <v>648000</v>
      </c>
      <c r="L197" s="31"/>
      <c r="M197" s="36">
        <f>(10+J197*3)</f>
        <v>144010</v>
      </c>
      <c r="N197" s="31"/>
      <c r="O197" s="31"/>
      <c r="P197" s="31"/>
      <c r="Q197" s="31"/>
      <c r="R197" s="31"/>
    </row>
    <row r="198" spans="1:18" x14ac:dyDescent="0.25">
      <c r="A198" s="56"/>
      <c r="B198" s="56"/>
      <c r="C198" s="40" t="s">
        <v>174</v>
      </c>
      <c r="D198" s="105">
        <f>B189</f>
        <v>60</v>
      </c>
      <c r="E198" s="40"/>
      <c r="F198" s="40">
        <v>12.99</v>
      </c>
      <c r="G198" s="40" t="str">
        <f>CONCATENATE("USD,FLAT ",TEXT(F198,"0.00"))</f>
        <v>USD,FLAT 12.99</v>
      </c>
      <c r="H198" s="106">
        <f>K198/J198</f>
        <v>12.99</v>
      </c>
      <c r="I198" s="40" t="s">
        <v>22</v>
      </c>
      <c r="J198" s="107">
        <v>48000</v>
      </c>
      <c r="K198" s="106">
        <f>J198*F198</f>
        <v>623520</v>
      </c>
      <c r="L198" s="108" t="str">
        <f>TEXT(IFERROR(((K198-K197)/K197*100),"0.00"),"0.00")</f>
        <v>-3.78</v>
      </c>
      <c r="M198" s="106">
        <f>(10+J198*3)</f>
        <v>144010</v>
      </c>
      <c r="N198" s="40"/>
      <c r="O198" s="40" t="s">
        <v>153</v>
      </c>
      <c r="P198" s="40" t="s">
        <v>473</v>
      </c>
      <c r="Q198" s="40" t="s">
        <v>474</v>
      </c>
      <c r="R198" s="40"/>
    </row>
    <row r="199" spans="1:18" hidden="1" x14ac:dyDescent="0.25">
      <c r="A199" s="56"/>
      <c r="B199" s="56"/>
      <c r="C199" s="41" t="s">
        <v>175</v>
      </c>
      <c r="D199" s="41"/>
      <c r="E199" s="41"/>
      <c r="F199" s="41"/>
      <c r="G199" s="41"/>
      <c r="H199" s="41"/>
      <c r="I199" s="41"/>
      <c r="J199" s="41"/>
      <c r="K199" s="41"/>
      <c r="L199" s="41"/>
      <c r="M199" s="41"/>
      <c r="N199" s="41"/>
      <c r="O199" s="41"/>
      <c r="P199" s="41"/>
      <c r="Q199" s="41"/>
      <c r="R199" s="41"/>
    </row>
    <row r="200" spans="1:18" x14ac:dyDescent="0.25">
      <c r="A200" s="151" t="s">
        <v>95</v>
      </c>
      <c r="B200" s="56"/>
      <c r="C200" s="28" t="s">
        <v>178</v>
      </c>
      <c r="D200" s="67">
        <v>44197</v>
      </c>
      <c r="E200" s="68">
        <f>D202-1</f>
        <v>59</v>
      </c>
      <c r="F200" s="60">
        <v>9.89</v>
      </c>
      <c r="G200" s="28" t="str">
        <f>CONCATENATE("USD,FLAT ",TEXT(F200,"0.00"))</f>
        <v>USD,FLAT 9.89</v>
      </c>
      <c r="H200" s="34">
        <f>K200/J200</f>
        <v>9.89</v>
      </c>
      <c r="I200" s="28" t="s">
        <v>22</v>
      </c>
      <c r="J200" s="61">
        <v>3</v>
      </c>
      <c r="K200" s="34">
        <f>J200*F200</f>
        <v>29.67</v>
      </c>
      <c r="L200" s="28" t="str">
        <f>TEXT(IFERROR(((K200-K201)/K201*100),"0.00"),"0.00")</f>
        <v>0.00</v>
      </c>
      <c r="M200" s="34">
        <f>(10+J200*3)</f>
        <v>19</v>
      </c>
      <c r="N200" s="28"/>
      <c r="O200" s="28" t="s">
        <v>153</v>
      </c>
      <c r="P200" s="28" t="s">
        <v>473</v>
      </c>
      <c r="Q200" s="28" t="s">
        <v>474</v>
      </c>
      <c r="R200" s="28"/>
    </row>
    <row r="201" spans="1:18" hidden="1" x14ac:dyDescent="0.25">
      <c r="A201" s="56"/>
      <c r="B201" s="56"/>
      <c r="C201" s="31" t="s">
        <v>173</v>
      </c>
      <c r="D201" s="31"/>
      <c r="E201" s="31"/>
      <c r="F201" s="31">
        <v>9.9499999999999993</v>
      </c>
      <c r="G201" s="31" t="str">
        <f>CONCATENATE("USD,FLAT ",TEXT(F201,"0.00"))</f>
        <v>USD,FLAT 9.95</v>
      </c>
      <c r="H201" s="36" t="str">
        <f>IFERROR(K201/J201,"0")</f>
        <v>0</v>
      </c>
      <c r="I201" s="31"/>
      <c r="J201" s="32"/>
      <c r="K201" s="36">
        <f>J201*F201</f>
        <v>0</v>
      </c>
      <c r="L201" s="31"/>
      <c r="M201" s="36"/>
      <c r="N201" s="31"/>
      <c r="O201" s="31"/>
      <c r="P201" s="31"/>
      <c r="Q201" s="31"/>
      <c r="R201" s="31"/>
    </row>
    <row r="202" spans="1:18" x14ac:dyDescent="0.25">
      <c r="A202" s="56"/>
      <c r="B202" s="56"/>
      <c r="C202" s="40" t="s">
        <v>174</v>
      </c>
      <c r="D202" s="105">
        <f>B189</f>
        <v>60</v>
      </c>
      <c r="E202" s="40"/>
      <c r="F202" s="40">
        <v>8.99</v>
      </c>
      <c r="G202" s="40" t="str">
        <f>CONCATENATE("USD,FLAT ",TEXT(F202,"0.00"))</f>
        <v>USD,FLAT 8.99</v>
      </c>
      <c r="H202" s="106">
        <f>K202/J202</f>
        <v>8.99</v>
      </c>
      <c r="I202" s="40" t="s">
        <v>22</v>
      </c>
      <c r="J202" s="107">
        <v>3</v>
      </c>
      <c r="K202" s="106">
        <f>J202*F202</f>
        <v>26.97</v>
      </c>
      <c r="L202" s="108" t="str">
        <f>TEXT(IFERROR(((K202-K203)/K203*100),"0.00"),"0.00")</f>
        <v>0.00</v>
      </c>
      <c r="M202" s="106">
        <f>(10+J202*3)</f>
        <v>19</v>
      </c>
      <c r="N202" s="40"/>
      <c r="O202" s="40" t="s">
        <v>153</v>
      </c>
      <c r="P202" s="40" t="s">
        <v>485</v>
      </c>
      <c r="Q202" s="40"/>
      <c r="R202" s="40"/>
    </row>
    <row r="203" spans="1:18" hidden="1" x14ac:dyDescent="0.25">
      <c r="A203" s="56"/>
      <c r="B203" s="56"/>
      <c r="C203" s="41" t="s">
        <v>175</v>
      </c>
      <c r="D203" s="41"/>
      <c r="E203" s="41"/>
      <c r="F203" s="41"/>
      <c r="G203" s="41"/>
      <c r="H203" s="41"/>
      <c r="I203" s="41"/>
      <c r="J203" s="41"/>
      <c r="K203" s="41"/>
      <c r="L203" s="41"/>
      <c r="M203" s="41"/>
      <c r="N203" s="41"/>
      <c r="O203" s="41"/>
      <c r="P203" s="41"/>
      <c r="Q203" s="41"/>
      <c r="R203" s="41"/>
    </row>
    <row r="204" spans="1:18" x14ac:dyDescent="0.25">
      <c r="A204" s="151" t="s">
        <v>184</v>
      </c>
      <c r="B204" s="56"/>
      <c r="C204" s="28" t="s">
        <v>178</v>
      </c>
      <c r="D204" s="67">
        <v>44197</v>
      </c>
      <c r="E204" s="68">
        <f>D206-1</f>
        <v>59</v>
      </c>
      <c r="F204" s="60">
        <v>111.08</v>
      </c>
      <c r="G204" s="28" t="str">
        <f>CONCATENATE("USD,FLAT ",TEXT(F204,"0.00"))</f>
        <v>USD,FLAT 111.08</v>
      </c>
      <c r="H204" s="34">
        <f>F204</f>
        <v>111.08</v>
      </c>
      <c r="I204" s="28"/>
      <c r="J204" s="30"/>
      <c r="K204" s="34">
        <f>(F204*5*5)</f>
        <v>2777</v>
      </c>
      <c r="L204" s="28" t="str">
        <f>TEXT(IFERROR(((K204-K205)/K205*100),"0.00"),"0.00")</f>
        <v>0.00</v>
      </c>
      <c r="M204" s="34">
        <v>0</v>
      </c>
      <c r="N204" s="33"/>
      <c r="O204" s="28" t="s">
        <v>153</v>
      </c>
      <c r="P204" s="28" t="s">
        <v>475</v>
      </c>
      <c r="Q204" s="28"/>
      <c r="R204" s="28"/>
    </row>
    <row r="205" spans="1:18" hidden="1" x14ac:dyDescent="0.25">
      <c r="A205" s="56"/>
      <c r="B205" s="56"/>
      <c r="C205" s="31" t="s">
        <v>173</v>
      </c>
      <c r="D205" s="31"/>
      <c r="E205" s="31"/>
      <c r="F205" s="31"/>
      <c r="G205" s="31"/>
      <c r="H205" s="36"/>
      <c r="I205" s="31"/>
      <c r="J205" s="32"/>
      <c r="K205" s="36"/>
      <c r="L205" s="31"/>
      <c r="M205" s="36"/>
      <c r="N205" s="31"/>
      <c r="O205" s="31"/>
      <c r="P205" s="31"/>
      <c r="Q205" s="31"/>
      <c r="R205" s="31"/>
    </row>
    <row r="206" spans="1:18" x14ac:dyDescent="0.25">
      <c r="A206" s="56"/>
      <c r="B206" s="56"/>
      <c r="C206" s="40" t="s">
        <v>174</v>
      </c>
      <c r="D206" s="105">
        <f>B189</f>
        <v>60</v>
      </c>
      <c r="E206" s="40"/>
      <c r="F206" s="40">
        <v>109.9</v>
      </c>
      <c r="G206" s="40" t="str">
        <f>CONCATENATE("USD,FLAT ",TEXT(F206,"0.00"))</f>
        <v>USD,FLAT 109.90</v>
      </c>
      <c r="H206" s="106">
        <f>F206</f>
        <v>109.9</v>
      </c>
      <c r="I206" s="40" t="s">
        <v>22</v>
      </c>
      <c r="J206" s="107"/>
      <c r="K206" s="106">
        <f>(F206*5*5)</f>
        <v>2747.5</v>
      </c>
      <c r="L206" s="108" t="str">
        <f>TEXT(IFERROR(((K206-K207)/K207*100),"0.00"),"0.00")</f>
        <v>0.00</v>
      </c>
      <c r="M206" s="106">
        <v>0</v>
      </c>
      <c r="N206" s="40"/>
      <c r="O206" s="40" t="s">
        <v>153</v>
      </c>
      <c r="P206" s="40" t="s">
        <v>475</v>
      </c>
      <c r="Q206" s="40"/>
      <c r="R206" s="40"/>
    </row>
    <row r="207" spans="1:18" hidden="1" x14ac:dyDescent="0.25">
      <c r="A207" s="8"/>
      <c r="B207" s="8"/>
      <c r="C207" s="41" t="s">
        <v>175</v>
      </c>
      <c r="D207" s="41"/>
      <c r="E207" s="41"/>
      <c r="F207" s="41"/>
      <c r="G207" s="41"/>
      <c r="H207" s="41"/>
      <c r="I207" s="41"/>
      <c r="J207" s="41"/>
      <c r="K207" s="41"/>
      <c r="L207" s="41"/>
      <c r="M207" s="41"/>
      <c r="N207" s="41"/>
      <c r="O207" s="41"/>
      <c r="P207" s="41"/>
      <c r="Q207" s="41"/>
      <c r="R207" s="41"/>
    </row>
    <row r="208" spans="1:18" hidden="1" x14ac:dyDescent="0.25">
      <c r="A208" s="56" t="s">
        <v>96</v>
      </c>
      <c r="B208" s="8"/>
      <c r="C208" s="28" t="s">
        <v>178</v>
      </c>
      <c r="D208" s="28"/>
      <c r="E208" s="28"/>
      <c r="F208" s="28">
        <v>276.25</v>
      </c>
      <c r="G208" s="28" t="str">
        <f>CONCATENATE("USD,FLAT ",TEXT(F208,"0.00"))</f>
        <v>USD,FLAT 276.25</v>
      </c>
      <c r="H208" s="34">
        <f>F208</f>
        <v>276.25</v>
      </c>
      <c r="I208" s="28"/>
      <c r="J208" s="30"/>
      <c r="K208" s="34">
        <f>(F208*5*5)</f>
        <v>6906.25</v>
      </c>
      <c r="L208" s="28" t="str">
        <f>TEXT(IFERROR(((K208-K209)/K209*100),"0.00"),"0.00")</f>
        <v>0.00</v>
      </c>
      <c r="M208" s="34">
        <v>0</v>
      </c>
      <c r="N208" s="28"/>
      <c r="O208" s="28"/>
      <c r="P208" s="28"/>
      <c r="Q208" s="28"/>
      <c r="R208" s="28"/>
    </row>
    <row r="209" spans="1:18" hidden="1" x14ac:dyDescent="0.25">
      <c r="A209" s="8"/>
      <c r="B209" s="8"/>
      <c r="C209" s="31" t="s">
        <v>173</v>
      </c>
      <c r="D209" s="31"/>
      <c r="E209" s="31"/>
      <c r="F209" s="31"/>
      <c r="G209" s="31"/>
      <c r="H209" s="36"/>
      <c r="I209" s="31"/>
      <c r="J209" s="32"/>
      <c r="K209" s="36"/>
      <c r="L209" s="31"/>
      <c r="M209" s="36"/>
      <c r="N209" s="31"/>
      <c r="O209" s="31"/>
      <c r="P209" s="31"/>
      <c r="Q209" s="31"/>
      <c r="R209" s="31"/>
    </row>
    <row r="210" spans="1:18" hidden="1" x14ac:dyDescent="0.25">
      <c r="A210" s="8"/>
      <c r="B210" s="8"/>
      <c r="C210" s="40" t="s">
        <v>174</v>
      </c>
      <c r="D210" s="40"/>
      <c r="E210" s="40"/>
      <c r="F210" s="40"/>
      <c r="G210" s="40"/>
      <c r="H210" s="40"/>
      <c r="I210" s="40"/>
      <c r="J210" s="40"/>
      <c r="K210" s="40"/>
      <c r="L210" s="40"/>
      <c r="M210" s="40"/>
      <c r="N210" s="40"/>
      <c r="O210" s="40"/>
      <c r="P210" s="40"/>
      <c r="Q210" s="40"/>
      <c r="R210" s="40"/>
    </row>
    <row r="211" spans="1:18" hidden="1" x14ac:dyDescent="0.25">
      <c r="A211" s="8"/>
      <c r="B211" s="8"/>
      <c r="C211" s="41" t="s">
        <v>175</v>
      </c>
      <c r="D211" s="41"/>
      <c r="E211" s="41"/>
      <c r="F211" s="41"/>
      <c r="G211" s="41"/>
      <c r="H211" s="41"/>
      <c r="I211" s="41"/>
      <c r="J211" s="41"/>
      <c r="K211" s="41"/>
      <c r="L211" s="41"/>
      <c r="M211" s="41"/>
      <c r="N211" s="41"/>
      <c r="O211" s="41"/>
      <c r="P211" s="41"/>
      <c r="Q211" s="41"/>
      <c r="R211" s="41"/>
    </row>
    <row r="212" spans="1:18" x14ac:dyDescent="0.25">
      <c r="A212" s="49" t="s">
        <v>171</v>
      </c>
      <c r="B212" s="49"/>
      <c r="C212" s="49" t="s">
        <v>178</v>
      </c>
      <c r="D212" s="49"/>
      <c r="E212" s="49"/>
      <c r="F212" s="49"/>
      <c r="G212" s="49"/>
      <c r="H212" s="49"/>
      <c r="I212" s="49"/>
      <c r="J212" s="50">
        <f>SUMIFS(J214:J225,C214:C225,C212)</f>
        <v>288000</v>
      </c>
      <c r="K212" s="51">
        <f>SUMIFS(K214:K225,C214:C225,C212)</f>
        <v>6092880</v>
      </c>
      <c r="L212" s="49"/>
      <c r="M212" s="51">
        <f>SUMIFS(M214:M225,C214:C225,C212)</f>
        <v>864030</v>
      </c>
      <c r="N212" s="49"/>
      <c r="O212" s="49"/>
      <c r="P212" s="49"/>
      <c r="Q212" s="49"/>
      <c r="R212" s="49"/>
    </row>
    <row r="213" spans="1:18" x14ac:dyDescent="0.25">
      <c r="A213" s="49" t="s">
        <v>171</v>
      </c>
      <c r="B213" s="49"/>
      <c r="C213" s="49" t="s">
        <v>173</v>
      </c>
      <c r="D213" s="49"/>
      <c r="E213" s="49"/>
      <c r="F213" s="49"/>
      <c r="G213" s="49"/>
      <c r="H213" s="49"/>
      <c r="I213" s="49"/>
      <c r="J213" s="50">
        <f>SUMIFS(J214:J225,C214:C225,C213)</f>
        <v>288000</v>
      </c>
      <c r="K213" s="51">
        <f>SUMIFS(K214:K223,C214:C223,C213)</f>
        <v>0</v>
      </c>
      <c r="L213" s="49"/>
      <c r="M213" s="51">
        <f>SUMIFS(M214:M223,C214:C223,C213)</f>
        <v>0</v>
      </c>
      <c r="N213" s="49"/>
      <c r="O213" s="49"/>
      <c r="P213" s="49"/>
      <c r="Q213" s="49"/>
      <c r="R213" s="49"/>
    </row>
    <row r="214" spans="1:18" ht="30" x14ac:dyDescent="0.25">
      <c r="A214" s="56" t="s">
        <v>97</v>
      </c>
      <c r="B214" s="56"/>
      <c r="C214" s="28" t="s">
        <v>178</v>
      </c>
      <c r="D214" s="67">
        <v>44197</v>
      </c>
      <c r="E214" s="68">
        <f>D216-1</f>
        <v>59</v>
      </c>
      <c r="F214" s="29" t="s">
        <v>188</v>
      </c>
      <c r="G214" s="28" t="s">
        <v>185</v>
      </c>
      <c r="H214" s="34">
        <f>K214/J214</f>
        <v>12.25</v>
      </c>
      <c r="I214" s="28" t="s">
        <v>22</v>
      </c>
      <c r="J214" s="30">
        <v>72000</v>
      </c>
      <c r="K214" s="34">
        <f>(1000*12.95+4000*12.15+1000*11.95)*12</f>
        <v>882000</v>
      </c>
      <c r="L214" s="28" t="str">
        <f>TEXT(IFERROR(((K214-K215)/K215*100),"0.00"),"0.00")</f>
        <v>0.00</v>
      </c>
      <c r="M214" s="34">
        <f>(10+J214*3)</f>
        <v>216010</v>
      </c>
      <c r="N214" s="33" t="s">
        <v>53</v>
      </c>
      <c r="O214" s="28" t="s">
        <v>190</v>
      </c>
      <c r="P214" s="28" t="s">
        <v>476</v>
      </c>
      <c r="Q214" s="28"/>
      <c r="R214" s="28"/>
    </row>
    <row r="215" spans="1:18" hidden="1" x14ac:dyDescent="0.25">
      <c r="A215" s="8"/>
      <c r="B215" s="8"/>
      <c r="C215" s="31" t="s">
        <v>173</v>
      </c>
      <c r="D215" s="31"/>
      <c r="E215" s="31"/>
      <c r="F215" s="31"/>
      <c r="G215" s="31"/>
      <c r="H215" s="36">
        <f>IFERROR(K215/J215,"0")</f>
        <v>0</v>
      </c>
      <c r="I215" s="31" t="s">
        <v>22</v>
      </c>
      <c r="J215" s="32">
        <v>72000</v>
      </c>
      <c r="K215" s="38">
        <v>0</v>
      </c>
      <c r="L215" s="31"/>
      <c r="M215" s="36"/>
      <c r="N215" s="31"/>
      <c r="O215" s="31"/>
      <c r="P215" s="31"/>
      <c r="Q215" s="31"/>
      <c r="R215" s="31"/>
    </row>
    <row r="216" spans="1:18" x14ac:dyDescent="0.25">
      <c r="A216" s="8"/>
      <c r="B216" s="8"/>
      <c r="C216" s="40" t="s">
        <v>174</v>
      </c>
      <c r="D216" s="105">
        <f>B189</f>
        <v>60</v>
      </c>
      <c r="E216" s="40"/>
      <c r="F216" s="40" t="s">
        <v>220</v>
      </c>
      <c r="G216" s="40" t="str">
        <f>CONCATENATE("USD,FLAT ",TEXT(F216,"0.00"))</f>
        <v>USD,FLAT 13.05,11.15,11.95</v>
      </c>
      <c r="H216" s="106">
        <f>K216/J216</f>
        <v>11.6</v>
      </c>
      <c r="I216" s="40" t="s">
        <v>22</v>
      </c>
      <c r="J216" s="107">
        <v>72000</v>
      </c>
      <c r="K216" s="106">
        <f>(1000*13.05+4000*11.15+1000*11.95)*12</f>
        <v>835200</v>
      </c>
      <c r="L216" s="108" t="str">
        <f>TEXT(IFERROR(((K216-K217)/K217*100),"0.00"),"0.00")</f>
        <v>0.00</v>
      </c>
      <c r="M216" s="106">
        <f>(10+J216*3)</f>
        <v>216010</v>
      </c>
      <c r="N216" s="40"/>
      <c r="O216" s="40" t="s">
        <v>153</v>
      </c>
      <c r="P216" s="40" t="s">
        <v>476</v>
      </c>
      <c r="Q216" s="40"/>
      <c r="R216" s="40"/>
    </row>
    <row r="217" spans="1:18" hidden="1" x14ac:dyDescent="0.25">
      <c r="A217" s="8"/>
      <c r="B217" s="8"/>
      <c r="C217" s="41" t="s">
        <v>175</v>
      </c>
      <c r="D217" s="41"/>
      <c r="E217" s="41"/>
      <c r="F217" s="41"/>
      <c r="G217" s="41"/>
      <c r="H217" s="41"/>
      <c r="I217" s="41"/>
      <c r="J217" s="41"/>
      <c r="K217" s="43"/>
      <c r="L217" s="41"/>
      <c r="M217" s="41"/>
      <c r="N217" s="41"/>
      <c r="O217" s="41"/>
      <c r="P217" s="41"/>
      <c r="Q217" s="41"/>
      <c r="R217" s="41"/>
    </row>
    <row r="218" spans="1:18" ht="30" hidden="1" x14ac:dyDescent="0.25">
      <c r="A218" s="56" t="s">
        <v>98</v>
      </c>
      <c r="B218" s="8"/>
      <c r="C218" s="28" t="s">
        <v>178</v>
      </c>
      <c r="D218" s="28"/>
      <c r="E218" s="28"/>
      <c r="F218" s="29" t="s">
        <v>188</v>
      </c>
      <c r="G218" s="28" t="s">
        <v>186</v>
      </c>
      <c r="H218" s="34">
        <f>K218/J218</f>
        <v>11.95</v>
      </c>
      <c r="I218" s="28" t="s">
        <v>22</v>
      </c>
      <c r="J218" s="30">
        <v>96000</v>
      </c>
      <c r="K218" s="34">
        <f>J218*11.95</f>
        <v>1147200</v>
      </c>
      <c r="L218" s="28" t="str">
        <f>TEXT(IFERROR(((K218-K219)/K219*100),"0.00"),"0.00")</f>
        <v>0.00</v>
      </c>
      <c r="M218" s="34">
        <f>(10+J218*3)</f>
        <v>288010</v>
      </c>
      <c r="N218" s="33" t="s">
        <v>53</v>
      </c>
      <c r="O218" s="28" t="s">
        <v>190</v>
      </c>
      <c r="P218" s="28"/>
      <c r="Q218" s="28"/>
      <c r="R218" s="28"/>
    </row>
    <row r="219" spans="1:18" hidden="1" x14ac:dyDescent="0.25">
      <c r="A219" s="8"/>
      <c r="B219" s="8"/>
      <c r="C219" s="31" t="s">
        <v>173</v>
      </c>
      <c r="D219" s="31"/>
      <c r="E219" s="31"/>
      <c r="F219" s="31"/>
      <c r="G219" s="31"/>
      <c r="H219" s="36">
        <f>IFERROR(K219/J219,"0")</f>
        <v>0</v>
      </c>
      <c r="I219" s="31" t="s">
        <v>22</v>
      </c>
      <c r="J219" s="32">
        <v>96000</v>
      </c>
      <c r="K219" s="38">
        <v>0</v>
      </c>
      <c r="L219" s="31"/>
      <c r="M219" s="31"/>
      <c r="N219" s="31"/>
      <c r="O219" s="31"/>
      <c r="P219" s="31"/>
      <c r="Q219" s="31"/>
      <c r="R219" s="31"/>
    </row>
    <row r="220" spans="1:18" hidden="1" x14ac:dyDescent="0.25">
      <c r="A220" s="8"/>
      <c r="B220" s="8"/>
      <c r="C220" s="40" t="s">
        <v>174</v>
      </c>
      <c r="D220" s="40"/>
      <c r="E220" s="40"/>
      <c r="F220" s="40"/>
      <c r="G220" s="40"/>
      <c r="H220" s="40"/>
      <c r="I220" s="40"/>
      <c r="J220" s="40"/>
      <c r="K220" s="42"/>
      <c r="L220" s="40"/>
      <c r="M220" s="40"/>
      <c r="N220" s="40"/>
      <c r="O220" s="40"/>
      <c r="P220" s="40"/>
      <c r="Q220" s="40"/>
      <c r="R220" s="40"/>
    </row>
    <row r="221" spans="1:18" hidden="1" x14ac:dyDescent="0.25">
      <c r="A221" s="8"/>
      <c r="B221" s="8"/>
      <c r="C221" s="41" t="s">
        <v>175</v>
      </c>
      <c r="D221" s="41"/>
      <c r="E221" s="41"/>
      <c r="F221" s="41"/>
      <c r="G221" s="41"/>
      <c r="H221" s="41"/>
      <c r="I221" s="41"/>
      <c r="J221" s="41"/>
      <c r="K221" s="43"/>
      <c r="L221" s="41"/>
      <c r="M221" s="41"/>
      <c r="N221" s="41"/>
      <c r="O221" s="41"/>
      <c r="P221" s="41"/>
      <c r="Q221" s="41"/>
      <c r="R221" s="41"/>
    </row>
    <row r="222" spans="1:18" ht="45" hidden="1" x14ac:dyDescent="0.25">
      <c r="A222" s="56" t="s">
        <v>99</v>
      </c>
      <c r="B222" s="8"/>
      <c r="C222" s="28" t="s">
        <v>178</v>
      </c>
      <c r="D222" s="28"/>
      <c r="E222" s="28"/>
      <c r="F222" s="29" t="s">
        <v>189</v>
      </c>
      <c r="G222" s="28" t="s">
        <v>187</v>
      </c>
      <c r="H222" s="34">
        <f>K222/J222</f>
        <v>33.863999999999997</v>
      </c>
      <c r="I222" s="28" t="s">
        <v>22</v>
      </c>
      <c r="J222" s="30">
        <v>120000</v>
      </c>
      <c r="K222" s="34">
        <f>'UC01 - CALCULATOIN'!C13</f>
        <v>4063680</v>
      </c>
      <c r="L222" s="28" t="str">
        <f>TEXT(IFERROR(((K222-K223)/K223*100),"0.00"),"0.00")</f>
        <v>0.00</v>
      </c>
      <c r="M222" s="34">
        <f>(10+J222*3)</f>
        <v>360010</v>
      </c>
      <c r="N222" s="33" t="s">
        <v>53</v>
      </c>
      <c r="O222" s="28" t="s">
        <v>190</v>
      </c>
      <c r="P222" s="28"/>
      <c r="Q222" s="28"/>
      <c r="R222" s="28"/>
    </row>
    <row r="223" spans="1:18" hidden="1" x14ac:dyDescent="0.25">
      <c r="A223" s="8"/>
      <c r="B223" s="8"/>
      <c r="C223" s="31" t="s">
        <v>173</v>
      </c>
      <c r="D223" s="31"/>
      <c r="E223" s="31"/>
      <c r="F223" s="31"/>
      <c r="G223" s="31"/>
      <c r="H223" s="36">
        <f>IFERROR(K223/J223,"0")</f>
        <v>0</v>
      </c>
      <c r="I223" s="31" t="s">
        <v>22</v>
      </c>
      <c r="J223" s="32">
        <v>120000</v>
      </c>
      <c r="K223" s="38">
        <v>0</v>
      </c>
      <c r="L223" s="31"/>
      <c r="M223" s="31"/>
      <c r="N223" s="31"/>
      <c r="O223" s="31"/>
      <c r="P223" s="31"/>
      <c r="Q223" s="31"/>
      <c r="R223" s="31"/>
    </row>
    <row r="224" spans="1:18" hidden="1" x14ac:dyDescent="0.25">
      <c r="A224" s="8"/>
      <c r="B224" s="8"/>
      <c r="C224" s="40" t="s">
        <v>174</v>
      </c>
      <c r="D224" s="40"/>
      <c r="E224" s="40"/>
      <c r="F224" s="40"/>
      <c r="G224" s="40"/>
      <c r="H224" s="40"/>
      <c r="I224" s="40"/>
      <c r="J224" s="40"/>
      <c r="K224" s="42"/>
      <c r="L224" s="40"/>
      <c r="M224" s="40"/>
      <c r="N224" s="40"/>
      <c r="O224" s="40"/>
      <c r="P224" s="40"/>
      <c r="Q224" s="40"/>
      <c r="R224" s="40"/>
    </row>
    <row r="225" spans="1:18" hidden="1" x14ac:dyDescent="0.25">
      <c r="A225" s="8"/>
      <c r="B225" s="8"/>
      <c r="C225" s="41" t="s">
        <v>175</v>
      </c>
      <c r="D225" s="41"/>
      <c r="E225" s="41"/>
      <c r="F225" s="41"/>
      <c r="G225" s="41"/>
      <c r="H225" s="41"/>
      <c r="I225" s="41"/>
      <c r="J225" s="41"/>
      <c r="K225" s="43"/>
      <c r="L225" s="41"/>
      <c r="M225" s="41"/>
      <c r="N225" s="41"/>
      <c r="O225" s="41"/>
      <c r="P225" s="41"/>
      <c r="Q225" s="41"/>
      <c r="R225" s="41"/>
    </row>
    <row r="226" spans="1:18" x14ac:dyDescent="0.25">
      <c r="A226" s="49" t="s">
        <v>172</v>
      </c>
      <c r="B226" s="49"/>
      <c r="C226" s="49" t="s">
        <v>178</v>
      </c>
      <c r="D226" s="49"/>
      <c r="E226" s="49"/>
      <c r="F226" s="49"/>
      <c r="G226" s="49"/>
      <c r="H226" s="49"/>
      <c r="I226" s="49"/>
      <c r="J226" s="50">
        <f>SUMIFS(J228:J256,C228:C256,C226)</f>
        <v>10</v>
      </c>
      <c r="K226" s="51">
        <f>SUMIFS(K228:K259,C228:C259,C226)</f>
        <v>3029.6500000000005</v>
      </c>
      <c r="L226" s="49"/>
      <c r="M226" s="51">
        <f>SUMIFS(M228:M259,C228:C259,C226)</f>
        <v>110</v>
      </c>
      <c r="N226" s="49"/>
      <c r="O226" s="49"/>
      <c r="P226" s="49"/>
      <c r="Q226" s="49"/>
      <c r="R226" s="49"/>
    </row>
    <row r="227" spans="1:18" x14ac:dyDescent="0.25">
      <c r="A227" s="49" t="s">
        <v>172</v>
      </c>
      <c r="B227" s="49"/>
      <c r="C227" s="49" t="s">
        <v>173</v>
      </c>
      <c r="D227" s="49"/>
      <c r="E227" s="49"/>
      <c r="F227" s="49"/>
      <c r="G227" s="49"/>
      <c r="H227" s="49"/>
      <c r="I227" s="49"/>
      <c r="J227" s="50">
        <f>SUMIFS(J228:J256,C228:C256,C227)</f>
        <v>0</v>
      </c>
      <c r="K227" s="51">
        <f>SUMIFS(K228:K259,C228:C259,C227)</f>
        <v>0</v>
      </c>
      <c r="L227" s="49"/>
      <c r="M227" s="51">
        <f>SUMIFS(M228:M259,C228:C259,C227)</f>
        <v>0</v>
      </c>
      <c r="N227" s="49"/>
      <c r="O227" s="49"/>
      <c r="P227" s="49"/>
      <c r="Q227" s="49"/>
      <c r="R227" s="49"/>
    </row>
    <row r="228" spans="1:18" x14ac:dyDescent="0.25">
      <c r="A228" s="56" t="s">
        <v>100</v>
      </c>
      <c r="B228" s="8"/>
      <c r="C228" s="28" t="s">
        <v>178</v>
      </c>
      <c r="D228" s="28"/>
      <c r="E228" s="28"/>
      <c r="F228" s="62">
        <v>0.14000000000000001</v>
      </c>
      <c r="G228" s="28" t="str">
        <f>CONCATENATE("USD,FLAT ",TEXT(F228,"0.00"))</f>
        <v>USD,FLAT 0.14</v>
      </c>
      <c r="H228" s="34">
        <f>(K228/J228)</f>
        <v>1500.14</v>
      </c>
      <c r="I228" s="28" t="s">
        <v>22</v>
      </c>
      <c r="J228" s="61">
        <v>2</v>
      </c>
      <c r="K228" s="37">
        <f>J228*F228+3000</f>
        <v>3000.28</v>
      </c>
      <c r="L228" s="28" t="str">
        <f>TEXT(IFERROR(((K228-K229)/K229*100),"0.00"),"0.00")</f>
        <v>0.00</v>
      </c>
      <c r="M228" s="34">
        <f>(10+J228*3)</f>
        <v>16</v>
      </c>
      <c r="N228" s="33"/>
      <c r="O228" s="28" t="s">
        <v>153</v>
      </c>
      <c r="P228" s="28" t="s">
        <v>476</v>
      </c>
      <c r="Q228" s="28"/>
      <c r="R228" s="28"/>
    </row>
    <row r="229" spans="1:18" hidden="1" x14ac:dyDescent="0.25">
      <c r="A229" s="56"/>
      <c r="B229" s="8"/>
      <c r="C229" s="31" t="s">
        <v>173</v>
      </c>
      <c r="D229" s="31"/>
      <c r="E229" s="31"/>
      <c r="F229" s="31"/>
      <c r="G229" s="31"/>
      <c r="H229" s="36" t="str">
        <f>IFERROR(K229/J229,"0")</f>
        <v>0</v>
      </c>
      <c r="I229" s="31"/>
      <c r="J229" s="32"/>
      <c r="K229" s="38"/>
      <c r="L229" s="31"/>
      <c r="M229" s="31"/>
      <c r="N229" s="31"/>
      <c r="O229" s="31"/>
      <c r="P229" s="31"/>
      <c r="Q229" s="31"/>
      <c r="R229" s="31"/>
    </row>
    <row r="230" spans="1:18" hidden="1" x14ac:dyDescent="0.25">
      <c r="A230" s="56"/>
      <c r="B230" s="8"/>
      <c r="C230" s="40" t="s">
        <v>174</v>
      </c>
      <c r="D230" s="40"/>
      <c r="E230" s="40"/>
      <c r="F230" s="40"/>
      <c r="G230" s="40"/>
      <c r="H230" s="40"/>
      <c r="I230" s="40"/>
      <c r="J230" s="40"/>
      <c r="K230" s="42"/>
      <c r="L230" s="40"/>
      <c r="M230" s="40"/>
      <c r="N230" s="40"/>
      <c r="O230" s="40"/>
      <c r="P230" s="40"/>
      <c r="Q230" s="40"/>
      <c r="R230" s="40"/>
    </row>
    <row r="231" spans="1:18" hidden="1" x14ac:dyDescent="0.25">
      <c r="A231" s="56"/>
      <c r="B231" s="8"/>
      <c r="C231" s="41" t="s">
        <v>175</v>
      </c>
      <c r="D231" s="41"/>
      <c r="E231" s="41"/>
      <c r="F231" s="41"/>
      <c r="G231" s="41"/>
      <c r="H231" s="41"/>
      <c r="I231" s="41"/>
      <c r="J231" s="41"/>
      <c r="K231" s="43"/>
      <c r="L231" s="41"/>
      <c r="M231" s="41"/>
      <c r="N231" s="41"/>
      <c r="O231" s="41"/>
      <c r="P231" s="41"/>
      <c r="Q231" s="41"/>
      <c r="R231" s="41"/>
    </row>
    <row r="232" spans="1:18" x14ac:dyDescent="0.25">
      <c r="A232" s="56" t="s">
        <v>101</v>
      </c>
      <c r="B232" s="8"/>
      <c r="C232" s="28" t="s">
        <v>178</v>
      </c>
      <c r="D232" s="28"/>
      <c r="E232" s="28"/>
      <c r="F232" s="62">
        <v>1.99</v>
      </c>
      <c r="G232" s="28" t="str">
        <f>CONCATENATE("USD,FLAT ",TEXT(F232,"0.00"))</f>
        <v>USD,FLAT 1.99</v>
      </c>
      <c r="H232" s="34">
        <f>K232/J232</f>
        <v>1.99</v>
      </c>
      <c r="I232" s="28" t="s">
        <v>22</v>
      </c>
      <c r="J232" s="61">
        <v>2</v>
      </c>
      <c r="K232" s="37">
        <f>J232*F232</f>
        <v>3.98</v>
      </c>
      <c r="L232" s="28" t="str">
        <f>TEXT(IFERROR(((K232-K233)/K233*100),"0.00"),"0.00")</f>
        <v>0.00</v>
      </c>
      <c r="M232" s="34">
        <f>(10+J232*3)</f>
        <v>16</v>
      </c>
      <c r="N232" s="33"/>
      <c r="O232" s="28" t="s">
        <v>153</v>
      </c>
      <c r="P232" s="28" t="s">
        <v>476</v>
      </c>
      <c r="Q232" s="28"/>
      <c r="R232" s="28"/>
    </row>
    <row r="233" spans="1:18" hidden="1" x14ac:dyDescent="0.25">
      <c r="A233" s="56"/>
      <c r="B233" s="8"/>
      <c r="C233" s="31" t="s">
        <v>173</v>
      </c>
      <c r="D233" s="31"/>
      <c r="E233" s="31"/>
      <c r="F233" s="31"/>
      <c r="G233" s="31"/>
      <c r="H233" s="36" t="str">
        <f>IFERROR(K233/J233,"0")</f>
        <v>0</v>
      </c>
      <c r="I233" s="31"/>
      <c r="J233" s="32"/>
      <c r="K233" s="38"/>
      <c r="L233" s="31"/>
      <c r="M233" s="31"/>
      <c r="N233" s="31"/>
      <c r="O233" s="31"/>
      <c r="P233" s="31"/>
      <c r="Q233" s="31"/>
      <c r="R233" s="31"/>
    </row>
    <row r="234" spans="1:18" hidden="1" x14ac:dyDescent="0.25">
      <c r="A234" s="56"/>
      <c r="B234" s="8"/>
      <c r="C234" s="40" t="s">
        <v>174</v>
      </c>
      <c r="D234" s="40"/>
      <c r="E234" s="40"/>
      <c r="F234" s="40"/>
      <c r="G234" s="40"/>
      <c r="H234" s="40"/>
      <c r="I234" s="40"/>
      <c r="J234" s="40"/>
      <c r="K234" s="42"/>
      <c r="L234" s="40"/>
      <c r="M234" s="40"/>
      <c r="N234" s="40"/>
      <c r="O234" s="40"/>
      <c r="P234" s="40"/>
      <c r="Q234" s="40"/>
      <c r="R234" s="40"/>
    </row>
    <row r="235" spans="1:18" hidden="1" x14ac:dyDescent="0.25">
      <c r="A235" s="56"/>
      <c r="B235" s="8"/>
      <c r="C235" s="41" t="s">
        <v>175</v>
      </c>
      <c r="D235" s="41"/>
      <c r="E235" s="41"/>
      <c r="F235" s="41"/>
      <c r="G235" s="41"/>
      <c r="H235" s="41"/>
      <c r="I235" s="41"/>
      <c r="J235" s="41"/>
      <c r="K235" s="43"/>
      <c r="L235" s="41"/>
      <c r="M235" s="41"/>
      <c r="N235" s="41"/>
      <c r="O235" s="41"/>
      <c r="P235" s="41"/>
      <c r="Q235" s="41"/>
      <c r="R235" s="41"/>
    </row>
    <row r="236" spans="1:18" hidden="1" x14ac:dyDescent="0.25">
      <c r="A236" s="56" t="s">
        <v>101</v>
      </c>
      <c r="B236" s="8" t="s">
        <v>50</v>
      </c>
      <c r="C236" s="28" t="s">
        <v>178</v>
      </c>
      <c r="D236" s="28"/>
      <c r="E236" s="28"/>
      <c r="F236" s="37">
        <v>0.75</v>
      </c>
      <c r="G236" s="28" t="str">
        <f>CONCATENATE("USD,FLAT ",TEXT(F236,"0.00"))</f>
        <v>USD,FLAT 0.75</v>
      </c>
      <c r="H236" s="34">
        <f>K236/J236</f>
        <v>0.75</v>
      </c>
      <c r="I236" s="28" t="s">
        <v>22</v>
      </c>
      <c r="J236" s="30">
        <v>1</v>
      </c>
      <c r="K236" s="37">
        <f>J236*F236</f>
        <v>0.75</v>
      </c>
      <c r="L236" s="28" t="str">
        <f>TEXT(IFERROR(((K236-K237)/K237*100),"0.00"),"0.00")</f>
        <v>0.00</v>
      </c>
      <c r="M236" s="34">
        <f>(10+J236*3)</f>
        <v>13</v>
      </c>
      <c r="N236" s="28"/>
      <c r="O236" s="28"/>
      <c r="P236" s="28"/>
      <c r="Q236" s="28"/>
      <c r="R236" s="28"/>
    </row>
    <row r="237" spans="1:18" hidden="1" x14ac:dyDescent="0.25">
      <c r="A237" s="56"/>
      <c r="B237" s="8"/>
      <c r="C237" s="31" t="s">
        <v>173</v>
      </c>
      <c r="D237" s="31"/>
      <c r="E237" s="31"/>
      <c r="F237" s="31"/>
      <c r="G237" s="31"/>
      <c r="H237" s="36" t="str">
        <f>IFERROR(K237/J237,"0")</f>
        <v>0</v>
      </c>
      <c r="I237" s="31"/>
      <c r="J237" s="32"/>
      <c r="K237" s="38"/>
      <c r="L237" s="31"/>
      <c r="M237" s="31"/>
      <c r="N237" s="31"/>
      <c r="O237" s="31"/>
      <c r="P237" s="31"/>
      <c r="Q237" s="31"/>
      <c r="R237" s="31"/>
    </row>
    <row r="238" spans="1:18" hidden="1" x14ac:dyDescent="0.25">
      <c r="A238" s="56"/>
      <c r="B238" s="8"/>
      <c r="C238" s="40" t="s">
        <v>174</v>
      </c>
      <c r="D238" s="40"/>
      <c r="E238" s="40"/>
      <c r="F238" s="40"/>
      <c r="G238" s="40"/>
      <c r="H238" s="40"/>
      <c r="I238" s="40"/>
      <c r="J238" s="40"/>
      <c r="K238" s="42"/>
      <c r="L238" s="40"/>
      <c r="M238" s="40"/>
      <c r="N238" s="40"/>
      <c r="O238" s="40"/>
      <c r="P238" s="40"/>
      <c r="Q238" s="40"/>
      <c r="R238" s="40"/>
    </row>
    <row r="239" spans="1:18" hidden="1" x14ac:dyDescent="0.25">
      <c r="A239" s="56"/>
      <c r="B239" s="8"/>
      <c r="C239" s="41" t="s">
        <v>175</v>
      </c>
      <c r="D239" s="41"/>
      <c r="E239" s="41"/>
      <c r="F239" s="41"/>
      <c r="G239" s="41"/>
      <c r="H239" s="41"/>
      <c r="I239" s="41"/>
      <c r="J239" s="41"/>
      <c r="K239" s="43"/>
      <c r="L239" s="41"/>
      <c r="M239" s="41"/>
      <c r="N239" s="41"/>
      <c r="O239" s="41"/>
      <c r="P239" s="41"/>
      <c r="Q239" s="41"/>
      <c r="R239" s="41"/>
    </row>
    <row r="240" spans="1:18" hidden="1" x14ac:dyDescent="0.25">
      <c r="A240" s="56" t="s">
        <v>101</v>
      </c>
      <c r="B240" s="8" t="s">
        <v>179</v>
      </c>
      <c r="C240" s="28" t="s">
        <v>178</v>
      </c>
      <c r="D240" s="28"/>
      <c r="E240" s="28"/>
      <c r="F240" s="37">
        <v>0.3</v>
      </c>
      <c r="G240" s="28" t="str">
        <f>CONCATENATE("USD,FLAT ",TEXT(F240,"0.00"))</f>
        <v>USD,FLAT 0.30</v>
      </c>
      <c r="H240" s="34">
        <f>K240/J240</f>
        <v>0.3</v>
      </c>
      <c r="I240" s="28" t="s">
        <v>22</v>
      </c>
      <c r="J240" s="30">
        <v>1</v>
      </c>
      <c r="K240" s="37">
        <f>J240*F240</f>
        <v>0.3</v>
      </c>
      <c r="L240" s="28" t="str">
        <f>TEXT(IFERROR(((K240-K241)/K241*100),"0.00"),"0.00")</f>
        <v>0.00</v>
      </c>
      <c r="M240" s="34">
        <f>(10+J240*3)</f>
        <v>13</v>
      </c>
      <c r="N240" s="28"/>
      <c r="O240" s="28"/>
      <c r="P240" s="28"/>
      <c r="Q240" s="28"/>
      <c r="R240" s="28"/>
    </row>
    <row r="241" spans="1:18" hidden="1" x14ac:dyDescent="0.25">
      <c r="A241" s="56"/>
      <c r="B241" s="8"/>
      <c r="C241" s="31" t="s">
        <v>173</v>
      </c>
      <c r="D241" s="31"/>
      <c r="E241" s="31"/>
      <c r="F241" s="31"/>
      <c r="G241" s="31"/>
      <c r="H241" s="36" t="str">
        <f>IFERROR(K241/J241,"0")</f>
        <v>0</v>
      </c>
      <c r="I241" s="31"/>
      <c r="J241" s="32"/>
      <c r="K241" s="38"/>
      <c r="L241" s="31"/>
      <c r="M241" s="31"/>
      <c r="N241" s="31"/>
      <c r="O241" s="31"/>
      <c r="P241" s="31"/>
      <c r="Q241" s="31"/>
      <c r="R241" s="31"/>
    </row>
    <row r="242" spans="1:18" hidden="1" x14ac:dyDescent="0.25">
      <c r="A242" s="56"/>
      <c r="B242" s="8"/>
      <c r="C242" s="40" t="s">
        <v>174</v>
      </c>
      <c r="D242" s="40"/>
      <c r="E242" s="40"/>
      <c r="F242" s="40"/>
      <c r="G242" s="40"/>
      <c r="H242" s="40"/>
      <c r="I242" s="40"/>
      <c r="J242" s="40"/>
      <c r="K242" s="42"/>
      <c r="L242" s="40"/>
      <c r="M242" s="40"/>
      <c r="N242" s="40"/>
      <c r="O242" s="40"/>
      <c r="P242" s="40"/>
      <c r="Q242" s="40"/>
      <c r="R242" s="40"/>
    </row>
    <row r="243" spans="1:18" hidden="1" x14ac:dyDescent="0.25">
      <c r="A243" s="56"/>
      <c r="B243" s="8"/>
      <c r="C243" s="41" t="s">
        <v>175</v>
      </c>
      <c r="D243" s="41"/>
      <c r="E243" s="41"/>
      <c r="F243" s="41"/>
      <c r="G243" s="41"/>
      <c r="H243" s="41"/>
      <c r="I243" s="41"/>
      <c r="J243" s="41"/>
      <c r="K243" s="43"/>
      <c r="L243" s="41"/>
      <c r="M243" s="41"/>
      <c r="N243" s="41"/>
      <c r="O243" s="41"/>
      <c r="P243" s="41"/>
      <c r="Q243" s="41"/>
      <c r="R243" s="41"/>
    </row>
    <row r="244" spans="1:18" hidden="1" x14ac:dyDescent="0.25">
      <c r="A244" s="56" t="s">
        <v>101</v>
      </c>
      <c r="B244" s="8" t="s">
        <v>4</v>
      </c>
      <c r="C244" s="28" t="s">
        <v>178</v>
      </c>
      <c r="D244" s="28"/>
      <c r="E244" s="28"/>
      <c r="F244" s="37">
        <v>6.67</v>
      </c>
      <c r="G244" s="28" t="str">
        <f>CONCATENATE("USD,FLAT ",TEXT(F244,"0.00"))</f>
        <v>USD,FLAT 6.67</v>
      </c>
      <c r="H244" s="34">
        <f>K244/J244</f>
        <v>6.67</v>
      </c>
      <c r="I244" s="28" t="s">
        <v>22</v>
      </c>
      <c r="J244" s="30">
        <v>1</v>
      </c>
      <c r="K244" s="37">
        <f>J244*F244</f>
        <v>6.67</v>
      </c>
      <c r="L244" s="37" t="str">
        <f>IFERROR(((K244-K245)/K245*100),"0.00")</f>
        <v>0.00</v>
      </c>
      <c r="M244" s="34">
        <f>(10+J244*3)</f>
        <v>13</v>
      </c>
      <c r="N244" s="28"/>
      <c r="O244" s="28"/>
      <c r="P244" s="28"/>
      <c r="Q244" s="28"/>
      <c r="R244" s="28"/>
    </row>
    <row r="245" spans="1:18" hidden="1" x14ac:dyDescent="0.25">
      <c r="A245" s="56"/>
      <c r="B245" s="8"/>
      <c r="C245" s="31" t="s">
        <v>173</v>
      </c>
      <c r="D245" s="31"/>
      <c r="E245" s="31"/>
      <c r="F245" s="31"/>
      <c r="G245" s="31"/>
      <c r="H245" s="36" t="str">
        <f>IFERROR(K245/J245,"0")</f>
        <v>0</v>
      </c>
      <c r="I245" s="31"/>
      <c r="J245" s="32"/>
      <c r="K245" s="38"/>
      <c r="L245" s="31"/>
      <c r="M245" s="31"/>
      <c r="N245" s="31"/>
      <c r="O245" s="31"/>
      <c r="P245" s="31"/>
      <c r="Q245" s="31"/>
      <c r="R245" s="31"/>
    </row>
    <row r="246" spans="1:18" hidden="1" x14ac:dyDescent="0.25">
      <c r="A246" s="56"/>
      <c r="B246" s="8"/>
      <c r="C246" s="40" t="s">
        <v>174</v>
      </c>
      <c r="D246" s="40"/>
      <c r="E246" s="40"/>
      <c r="F246" s="40"/>
      <c r="G246" s="40"/>
      <c r="H246" s="40"/>
      <c r="I246" s="40"/>
      <c r="J246" s="40"/>
      <c r="K246" s="42"/>
      <c r="L246" s="40"/>
      <c r="M246" s="40"/>
      <c r="N246" s="40"/>
      <c r="O246" s="40"/>
      <c r="P246" s="40"/>
      <c r="Q246" s="40"/>
      <c r="R246" s="40"/>
    </row>
    <row r="247" spans="1:18" hidden="1" x14ac:dyDescent="0.25">
      <c r="A247" s="56"/>
      <c r="B247" s="8"/>
      <c r="C247" s="41" t="s">
        <v>175</v>
      </c>
      <c r="D247" s="41"/>
      <c r="E247" s="41"/>
      <c r="F247" s="41"/>
      <c r="G247" s="41"/>
      <c r="H247" s="41"/>
      <c r="I247" s="41"/>
      <c r="J247" s="41"/>
      <c r="K247" s="43"/>
      <c r="L247" s="41"/>
      <c r="M247" s="41"/>
      <c r="N247" s="41"/>
      <c r="O247" s="41"/>
      <c r="P247" s="41"/>
      <c r="Q247" s="41"/>
      <c r="R247" s="41"/>
    </row>
    <row r="248" spans="1:18" hidden="1" x14ac:dyDescent="0.25">
      <c r="A248" s="56" t="s">
        <v>102</v>
      </c>
      <c r="B248" s="8"/>
      <c r="C248" s="28" t="s">
        <v>178</v>
      </c>
      <c r="D248" s="28"/>
      <c r="E248" s="28"/>
      <c r="F248" s="37">
        <v>0.4</v>
      </c>
      <c r="G248" s="28" t="str">
        <f>CONCATENATE("USD,FLAT ",TEXT(F248,"0.00"))</f>
        <v>USD,FLAT 0.40</v>
      </c>
      <c r="H248" s="34">
        <f>K248/J248</f>
        <v>0.4</v>
      </c>
      <c r="I248" s="28" t="s">
        <v>22</v>
      </c>
      <c r="J248" s="30">
        <v>1</v>
      </c>
      <c r="K248" s="37">
        <f>J248*F248</f>
        <v>0.4</v>
      </c>
      <c r="L248" s="28" t="str">
        <f>TEXT(IFERROR(((K248-K249)/K249*100),"0.00"),"0.00")</f>
        <v>0.00</v>
      </c>
      <c r="M248" s="34">
        <f>(10+J248*3)</f>
        <v>13</v>
      </c>
      <c r="N248" s="28"/>
      <c r="O248" s="28"/>
      <c r="P248" s="28"/>
      <c r="Q248" s="28"/>
      <c r="R248" s="28"/>
    </row>
    <row r="249" spans="1:18" hidden="1" x14ac:dyDescent="0.25">
      <c r="A249" s="56"/>
      <c r="B249" s="8"/>
      <c r="C249" s="31" t="s">
        <v>173</v>
      </c>
      <c r="D249" s="31"/>
      <c r="E249" s="31"/>
      <c r="F249" s="31"/>
      <c r="G249" s="31"/>
      <c r="H249" s="36" t="str">
        <f>IFERROR(K249/J249,"0")</f>
        <v>0</v>
      </c>
      <c r="I249" s="31"/>
      <c r="J249" s="32"/>
      <c r="K249" s="38"/>
      <c r="L249" s="31"/>
      <c r="M249" s="31"/>
      <c r="N249" s="31"/>
      <c r="O249" s="31"/>
      <c r="P249" s="31"/>
      <c r="Q249" s="31"/>
      <c r="R249" s="31"/>
    </row>
    <row r="250" spans="1:18" hidden="1" x14ac:dyDescent="0.25">
      <c r="A250" s="56"/>
      <c r="B250" s="8"/>
      <c r="C250" s="40" t="s">
        <v>174</v>
      </c>
      <c r="D250" s="40"/>
      <c r="E250" s="40"/>
      <c r="F250" s="40"/>
      <c r="G250" s="40"/>
      <c r="H250" s="40"/>
      <c r="I250" s="40"/>
      <c r="J250" s="40"/>
      <c r="K250" s="42"/>
      <c r="L250" s="40"/>
      <c r="M250" s="40"/>
      <c r="N250" s="40"/>
      <c r="O250" s="40"/>
      <c r="P250" s="40"/>
      <c r="Q250" s="40"/>
      <c r="R250" s="40"/>
    </row>
    <row r="251" spans="1:18" hidden="1" x14ac:dyDescent="0.25">
      <c r="A251" s="56"/>
      <c r="B251" s="8"/>
      <c r="C251" s="41" t="s">
        <v>175</v>
      </c>
      <c r="D251" s="41"/>
      <c r="E251" s="41"/>
      <c r="F251" s="41"/>
      <c r="G251" s="41"/>
      <c r="H251" s="41"/>
      <c r="I251" s="41"/>
      <c r="J251" s="41"/>
      <c r="K251" s="43"/>
      <c r="L251" s="41"/>
      <c r="M251" s="41"/>
      <c r="N251" s="41"/>
      <c r="O251" s="41"/>
      <c r="P251" s="41"/>
      <c r="Q251" s="41"/>
      <c r="R251" s="41"/>
    </row>
    <row r="252" spans="1:18" hidden="1" x14ac:dyDescent="0.25">
      <c r="A252" s="56" t="s">
        <v>103</v>
      </c>
      <c r="B252" s="8"/>
      <c r="C252" s="28" t="s">
        <v>178</v>
      </c>
      <c r="D252" s="28"/>
      <c r="E252" s="28"/>
      <c r="F252" s="37">
        <v>0.6</v>
      </c>
      <c r="G252" s="28" t="str">
        <f>CONCATENATE("USD,FLAT ",TEXT(F252,"0.00"))</f>
        <v>USD,FLAT 0.60</v>
      </c>
      <c r="H252" s="34">
        <f>K252/J252</f>
        <v>0.6</v>
      </c>
      <c r="I252" s="28" t="s">
        <v>22</v>
      </c>
      <c r="J252" s="30">
        <v>1</v>
      </c>
      <c r="K252" s="37">
        <f>J252*F252</f>
        <v>0.6</v>
      </c>
      <c r="L252" s="28" t="str">
        <f>TEXT(IFERROR(((K252-K253)/K253*100),"0.00"),"0.00")</f>
        <v>0.00</v>
      </c>
      <c r="M252" s="34">
        <f>(10+J252*3)</f>
        <v>13</v>
      </c>
      <c r="N252" s="28"/>
      <c r="O252" s="28"/>
      <c r="P252" s="28"/>
      <c r="Q252" s="28"/>
      <c r="R252" s="28"/>
    </row>
    <row r="253" spans="1:18" hidden="1" x14ac:dyDescent="0.25">
      <c r="A253" s="56"/>
      <c r="B253" s="8"/>
      <c r="C253" s="31" t="s">
        <v>173</v>
      </c>
      <c r="D253" s="31"/>
      <c r="E253" s="31"/>
      <c r="F253" s="31"/>
      <c r="G253" s="31"/>
      <c r="H253" s="36" t="str">
        <f>IFERROR(K253/J253,"0")</f>
        <v>0</v>
      </c>
      <c r="I253" s="31"/>
      <c r="J253" s="32"/>
      <c r="K253" s="38"/>
      <c r="L253" s="31"/>
      <c r="M253" s="31"/>
      <c r="N253" s="31"/>
      <c r="O253" s="31"/>
      <c r="P253" s="31"/>
      <c r="Q253" s="31"/>
      <c r="R253" s="31"/>
    </row>
    <row r="254" spans="1:18" hidden="1" x14ac:dyDescent="0.25">
      <c r="A254" s="56"/>
      <c r="B254" s="8"/>
      <c r="C254" s="40" t="s">
        <v>174</v>
      </c>
      <c r="D254" s="40"/>
      <c r="E254" s="40"/>
      <c r="F254" s="40"/>
      <c r="G254" s="40"/>
      <c r="H254" s="40"/>
      <c r="I254" s="40"/>
      <c r="J254" s="40"/>
      <c r="K254" s="42"/>
      <c r="L254" s="40"/>
      <c r="M254" s="40"/>
      <c r="N254" s="40"/>
      <c r="O254" s="40"/>
      <c r="P254" s="40"/>
      <c r="Q254" s="40"/>
      <c r="R254" s="40"/>
    </row>
    <row r="255" spans="1:18" hidden="1" x14ac:dyDescent="0.25">
      <c r="A255" s="56"/>
      <c r="B255" s="8"/>
      <c r="C255" s="41" t="s">
        <v>175</v>
      </c>
      <c r="D255" s="41"/>
      <c r="E255" s="41"/>
      <c r="F255" s="41"/>
      <c r="G255" s="41"/>
      <c r="H255" s="41"/>
      <c r="I255" s="41"/>
      <c r="J255" s="41"/>
      <c r="K255" s="43"/>
      <c r="L255" s="41"/>
      <c r="M255" s="41"/>
      <c r="N255" s="41"/>
      <c r="O255" s="41"/>
      <c r="P255" s="41"/>
      <c r="Q255" s="41"/>
      <c r="R255" s="41"/>
    </row>
    <row r="256" spans="1:18" x14ac:dyDescent="0.25">
      <c r="A256" s="56" t="s">
        <v>104</v>
      </c>
      <c r="B256" s="44"/>
      <c r="C256" s="28" t="s">
        <v>178</v>
      </c>
      <c r="D256" s="28"/>
      <c r="E256" s="28"/>
      <c r="F256" s="60">
        <v>16.670000000000002</v>
      </c>
      <c r="G256" s="28" t="str">
        <f>CONCATENATE("USD,FLAT ",TEXT(F256,"0.00"))</f>
        <v>USD,FLAT 16.67</v>
      </c>
      <c r="H256" s="34">
        <f>K256/J256</f>
        <v>16.670000000000002</v>
      </c>
      <c r="I256" s="28" t="s">
        <v>22</v>
      </c>
      <c r="J256" s="30">
        <v>1</v>
      </c>
      <c r="K256" s="37">
        <f>J256*F256</f>
        <v>16.670000000000002</v>
      </c>
      <c r="L256" s="28" t="str">
        <f>TEXT(IFERROR(((K256-K257)/K257*100),"0.00"),"0.00")</f>
        <v>0.00</v>
      </c>
      <c r="M256" s="34">
        <f>(10+J256*3)</f>
        <v>13</v>
      </c>
      <c r="N256" s="33"/>
      <c r="O256" s="28" t="s">
        <v>153</v>
      </c>
      <c r="P256" s="28" t="s">
        <v>476</v>
      </c>
      <c r="Q256" s="28"/>
      <c r="R256" s="28"/>
    </row>
    <row r="257" spans="1:18" hidden="1" x14ac:dyDescent="0.25">
      <c r="A257" s="8"/>
      <c r="B257" s="44"/>
      <c r="C257" s="31" t="s">
        <v>173</v>
      </c>
      <c r="D257" s="31"/>
      <c r="E257" s="31"/>
      <c r="F257" s="31"/>
      <c r="G257" s="31"/>
      <c r="H257" s="36" t="str">
        <f>IFERROR(K257/J257,"0")</f>
        <v>0</v>
      </c>
      <c r="I257" s="31"/>
      <c r="J257" s="32"/>
      <c r="K257" s="38"/>
      <c r="L257" s="31"/>
      <c r="M257" s="31"/>
      <c r="N257" s="31"/>
      <c r="O257" s="31"/>
      <c r="P257" s="31"/>
      <c r="Q257" s="31"/>
      <c r="R257" s="31"/>
    </row>
    <row r="258" spans="1:18" hidden="1" x14ac:dyDescent="0.25">
      <c r="A258" s="8"/>
      <c r="B258" s="44"/>
      <c r="C258" s="40" t="s">
        <v>174</v>
      </c>
      <c r="D258" s="40"/>
      <c r="E258" s="40"/>
      <c r="F258" s="40"/>
      <c r="G258" s="40"/>
      <c r="H258" s="40"/>
      <c r="I258" s="40"/>
      <c r="J258" s="40"/>
      <c r="K258" s="42"/>
      <c r="L258" s="40"/>
      <c r="M258" s="40"/>
      <c r="N258" s="40"/>
      <c r="O258" s="40"/>
      <c r="P258" s="40"/>
      <c r="Q258" s="40"/>
      <c r="R258" s="40"/>
    </row>
    <row r="259" spans="1:18" hidden="1" x14ac:dyDescent="0.25">
      <c r="A259" s="8"/>
      <c r="B259" s="44"/>
      <c r="C259" s="41" t="s">
        <v>175</v>
      </c>
      <c r="D259" s="41"/>
      <c r="E259" s="41"/>
      <c r="F259" s="41"/>
      <c r="G259" s="41"/>
      <c r="H259" s="41"/>
      <c r="I259" s="41"/>
      <c r="J259" s="41"/>
      <c r="K259" s="43"/>
      <c r="L259" s="41"/>
      <c r="M259" s="41"/>
      <c r="N259" s="41"/>
      <c r="O259" s="41"/>
      <c r="P259" s="41"/>
      <c r="Q259" s="41"/>
      <c r="R259" s="41"/>
    </row>
    <row r="260" spans="1:18" x14ac:dyDescent="0.25">
      <c r="A260" s="347" t="s">
        <v>196</v>
      </c>
      <c r="B260" s="348"/>
      <c r="C260" s="348"/>
      <c r="D260" s="348"/>
      <c r="E260" s="348"/>
      <c r="F260" s="348"/>
      <c r="G260" s="348"/>
      <c r="H260" s="348"/>
      <c r="I260" s="348"/>
      <c r="J260" s="348"/>
    </row>
    <row r="261" spans="1:18" x14ac:dyDescent="0.25">
      <c r="A261" s="373" t="s">
        <v>198</v>
      </c>
      <c r="B261" s="391" t="s">
        <v>201</v>
      </c>
      <c r="C261" s="392"/>
      <c r="D261" s="392"/>
      <c r="E261" s="393"/>
      <c r="F261" s="391" t="s">
        <v>202</v>
      </c>
      <c r="G261" s="392"/>
      <c r="H261" s="392"/>
      <c r="I261" s="393"/>
      <c r="J261" s="337" t="s">
        <v>200</v>
      </c>
    </row>
    <row r="262" spans="1:18" x14ac:dyDescent="0.25">
      <c r="A262" s="374"/>
      <c r="B262" s="22" t="s">
        <v>164</v>
      </c>
      <c r="C262" s="22" t="s">
        <v>166</v>
      </c>
      <c r="D262" s="22" t="s">
        <v>199</v>
      </c>
      <c r="E262" s="22" t="s">
        <v>205</v>
      </c>
      <c r="F262" s="22" t="s">
        <v>164</v>
      </c>
      <c r="G262" s="22" t="s">
        <v>166</v>
      </c>
      <c r="H262" s="22" t="s">
        <v>199</v>
      </c>
      <c r="I262" s="22" t="s">
        <v>205</v>
      </c>
      <c r="J262" s="338"/>
    </row>
    <row r="263" spans="1:18" x14ac:dyDescent="0.25">
      <c r="A263" s="19"/>
      <c r="B263" s="53">
        <f>K192+C168+C169</f>
        <v>6755622.5700000003</v>
      </c>
      <c r="C263" s="53">
        <f>M192+C170+C171</f>
        <v>1010169</v>
      </c>
      <c r="D263" s="53">
        <f>B263-C263</f>
        <v>5745453.5700000003</v>
      </c>
      <c r="E263" s="52">
        <f>((B263-C263)/B263*100)</f>
        <v>85.046988792921866</v>
      </c>
      <c r="F263" s="53">
        <f>K193</f>
        <v>648000</v>
      </c>
      <c r="G263" s="53">
        <f>M193</f>
        <v>144010</v>
      </c>
      <c r="H263" s="53">
        <f>F263-G263</f>
        <v>503990</v>
      </c>
      <c r="I263" s="52">
        <f>((F263-G263)/F263*100)</f>
        <v>77.776234567901241</v>
      </c>
      <c r="J263" s="52">
        <f>((B263-F263)/F263*100)</f>
        <v>942.53434722222221</v>
      </c>
    </row>
    <row r="264" spans="1:18" x14ac:dyDescent="0.25">
      <c r="A264" s="347" t="s">
        <v>197</v>
      </c>
      <c r="B264" s="348"/>
      <c r="C264" s="348"/>
      <c r="D264" s="348"/>
      <c r="E264" s="348"/>
      <c r="F264" s="348"/>
      <c r="G264" s="348"/>
      <c r="H264" s="348"/>
    </row>
    <row r="265" spans="1:18" x14ac:dyDescent="0.25">
      <c r="A265" s="22" t="s">
        <v>1</v>
      </c>
      <c r="B265" s="22" t="s">
        <v>0</v>
      </c>
      <c r="C265" s="22" t="s">
        <v>181</v>
      </c>
      <c r="D265" s="22" t="s">
        <v>192</v>
      </c>
      <c r="E265" s="22" t="s">
        <v>203</v>
      </c>
      <c r="F265" s="22" t="s">
        <v>204</v>
      </c>
      <c r="G265" s="22" t="s">
        <v>193</v>
      </c>
      <c r="H265" s="22" t="s">
        <v>194</v>
      </c>
    </row>
    <row r="266" spans="1:18" x14ac:dyDescent="0.25">
      <c r="A266" s="19"/>
      <c r="B266" s="21"/>
      <c r="C266" s="19" t="s">
        <v>195</v>
      </c>
      <c r="D266" s="53">
        <f>(E266-G266)/G266*100</f>
        <v>942.53434722222221</v>
      </c>
      <c r="E266" s="53">
        <f>K192+C168+C169</f>
        <v>6755622.5700000003</v>
      </c>
      <c r="F266" s="53">
        <f>M192+C170+C171</f>
        <v>1010169</v>
      </c>
      <c r="G266" s="53">
        <f>K193</f>
        <v>648000</v>
      </c>
      <c r="H266" s="53">
        <f>M193</f>
        <v>144010</v>
      </c>
    </row>
    <row r="267" spans="1:18" x14ac:dyDescent="0.25">
      <c r="A267" s="70"/>
      <c r="B267" s="71"/>
      <c r="C267" s="71"/>
      <c r="D267" s="71"/>
      <c r="E267" s="72"/>
      <c r="F267" s="71"/>
      <c r="G267" s="71"/>
      <c r="H267" s="71"/>
      <c r="I267" s="72"/>
      <c r="J267" s="72"/>
    </row>
    <row r="268" spans="1:18" x14ac:dyDescent="0.25">
      <c r="A268" s="54" t="s">
        <v>136</v>
      </c>
      <c r="B268" s="55"/>
      <c r="C268" s="55"/>
    </row>
    <row r="269" spans="1:18" x14ac:dyDescent="0.25">
      <c r="A269" s="22" t="s">
        <v>136</v>
      </c>
      <c r="B269" s="22" t="s">
        <v>144</v>
      </c>
      <c r="C269" s="22" t="s">
        <v>145</v>
      </c>
    </row>
    <row r="270" spans="1:18" ht="75" x14ac:dyDescent="0.25">
      <c r="A270" s="57" t="s">
        <v>137</v>
      </c>
      <c r="B270" s="58" t="s">
        <v>216</v>
      </c>
      <c r="C270" s="58" t="s">
        <v>216</v>
      </c>
    </row>
    <row r="272" spans="1:18" x14ac:dyDescent="0.25">
      <c r="A272" s="54" t="s">
        <v>483</v>
      </c>
      <c r="B272" s="55"/>
      <c r="C272" s="55"/>
      <c r="D272" s="55"/>
      <c r="E272" s="55"/>
    </row>
    <row r="273" spans="1:18" x14ac:dyDescent="0.25">
      <c r="A273" s="54" t="s">
        <v>136</v>
      </c>
      <c r="B273" s="55"/>
      <c r="C273" s="55"/>
    </row>
    <row r="274" spans="1:18" x14ac:dyDescent="0.25">
      <c r="A274" s="22" t="s">
        <v>136</v>
      </c>
      <c r="B274" s="22" t="s">
        <v>144</v>
      </c>
      <c r="C274" s="22" t="s">
        <v>145</v>
      </c>
      <c r="D274" s="23" t="s">
        <v>486</v>
      </c>
    </row>
    <row r="275" spans="1:18" ht="75" x14ac:dyDescent="0.25">
      <c r="A275" s="57" t="s">
        <v>137</v>
      </c>
      <c r="B275" s="58" t="s">
        <v>482</v>
      </c>
      <c r="C275" s="58" t="s">
        <v>481</v>
      </c>
      <c r="D275" s="157" t="s">
        <v>487</v>
      </c>
    </row>
    <row r="276" spans="1:18" x14ac:dyDescent="0.25">
      <c r="A276" s="173" t="s">
        <v>160</v>
      </c>
      <c r="B276" s="173" t="s">
        <v>43</v>
      </c>
      <c r="C276" s="173" t="s">
        <v>168</v>
      </c>
      <c r="D276" s="39" t="s">
        <v>176</v>
      </c>
      <c r="E276" s="39" t="s">
        <v>177</v>
      </c>
      <c r="F276" s="39" t="s">
        <v>56</v>
      </c>
      <c r="G276" s="173" t="s">
        <v>161</v>
      </c>
      <c r="H276" s="173" t="s">
        <v>162</v>
      </c>
      <c r="I276" s="39" t="s">
        <v>18</v>
      </c>
      <c r="J276" s="39" t="s">
        <v>163</v>
      </c>
      <c r="K276" s="39" t="s">
        <v>164</v>
      </c>
      <c r="L276" s="39" t="s">
        <v>165</v>
      </c>
      <c r="M276" s="39" t="s">
        <v>166</v>
      </c>
      <c r="N276" s="39" t="s">
        <v>183</v>
      </c>
      <c r="O276" s="39" t="s">
        <v>180</v>
      </c>
      <c r="P276" s="39" t="s">
        <v>181</v>
      </c>
      <c r="Q276" s="39" t="s">
        <v>182</v>
      </c>
      <c r="R276" s="39" t="s">
        <v>167</v>
      </c>
    </row>
    <row r="277" spans="1:18" x14ac:dyDescent="0.25">
      <c r="A277" s="56" t="s">
        <v>103</v>
      </c>
      <c r="B277" s="8"/>
      <c r="C277" s="28" t="s">
        <v>178</v>
      </c>
      <c r="D277" s="28"/>
      <c r="E277" s="28"/>
      <c r="F277" s="37">
        <v>0.6</v>
      </c>
      <c r="G277" s="28" t="str">
        <f>CONCATENATE("USD,FLAT ",TEXT(F277,"0.00"))</f>
        <v>USD,FLAT 0.60</v>
      </c>
      <c r="H277" s="34">
        <f>K277/J277</f>
        <v>0.6</v>
      </c>
      <c r="I277" s="28" t="s">
        <v>22</v>
      </c>
      <c r="J277" s="30">
        <v>1</v>
      </c>
      <c r="K277" s="37">
        <f>J277*F277</f>
        <v>0.6</v>
      </c>
      <c r="L277" s="28" t="str">
        <f>TEXT(IFERROR(((K277-K278)/K278*100),"0.00"),"0.00")</f>
        <v>0.00</v>
      </c>
      <c r="M277" s="34">
        <f>(10+J277*3)</f>
        <v>13</v>
      </c>
      <c r="N277" s="33" t="s">
        <v>53</v>
      </c>
      <c r="O277" s="28" t="s">
        <v>190</v>
      </c>
      <c r="P277" s="28" t="s">
        <v>473</v>
      </c>
      <c r="Q277" s="28" t="s">
        <v>484</v>
      </c>
      <c r="R277" s="28"/>
    </row>
    <row r="278" spans="1:18" x14ac:dyDescent="0.25">
      <c r="A278" s="8"/>
      <c r="B278" s="8"/>
      <c r="C278" s="31" t="s">
        <v>173</v>
      </c>
      <c r="D278" s="31"/>
      <c r="E278" s="31"/>
      <c r="F278" s="31"/>
      <c r="G278" s="31"/>
      <c r="H278" s="36" t="str">
        <f>IFERROR(K278/J278,"0")</f>
        <v>0</v>
      </c>
      <c r="I278" s="31"/>
      <c r="J278" s="32"/>
      <c r="K278" s="38"/>
      <c r="L278" s="31"/>
      <c r="M278" s="31"/>
      <c r="N278" s="31"/>
      <c r="O278" s="31"/>
      <c r="P278" s="31"/>
      <c r="Q278" s="31"/>
      <c r="R278" s="31"/>
    </row>
    <row r="279" spans="1:18" x14ac:dyDescent="0.25">
      <c r="A279" s="403" t="s">
        <v>488</v>
      </c>
      <c r="B279" s="404"/>
      <c r="C279" s="405"/>
      <c r="D279" s="152"/>
      <c r="E279" s="153"/>
      <c r="F279" s="153"/>
      <c r="G279" s="153"/>
      <c r="H279" s="154"/>
      <c r="I279" s="153"/>
      <c r="J279" s="155"/>
      <c r="K279" s="156"/>
      <c r="L279" s="153"/>
      <c r="M279" s="153"/>
      <c r="N279" s="153"/>
      <c r="O279" s="153"/>
      <c r="P279" s="153"/>
      <c r="Q279" s="153"/>
      <c r="R279" s="153"/>
    </row>
    <row r="280" spans="1:18" ht="60" x14ac:dyDescent="0.25">
      <c r="A280" s="23" t="s">
        <v>486</v>
      </c>
      <c r="B280" s="158" t="s">
        <v>489</v>
      </c>
      <c r="C280" s="28"/>
      <c r="D280" s="152"/>
      <c r="E280" s="153"/>
      <c r="F280" s="153"/>
      <c r="G280" s="153"/>
      <c r="H280" s="154"/>
      <c r="I280" s="153"/>
      <c r="J280" s="155"/>
      <c r="K280" s="156"/>
      <c r="L280" s="153"/>
      <c r="M280" s="153"/>
      <c r="N280" s="153"/>
      <c r="O280" s="153"/>
      <c r="P280" s="153"/>
      <c r="Q280" s="153"/>
      <c r="R280" s="153"/>
    </row>
    <row r="281" spans="1:18" x14ac:dyDescent="0.25">
      <c r="A281" s="376" t="s">
        <v>490</v>
      </c>
      <c r="B281" s="376"/>
      <c r="C281" s="376"/>
      <c r="D281" s="376"/>
      <c r="E281" s="376"/>
      <c r="F281" s="376"/>
      <c r="G281" s="376"/>
      <c r="H281" s="376"/>
      <c r="I281" s="376"/>
      <c r="J281" s="376"/>
      <c r="K281" s="376"/>
      <c r="L281" s="376"/>
    </row>
    <row r="282" spans="1:18" x14ac:dyDescent="0.25">
      <c r="A282" s="170"/>
      <c r="B282" s="63"/>
      <c r="C282" s="170"/>
      <c r="D282" s="170"/>
      <c r="E282" s="170"/>
      <c r="F282" s="170"/>
      <c r="G282" s="170"/>
      <c r="H282" s="170"/>
      <c r="I282" s="170"/>
      <c r="J282" s="170"/>
      <c r="K282" s="170"/>
      <c r="L282" s="170"/>
    </row>
    <row r="283" spans="1:18" x14ac:dyDescent="0.25">
      <c r="A283" s="324" t="s">
        <v>159</v>
      </c>
      <c r="B283" s="325"/>
      <c r="C283" s="325"/>
      <c r="D283" s="325"/>
      <c r="E283" s="325"/>
    </row>
    <row r="284" spans="1:18" x14ac:dyDescent="0.25">
      <c r="A284" s="173" t="s">
        <v>160</v>
      </c>
      <c r="B284" s="173" t="s">
        <v>43</v>
      </c>
      <c r="C284" s="173" t="s">
        <v>168</v>
      </c>
      <c r="D284" s="39" t="s">
        <v>176</v>
      </c>
      <c r="E284" s="39" t="s">
        <v>177</v>
      </c>
      <c r="F284" s="39" t="s">
        <v>56</v>
      </c>
      <c r="G284" s="173" t="s">
        <v>161</v>
      </c>
      <c r="H284" s="173" t="s">
        <v>162</v>
      </c>
      <c r="I284" s="39" t="s">
        <v>18</v>
      </c>
      <c r="J284" s="39" t="s">
        <v>163</v>
      </c>
      <c r="K284" s="39" t="s">
        <v>164</v>
      </c>
      <c r="L284" s="39" t="s">
        <v>165</v>
      </c>
      <c r="M284" s="39" t="s">
        <v>166</v>
      </c>
      <c r="N284" s="39" t="s">
        <v>183</v>
      </c>
      <c r="O284" s="39" t="s">
        <v>180</v>
      </c>
      <c r="P284" s="39" t="s">
        <v>181</v>
      </c>
      <c r="Q284" s="39" t="s">
        <v>182</v>
      </c>
      <c r="R284" s="39" t="s">
        <v>167</v>
      </c>
    </row>
    <row r="285" spans="1:18" x14ac:dyDescent="0.25">
      <c r="A285" s="49" t="s">
        <v>171</v>
      </c>
      <c r="B285" s="49"/>
      <c r="C285" s="49" t="s">
        <v>178</v>
      </c>
      <c r="D285" s="49"/>
      <c r="E285" s="49"/>
      <c r="F285" s="49"/>
      <c r="G285" s="49"/>
      <c r="H285" s="49"/>
      <c r="I285" s="49"/>
      <c r="J285" s="50">
        <f>SUMIFS(J287:J296,C287:C296,C285)</f>
        <v>288000</v>
      </c>
      <c r="K285" s="51">
        <f>SUMIFS(K287:K296,C287:C296,C285)</f>
        <v>6092880</v>
      </c>
      <c r="L285" s="49"/>
      <c r="M285" s="51">
        <f>SUMIFS(M287:M296,C287:C296,C285)</f>
        <v>864030</v>
      </c>
      <c r="N285" s="49"/>
      <c r="O285" s="49"/>
      <c r="P285" s="49"/>
      <c r="Q285" s="49"/>
      <c r="R285" s="49"/>
    </row>
    <row r="286" spans="1:18" x14ac:dyDescent="0.25">
      <c r="A286" s="49" t="s">
        <v>171</v>
      </c>
      <c r="B286" s="49"/>
      <c r="C286" s="49" t="s">
        <v>173</v>
      </c>
      <c r="D286" s="49"/>
      <c r="E286" s="49"/>
      <c r="F286" s="49"/>
      <c r="G286" s="49"/>
      <c r="H286" s="49"/>
      <c r="I286" s="49"/>
      <c r="J286" s="50">
        <f>SUMIFS(J287:J296,C287:C296,C286)</f>
        <v>288000</v>
      </c>
      <c r="K286" s="51">
        <f>SUMIFS(K287:K296,C287:C296,C286)</f>
        <v>0</v>
      </c>
      <c r="L286" s="49"/>
      <c r="M286" s="51">
        <f>SUMIFS(M287:M296,C287:C296,C286)</f>
        <v>0</v>
      </c>
      <c r="N286" s="49"/>
      <c r="O286" s="49"/>
      <c r="P286" s="49"/>
      <c r="Q286" s="49"/>
      <c r="R286" s="49"/>
    </row>
    <row r="287" spans="1:18" ht="30" x14ac:dyDescent="0.25">
      <c r="A287" s="56" t="s">
        <v>97</v>
      </c>
      <c r="B287" s="8"/>
      <c r="C287" s="28" t="s">
        <v>178</v>
      </c>
      <c r="D287" s="28"/>
      <c r="E287" s="28"/>
      <c r="F287" s="29" t="s">
        <v>188</v>
      </c>
      <c r="G287" s="28" t="s">
        <v>185</v>
      </c>
      <c r="H287" s="34">
        <f>K287/J287</f>
        <v>12.25</v>
      </c>
      <c r="I287" s="28" t="s">
        <v>22</v>
      </c>
      <c r="J287" s="30">
        <v>72000</v>
      </c>
      <c r="K287" s="34">
        <f>(1000*12.95+4000*12.15+1000*11.95)*12</f>
        <v>882000</v>
      </c>
      <c r="L287" s="28" t="str">
        <f>TEXT(IFERROR(((K287-K288)/K288*100),"0.00"),"0.00")</f>
        <v>0.00</v>
      </c>
      <c r="M287" s="34">
        <f>(10+J287*3)</f>
        <v>216010</v>
      </c>
      <c r="N287" s="33" t="s">
        <v>53</v>
      </c>
      <c r="O287" s="28" t="s">
        <v>190</v>
      </c>
      <c r="P287" s="28" t="s">
        <v>473</v>
      </c>
      <c r="Q287" s="28" t="s">
        <v>491</v>
      </c>
      <c r="R287" s="28"/>
    </row>
    <row r="288" spans="1:18" x14ac:dyDescent="0.25">
      <c r="A288" s="8"/>
      <c r="B288" s="8"/>
      <c r="C288" s="31" t="s">
        <v>173</v>
      </c>
      <c r="D288" s="31"/>
      <c r="E288" s="31"/>
      <c r="F288" s="31"/>
      <c r="G288" s="31"/>
      <c r="H288" s="36">
        <f>IFERROR(K288/J288,"0")</f>
        <v>0</v>
      </c>
      <c r="I288" s="31" t="s">
        <v>22</v>
      </c>
      <c r="J288" s="32">
        <v>72000</v>
      </c>
      <c r="K288" s="38">
        <v>0</v>
      </c>
      <c r="L288" s="31"/>
      <c r="M288" s="36"/>
      <c r="N288" s="31"/>
      <c r="O288" s="31"/>
      <c r="P288" s="31"/>
      <c r="Q288" s="31"/>
      <c r="R288" s="31"/>
    </row>
    <row r="289" spans="1:18" hidden="1" x14ac:dyDescent="0.25">
      <c r="A289" s="8"/>
      <c r="B289" s="8"/>
      <c r="C289" s="40" t="s">
        <v>174</v>
      </c>
      <c r="D289" s="40"/>
      <c r="E289" s="40"/>
      <c r="F289" s="40"/>
      <c r="G289" s="40"/>
      <c r="H289" s="40"/>
      <c r="I289" s="40"/>
      <c r="J289" s="40"/>
      <c r="K289" s="42"/>
      <c r="L289" s="40"/>
      <c r="M289" s="40"/>
      <c r="N289" s="40"/>
      <c r="O289" s="40"/>
      <c r="P289" s="40"/>
      <c r="Q289" s="40"/>
      <c r="R289" s="40"/>
    </row>
    <row r="290" spans="1:18" hidden="1" x14ac:dyDescent="0.25">
      <c r="A290" s="8"/>
      <c r="B290" s="8"/>
      <c r="C290" s="41" t="s">
        <v>175</v>
      </c>
      <c r="D290" s="41"/>
      <c r="E290" s="41"/>
      <c r="F290" s="41"/>
      <c r="G290" s="41"/>
      <c r="H290" s="41"/>
      <c r="I290" s="41"/>
      <c r="J290" s="41"/>
      <c r="K290" s="43"/>
      <c r="L290" s="41"/>
      <c r="M290" s="41"/>
      <c r="N290" s="41"/>
      <c r="O290" s="41"/>
      <c r="P290" s="41"/>
      <c r="Q290" s="41"/>
      <c r="R290" s="41"/>
    </row>
    <row r="291" spans="1:18" ht="30" x14ac:dyDescent="0.25">
      <c r="A291" s="56" t="s">
        <v>98</v>
      </c>
      <c r="B291" s="8"/>
      <c r="C291" s="28" t="s">
        <v>178</v>
      </c>
      <c r="D291" s="28"/>
      <c r="E291" s="28"/>
      <c r="F291" s="29" t="s">
        <v>188</v>
      </c>
      <c r="G291" s="28" t="s">
        <v>186</v>
      </c>
      <c r="H291" s="34">
        <f>K291/J291</f>
        <v>11.95</v>
      </c>
      <c r="I291" s="28" t="s">
        <v>22</v>
      </c>
      <c r="J291" s="30">
        <v>96000</v>
      </c>
      <c r="K291" s="34">
        <f>J291*11.95</f>
        <v>1147200</v>
      </c>
      <c r="L291" s="28" t="str">
        <f>TEXT(IFERROR(((K291-K292)/K292*100),"0.00"),"0.00")</f>
        <v>0.00</v>
      </c>
      <c r="M291" s="34">
        <f>(10+J291*3)</f>
        <v>288010</v>
      </c>
      <c r="N291" s="33" t="s">
        <v>53</v>
      </c>
      <c r="O291" s="28" t="s">
        <v>190</v>
      </c>
      <c r="P291" s="28" t="s">
        <v>473</v>
      </c>
      <c r="Q291" s="28" t="s">
        <v>491</v>
      </c>
      <c r="R291" s="28"/>
    </row>
    <row r="292" spans="1:18" x14ac:dyDescent="0.25">
      <c r="A292" s="8"/>
      <c r="B292" s="8"/>
      <c r="C292" s="31" t="s">
        <v>173</v>
      </c>
      <c r="D292" s="31"/>
      <c r="E292" s="31"/>
      <c r="F292" s="31"/>
      <c r="G292" s="31"/>
      <c r="H292" s="36">
        <f>IFERROR(K292/J292,"0")</f>
        <v>0</v>
      </c>
      <c r="I292" s="31" t="s">
        <v>22</v>
      </c>
      <c r="J292" s="32">
        <v>96000</v>
      </c>
      <c r="K292" s="38">
        <v>0</v>
      </c>
      <c r="L292" s="31"/>
      <c r="M292" s="31"/>
      <c r="N292" s="31"/>
      <c r="O292" s="31"/>
      <c r="P292" s="31"/>
      <c r="Q292" s="31"/>
      <c r="R292" s="31"/>
    </row>
    <row r="293" spans="1:18" hidden="1" x14ac:dyDescent="0.25">
      <c r="A293" s="8"/>
      <c r="B293" s="8"/>
      <c r="C293" s="40" t="s">
        <v>174</v>
      </c>
      <c r="D293" s="40"/>
      <c r="E293" s="40"/>
      <c r="F293" s="40"/>
      <c r="G293" s="40"/>
      <c r="H293" s="40"/>
      <c r="I293" s="40"/>
      <c r="J293" s="40"/>
      <c r="K293" s="42"/>
      <c r="L293" s="40"/>
      <c r="M293" s="40"/>
      <c r="N293" s="40"/>
      <c r="O293" s="40"/>
      <c r="P293" s="40"/>
      <c r="Q293" s="40"/>
      <c r="R293" s="40"/>
    </row>
    <row r="294" spans="1:18" hidden="1" x14ac:dyDescent="0.25">
      <c r="A294" s="8"/>
      <c r="B294" s="8"/>
      <c r="C294" s="41" t="s">
        <v>175</v>
      </c>
      <c r="D294" s="41"/>
      <c r="E294" s="41"/>
      <c r="F294" s="41"/>
      <c r="G294" s="41"/>
      <c r="H294" s="41"/>
      <c r="I294" s="41"/>
      <c r="J294" s="41"/>
      <c r="K294" s="43"/>
      <c r="L294" s="41"/>
      <c r="M294" s="41"/>
      <c r="N294" s="41"/>
      <c r="O294" s="41"/>
      <c r="P294" s="41"/>
      <c r="Q294" s="41"/>
      <c r="R294" s="41"/>
    </row>
    <row r="295" spans="1:18" ht="45" x14ac:dyDescent="0.25">
      <c r="A295" s="56" t="s">
        <v>99</v>
      </c>
      <c r="B295" s="8"/>
      <c r="C295" s="28" t="s">
        <v>178</v>
      </c>
      <c r="D295" s="28"/>
      <c r="E295" s="28"/>
      <c r="F295" s="29" t="s">
        <v>189</v>
      </c>
      <c r="G295" s="28" t="s">
        <v>187</v>
      </c>
      <c r="H295" s="34">
        <f>K295/J295</f>
        <v>33.863999999999997</v>
      </c>
      <c r="I295" s="28" t="s">
        <v>22</v>
      </c>
      <c r="J295" s="30">
        <v>120000</v>
      </c>
      <c r="K295" s="34">
        <f>'UC01 - CALCULATOIN'!C13</f>
        <v>4063680</v>
      </c>
      <c r="L295" s="28" t="str">
        <f>TEXT(IFERROR(((K295-K296)/K296*100),"0.00"),"0.00")</f>
        <v>0.00</v>
      </c>
      <c r="M295" s="34">
        <f>(10+J295*3)</f>
        <v>360010</v>
      </c>
      <c r="N295" s="33" t="s">
        <v>53</v>
      </c>
      <c r="O295" s="28" t="s">
        <v>190</v>
      </c>
      <c r="P295" s="28" t="s">
        <v>473</v>
      </c>
      <c r="Q295" s="28" t="s">
        <v>491</v>
      </c>
      <c r="R295" s="28"/>
    </row>
    <row r="296" spans="1:18" x14ac:dyDescent="0.25">
      <c r="A296" s="8"/>
      <c r="B296" s="8"/>
      <c r="C296" s="31" t="s">
        <v>173</v>
      </c>
      <c r="D296" s="31"/>
      <c r="E296" s="31"/>
      <c r="F296" s="31"/>
      <c r="G296" s="31"/>
      <c r="H296" s="36">
        <f>IFERROR(K296/J296,"0")</f>
        <v>0</v>
      </c>
      <c r="I296" s="31" t="s">
        <v>22</v>
      </c>
      <c r="J296" s="32">
        <v>120000</v>
      </c>
      <c r="K296" s="38">
        <v>0</v>
      </c>
      <c r="L296" s="31"/>
      <c r="M296" s="31"/>
      <c r="N296" s="31"/>
      <c r="O296" s="31"/>
      <c r="P296" s="31"/>
      <c r="Q296" s="31"/>
      <c r="R296" s="31"/>
    </row>
    <row r="297" spans="1:18" x14ac:dyDescent="0.25">
      <c r="A297" s="376" t="s">
        <v>497</v>
      </c>
      <c r="B297" s="376"/>
      <c r="C297" s="376"/>
      <c r="D297" s="376"/>
      <c r="E297" s="376"/>
      <c r="F297" s="376"/>
      <c r="G297" s="376"/>
      <c r="H297" s="376"/>
      <c r="I297" s="376"/>
      <c r="J297" s="376"/>
      <c r="K297" s="376"/>
      <c r="L297" s="376"/>
    </row>
    <row r="298" spans="1:18" x14ac:dyDescent="0.25">
      <c r="A298" s="170" t="s">
        <v>219</v>
      </c>
      <c r="B298" s="63">
        <f>E65+60</f>
        <v>60</v>
      </c>
      <c r="C298" s="170"/>
      <c r="D298" s="170"/>
      <c r="E298" s="170"/>
      <c r="F298" s="170"/>
      <c r="G298" s="170"/>
      <c r="H298" s="170"/>
      <c r="I298" s="170"/>
      <c r="J298" s="170"/>
      <c r="K298" s="170"/>
      <c r="L298" s="170"/>
    </row>
    <row r="299" spans="1:18" x14ac:dyDescent="0.25">
      <c r="A299" s="324" t="s">
        <v>492</v>
      </c>
      <c r="B299" s="325"/>
      <c r="C299" s="325"/>
      <c r="D299" s="325"/>
      <c r="E299" s="325"/>
      <c r="F299" s="170"/>
      <c r="G299" s="170"/>
      <c r="H299" s="170"/>
      <c r="I299" s="170"/>
      <c r="J299" s="170"/>
      <c r="K299" s="170"/>
      <c r="L299" s="170"/>
    </row>
    <row r="300" spans="1:18" x14ac:dyDescent="0.25">
      <c r="A300" s="19" t="s">
        <v>493</v>
      </c>
      <c r="B300" s="53" t="s">
        <v>494</v>
      </c>
      <c r="C300" s="53"/>
      <c r="D300" s="53"/>
      <c r="E300" s="52"/>
      <c r="F300" s="53"/>
      <c r="G300" s="52"/>
      <c r="H300" s="52"/>
      <c r="I300" s="53"/>
      <c r="J300" s="53"/>
      <c r="K300" s="53"/>
      <c r="L300" s="52"/>
      <c r="M300" s="52"/>
    </row>
    <row r="301" spans="1:18" x14ac:dyDescent="0.25">
      <c r="A301" s="324" t="s">
        <v>159</v>
      </c>
      <c r="B301" s="325"/>
      <c r="C301" s="325"/>
      <c r="D301" s="325"/>
      <c r="E301" s="325"/>
    </row>
    <row r="302" spans="1:18" x14ac:dyDescent="0.25">
      <c r="A302" s="173" t="s">
        <v>160</v>
      </c>
      <c r="B302" s="173" t="s">
        <v>43</v>
      </c>
      <c r="C302" s="173" t="s">
        <v>168</v>
      </c>
      <c r="D302" s="39" t="s">
        <v>176</v>
      </c>
      <c r="E302" s="39" t="s">
        <v>177</v>
      </c>
      <c r="F302" s="39" t="s">
        <v>56</v>
      </c>
      <c r="G302" s="173" t="s">
        <v>161</v>
      </c>
      <c r="H302" s="173" t="s">
        <v>162</v>
      </c>
      <c r="I302" s="39" t="s">
        <v>18</v>
      </c>
      <c r="J302" s="39" t="s">
        <v>163</v>
      </c>
      <c r="K302" s="39" t="s">
        <v>164</v>
      </c>
      <c r="L302" s="39" t="s">
        <v>165</v>
      </c>
      <c r="M302" s="39" t="s">
        <v>166</v>
      </c>
      <c r="N302" s="39" t="s">
        <v>183</v>
      </c>
      <c r="O302" s="39" t="s">
        <v>180</v>
      </c>
      <c r="P302" s="39" t="s">
        <v>181</v>
      </c>
      <c r="Q302" s="39" t="s">
        <v>182</v>
      </c>
      <c r="R302" s="39" t="s">
        <v>167</v>
      </c>
    </row>
    <row r="303" spans="1:18" x14ac:dyDescent="0.25">
      <c r="A303" s="46" t="s">
        <v>169</v>
      </c>
      <c r="B303" s="46"/>
      <c r="C303" s="46" t="s">
        <v>178</v>
      </c>
      <c r="D303" s="46"/>
      <c r="E303" s="46"/>
      <c r="F303" s="46"/>
      <c r="G303" s="46"/>
      <c r="H303" s="46"/>
      <c r="I303" s="46"/>
      <c r="J303" s="47">
        <f>J305+J323+J337</f>
        <v>336013</v>
      </c>
      <c r="K303" s="48">
        <f>SUMIFS(K305:K370,C305:C370,C303,A305:A370,"*"&amp;"DE_"&amp;"*")</f>
        <v>6753622.5700000003</v>
      </c>
      <c r="L303" s="46"/>
      <c r="M303" s="48">
        <f>SUMIFS(M305:M370,C305:C370,C303,A305:A370,"*"&amp;"DE_"&amp;"*")</f>
        <v>1008169</v>
      </c>
      <c r="N303" s="46"/>
      <c r="O303" s="46"/>
      <c r="P303" s="46"/>
      <c r="Q303" s="46"/>
      <c r="R303" s="46"/>
    </row>
    <row r="304" spans="1:18" x14ac:dyDescent="0.25">
      <c r="A304" s="46" t="s">
        <v>169</v>
      </c>
      <c r="B304" s="46"/>
      <c r="C304" s="46" t="s">
        <v>173</v>
      </c>
      <c r="D304" s="46"/>
      <c r="E304" s="46"/>
      <c r="F304" s="46"/>
      <c r="G304" s="46"/>
      <c r="H304" s="46"/>
      <c r="I304" s="46"/>
      <c r="J304" s="47">
        <f>J306+J324+J338</f>
        <v>336000</v>
      </c>
      <c r="K304" s="48">
        <f>SUMIFS(K305:K370,C305:C370,C304,A305:A370,"*"&amp;"DE_"&amp;"*")</f>
        <v>648000</v>
      </c>
      <c r="L304" s="46"/>
      <c r="M304" s="48">
        <f>SUMIFS(M305:M370,C305:C370,C304,A305:A370,"*"&amp;"DE_"&amp;"*")</f>
        <v>144010</v>
      </c>
      <c r="N304" s="46"/>
      <c r="O304" s="46"/>
      <c r="P304" s="46"/>
      <c r="Q304" s="46"/>
      <c r="R304" s="46"/>
    </row>
    <row r="305" spans="1:18" hidden="1" x14ac:dyDescent="0.25">
      <c r="A305" s="49" t="s">
        <v>170</v>
      </c>
      <c r="B305" s="49"/>
      <c r="C305" s="49" t="s">
        <v>178</v>
      </c>
      <c r="D305" s="49"/>
      <c r="E305" s="49"/>
      <c r="F305" s="49"/>
      <c r="G305" s="49"/>
      <c r="H305" s="49"/>
      <c r="I305" s="49"/>
      <c r="J305" s="50">
        <f>SUMIFS(J307:J322,C307:C322,C305)</f>
        <v>48003</v>
      </c>
      <c r="K305" s="51">
        <f>SUMIFS(K307:K322,C307:C322,C305)</f>
        <v>657712.92000000004</v>
      </c>
      <c r="L305" s="49"/>
      <c r="M305" s="51">
        <f>SUMIFS(M307:M322,C307:C322,C305)</f>
        <v>144029</v>
      </c>
      <c r="N305" s="49"/>
      <c r="O305" s="49"/>
      <c r="P305" s="49"/>
      <c r="Q305" s="49"/>
      <c r="R305" s="49"/>
    </row>
    <row r="306" spans="1:18" hidden="1" x14ac:dyDescent="0.25">
      <c r="A306" s="49" t="s">
        <v>170</v>
      </c>
      <c r="B306" s="49"/>
      <c r="C306" s="49" t="s">
        <v>173</v>
      </c>
      <c r="D306" s="49"/>
      <c r="E306" s="49"/>
      <c r="F306" s="49"/>
      <c r="G306" s="49"/>
      <c r="H306" s="49"/>
      <c r="I306" s="49"/>
      <c r="J306" s="50">
        <f>SUMIFS(J307:J322,C307:C322,C306)</f>
        <v>48000</v>
      </c>
      <c r="K306" s="51">
        <f>SUMIFS(K307:K322,C307:C322,C306)</f>
        <v>648000</v>
      </c>
      <c r="L306" s="49"/>
      <c r="M306" s="51">
        <f>SUMIFS(M307:M322,C307:C322,C306)</f>
        <v>144010</v>
      </c>
      <c r="N306" s="49"/>
      <c r="O306" s="49"/>
      <c r="P306" s="49"/>
      <c r="Q306" s="49"/>
      <c r="R306" s="49"/>
    </row>
    <row r="307" spans="1:18" hidden="1" x14ac:dyDescent="0.25">
      <c r="A307" s="56" t="s">
        <v>94</v>
      </c>
      <c r="B307" s="8"/>
      <c r="C307" s="28" t="s">
        <v>178</v>
      </c>
      <c r="D307" s="67">
        <v>44197</v>
      </c>
      <c r="E307" s="68">
        <f>D309-1</f>
        <v>59</v>
      </c>
      <c r="F307" s="28">
        <v>13.5</v>
      </c>
      <c r="G307" s="28" t="str">
        <f t="shared" ref="G307:G315" si="0">CONCATENATE("USD,FLAT ",TEXT(F307,"0.00"))</f>
        <v>USD,FLAT 13.50</v>
      </c>
      <c r="H307" s="34">
        <f>K307/J307</f>
        <v>13.5</v>
      </c>
      <c r="I307" s="28" t="s">
        <v>22</v>
      </c>
      <c r="J307" s="30">
        <v>48000</v>
      </c>
      <c r="K307" s="34">
        <f t="shared" ref="K307:K313" si="1">J307*F307</f>
        <v>648000</v>
      </c>
      <c r="L307" s="28" t="str">
        <f>TEXT(IFERROR(((K307-K308)/K308*100),"0.00"),"0.00")</f>
        <v>0.00</v>
      </c>
      <c r="M307" s="34">
        <f>(10+J307*3)</f>
        <v>144010</v>
      </c>
      <c r="N307" s="28"/>
      <c r="O307" s="28" t="s">
        <v>153</v>
      </c>
      <c r="P307" s="28"/>
      <c r="Q307" s="28"/>
      <c r="R307" s="28"/>
    </row>
    <row r="308" spans="1:18" hidden="1" x14ac:dyDescent="0.25">
      <c r="A308" s="56"/>
      <c r="B308" s="8"/>
      <c r="C308" s="31" t="s">
        <v>173</v>
      </c>
      <c r="D308" s="66"/>
      <c r="E308" s="66"/>
      <c r="F308" s="31">
        <v>13.5</v>
      </c>
      <c r="G308" s="31" t="str">
        <f t="shared" si="0"/>
        <v>USD,FLAT 13.50</v>
      </c>
      <c r="H308" s="36">
        <f>IFERROR(K308/J308,"0")</f>
        <v>13.5</v>
      </c>
      <c r="I308" s="31" t="s">
        <v>22</v>
      </c>
      <c r="J308" s="32">
        <v>48000</v>
      </c>
      <c r="K308" s="36">
        <f t="shared" si="1"/>
        <v>648000</v>
      </c>
      <c r="L308" s="31"/>
      <c r="M308" s="36">
        <f>(10+J308*3)</f>
        <v>144010</v>
      </c>
      <c r="N308" s="31"/>
      <c r="O308" s="31"/>
      <c r="P308" s="31"/>
      <c r="Q308" s="31"/>
      <c r="R308" s="31"/>
    </row>
    <row r="309" spans="1:18" hidden="1" x14ac:dyDescent="0.25">
      <c r="A309" s="56"/>
      <c r="B309" s="8"/>
      <c r="C309" s="60" t="s">
        <v>174</v>
      </c>
      <c r="D309" s="64">
        <f>B298</f>
        <v>60</v>
      </c>
      <c r="E309" s="60"/>
      <c r="F309" s="60">
        <v>12.99</v>
      </c>
      <c r="G309" s="60" t="str">
        <f t="shared" si="0"/>
        <v>USD,FLAT 12.99</v>
      </c>
      <c r="H309" s="65">
        <f>K309/J309</f>
        <v>12.99</v>
      </c>
      <c r="I309" s="60" t="s">
        <v>22</v>
      </c>
      <c r="J309" s="61">
        <v>48000</v>
      </c>
      <c r="K309" s="65">
        <f t="shared" si="1"/>
        <v>623520</v>
      </c>
      <c r="L309" s="69" t="str">
        <f>TEXT(IFERROR(((K309-K308)/K308*100),"0.00"),"0.00")</f>
        <v>-3.78</v>
      </c>
      <c r="M309" s="65">
        <f>(10+J309*3)</f>
        <v>144010</v>
      </c>
      <c r="N309" s="60"/>
      <c r="O309" s="60"/>
      <c r="P309" s="60"/>
      <c r="Q309" s="60"/>
      <c r="R309" s="60"/>
    </row>
    <row r="310" spans="1:18" hidden="1" x14ac:dyDescent="0.25">
      <c r="A310" s="56"/>
      <c r="B310" s="8"/>
      <c r="C310" s="41" t="s">
        <v>175</v>
      </c>
      <c r="D310" s="41"/>
      <c r="E310" s="41"/>
      <c r="F310" s="97"/>
      <c r="G310" s="97"/>
      <c r="H310" s="98"/>
      <c r="I310" s="97"/>
      <c r="J310" s="99"/>
      <c r="K310" s="98"/>
      <c r="L310" s="104"/>
      <c r="M310" s="98"/>
      <c r="N310" s="41"/>
      <c r="O310" s="41"/>
      <c r="P310" s="41"/>
      <c r="Q310" s="41"/>
      <c r="R310" s="41"/>
    </row>
    <row r="311" spans="1:18" hidden="1" x14ac:dyDescent="0.25">
      <c r="A311" s="56" t="s">
        <v>95</v>
      </c>
      <c r="B311" s="8"/>
      <c r="C311" s="28" t="s">
        <v>178</v>
      </c>
      <c r="D311" s="67">
        <v>44197</v>
      </c>
      <c r="E311" s="68">
        <f>D313-1</f>
        <v>59</v>
      </c>
      <c r="F311" s="60">
        <v>9.89</v>
      </c>
      <c r="G311" s="28" t="str">
        <f t="shared" si="0"/>
        <v>USD,FLAT 9.89</v>
      </c>
      <c r="H311" s="34">
        <f>K311/J311</f>
        <v>9.89</v>
      </c>
      <c r="I311" s="28" t="s">
        <v>22</v>
      </c>
      <c r="J311" s="61">
        <v>3</v>
      </c>
      <c r="K311" s="34">
        <f t="shared" si="1"/>
        <v>29.67</v>
      </c>
      <c r="L311" s="28" t="str">
        <f>TEXT(IFERROR(((K311-K312)/K312*100),"0.00"),"0.00")</f>
        <v>0.00</v>
      </c>
      <c r="M311" s="34">
        <f>(10+J311*3)</f>
        <v>19</v>
      </c>
      <c r="N311" s="28"/>
      <c r="O311" s="28"/>
      <c r="P311" s="28"/>
      <c r="Q311" s="28"/>
      <c r="R311" s="28"/>
    </row>
    <row r="312" spans="1:18" hidden="1" x14ac:dyDescent="0.25">
      <c r="A312" s="56"/>
      <c r="B312" s="8"/>
      <c r="C312" s="31" t="s">
        <v>173</v>
      </c>
      <c r="D312" s="31"/>
      <c r="E312" s="31"/>
      <c r="F312" s="31">
        <v>9.9499999999999993</v>
      </c>
      <c r="G312" s="31" t="str">
        <f t="shared" si="0"/>
        <v>USD,FLAT 9.95</v>
      </c>
      <c r="H312" s="36" t="str">
        <f>IFERROR(K312/J312,"0")</f>
        <v>0</v>
      </c>
      <c r="I312" s="31"/>
      <c r="J312" s="32"/>
      <c r="K312" s="36">
        <f t="shared" si="1"/>
        <v>0</v>
      </c>
      <c r="L312" s="31"/>
      <c r="M312" s="36"/>
      <c r="N312" s="31"/>
      <c r="O312" s="31"/>
      <c r="P312" s="31"/>
      <c r="Q312" s="31"/>
      <c r="R312" s="31"/>
    </row>
    <row r="313" spans="1:18" hidden="1" x14ac:dyDescent="0.25">
      <c r="A313" s="56"/>
      <c r="B313" s="8"/>
      <c r="C313" s="60" t="s">
        <v>174</v>
      </c>
      <c r="D313" s="64">
        <f>B298</f>
        <v>60</v>
      </c>
      <c r="E313" s="60"/>
      <c r="F313" s="60">
        <v>8.99</v>
      </c>
      <c r="G313" s="60" t="str">
        <f t="shared" si="0"/>
        <v>USD,FLAT 8.99</v>
      </c>
      <c r="H313" s="65">
        <f>K313/J313</f>
        <v>8.99</v>
      </c>
      <c r="I313" s="60" t="s">
        <v>22</v>
      </c>
      <c r="J313" s="61">
        <v>3</v>
      </c>
      <c r="K313" s="65">
        <f t="shared" si="1"/>
        <v>26.97</v>
      </c>
      <c r="L313" s="60" t="str">
        <f>TEXT(IFERROR(((K313-K314)/K314*100),"0.00"),"0.00")</f>
        <v>0.00</v>
      </c>
      <c r="M313" s="65">
        <f>(10+J313*3)</f>
        <v>19</v>
      </c>
      <c r="N313" s="60"/>
      <c r="O313" s="60"/>
      <c r="P313" s="60"/>
      <c r="Q313" s="60"/>
      <c r="R313" s="60"/>
    </row>
    <row r="314" spans="1:18" hidden="1" x14ac:dyDescent="0.25">
      <c r="A314" s="56"/>
      <c r="B314" s="8"/>
      <c r="C314" s="41" t="s">
        <v>175</v>
      </c>
      <c r="D314" s="41"/>
      <c r="E314" s="41"/>
      <c r="F314" s="97"/>
      <c r="G314" s="97"/>
      <c r="H314" s="98"/>
      <c r="I314" s="97"/>
      <c r="J314" s="99"/>
      <c r="K314" s="98"/>
      <c r="L314" s="97"/>
      <c r="M314" s="98"/>
      <c r="N314" s="41"/>
      <c r="O314" s="41"/>
      <c r="P314" s="41"/>
      <c r="Q314" s="41"/>
      <c r="R314" s="41"/>
    </row>
    <row r="315" spans="1:18" hidden="1" x14ac:dyDescent="0.25">
      <c r="A315" s="56" t="s">
        <v>184</v>
      </c>
      <c r="B315" s="8"/>
      <c r="C315" s="28" t="s">
        <v>178</v>
      </c>
      <c r="D315" s="67">
        <v>44197</v>
      </c>
      <c r="E315" s="68">
        <f>D317-1</f>
        <v>59</v>
      </c>
      <c r="F315" s="60">
        <v>111.08</v>
      </c>
      <c r="G315" s="28" t="str">
        <f t="shared" si="0"/>
        <v>USD,FLAT 111.08</v>
      </c>
      <c r="H315" s="34">
        <f>F315</f>
        <v>111.08</v>
      </c>
      <c r="I315" s="28"/>
      <c r="J315" s="30"/>
      <c r="K315" s="34">
        <f>(F315*5*5)</f>
        <v>2777</v>
      </c>
      <c r="L315" s="28" t="str">
        <f>TEXT(IFERROR(((K315-K316)/K316*100),"0.00"),"0.00")</f>
        <v>0.00</v>
      </c>
      <c r="M315" s="34">
        <v>0</v>
      </c>
      <c r="N315" s="28"/>
      <c r="O315" s="28"/>
      <c r="P315" s="28"/>
      <c r="Q315" s="28"/>
      <c r="R315" s="28"/>
    </row>
    <row r="316" spans="1:18" hidden="1" x14ac:dyDescent="0.25">
      <c r="A316" s="56"/>
      <c r="B316" s="8"/>
      <c r="C316" s="31" t="s">
        <v>173</v>
      </c>
      <c r="D316" s="31"/>
      <c r="E316" s="31"/>
      <c r="F316" s="31"/>
      <c r="G316" s="31"/>
      <c r="H316" s="36"/>
      <c r="I316" s="31"/>
      <c r="J316" s="32"/>
      <c r="K316" s="36"/>
      <c r="L316" s="31"/>
      <c r="M316" s="36"/>
      <c r="N316" s="31"/>
      <c r="O316" s="31"/>
      <c r="P316" s="31"/>
      <c r="Q316" s="31"/>
      <c r="R316" s="31"/>
    </row>
    <row r="317" spans="1:18" hidden="1" x14ac:dyDescent="0.25">
      <c r="A317" s="56"/>
      <c r="B317" s="8"/>
      <c r="C317" s="60" t="s">
        <v>174</v>
      </c>
      <c r="D317" s="64">
        <f>B298</f>
        <v>60</v>
      </c>
      <c r="E317" s="60"/>
      <c r="F317" s="60">
        <v>109.9</v>
      </c>
      <c r="G317" s="60" t="str">
        <f>CONCATENATE("USD,FLAT ",TEXT(F317,"0.00"))</f>
        <v>USD,FLAT 109.90</v>
      </c>
      <c r="H317" s="65">
        <f>F317</f>
        <v>109.9</v>
      </c>
      <c r="I317" s="60" t="s">
        <v>22</v>
      </c>
      <c r="J317" s="61"/>
      <c r="K317" s="65">
        <f>(F317*5*5)</f>
        <v>2747.5</v>
      </c>
      <c r="L317" s="60" t="str">
        <f>TEXT(IFERROR(((K317-K318)/K318*100),"0.00"),"0.00")</f>
        <v>0.00</v>
      </c>
      <c r="M317" s="65">
        <v>0</v>
      </c>
      <c r="N317" s="60"/>
      <c r="O317" s="60"/>
      <c r="P317" s="60"/>
      <c r="Q317" s="60"/>
      <c r="R317" s="60"/>
    </row>
    <row r="318" spans="1:18" hidden="1" x14ac:dyDescent="0.25">
      <c r="A318" s="56"/>
      <c r="B318" s="8"/>
      <c r="C318" s="41" t="s">
        <v>175</v>
      </c>
      <c r="D318" s="41"/>
      <c r="E318" s="41"/>
      <c r="F318" s="97"/>
      <c r="G318" s="97"/>
      <c r="H318" s="98"/>
      <c r="I318" s="97"/>
      <c r="J318" s="99"/>
      <c r="K318" s="98"/>
      <c r="L318" s="97"/>
      <c r="M318" s="98"/>
      <c r="N318" s="41"/>
      <c r="O318" s="41"/>
      <c r="P318" s="41"/>
      <c r="Q318" s="41"/>
      <c r="R318" s="41"/>
    </row>
    <row r="319" spans="1:18" hidden="1" x14ac:dyDescent="0.25">
      <c r="A319" s="56" t="s">
        <v>96</v>
      </c>
      <c r="B319" s="8"/>
      <c r="C319" s="28" t="s">
        <v>178</v>
      </c>
      <c r="D319" s="28"/>
      <c r="E319" s="28"/>
      <c r="F319" s="28">
        <v>276.25</v>
      </c>
      <c r="G319" s="28" t="str">
        <f>CONCATENATE("USD,FLAT ",TEXT(F319,"0.00"))</f>
        <v>USD,FLAT 276.25</v>
      </c>
      <c r="H319" s="34">
        <f>F319</f>
        <v>276.25</v>
      </c>
      <c r="I319" s="28"/>
      <c r="J319" s="30"/>
      <c r="K319" s="34">
        <f>(F319*5*5)</f>
        <v>6906.25</v>
      </c>
      <c r="L319" s="28" t="str">
        <f>TEXT(IFERROR(((K319-K320)/K320*100),"0.00"),"0.00")</f>
        <v>0.00</v>
      </c>
      <c r="M319" s="34">
        <v>0</v>
      </c>
      <c r="N319" s="28"/>
      <c r="O319" s="28"/>
      <c r="P319" s="28"/>
      <c r="Q319" s="28"/>
      <c r="R319" s="28"/>
    </row>
    <row r="320" spans="1:18" hidden="1" x14ac:dyDescent="0.25">
      <c r="A320" s="56"/>
      <c r="B320" s="8"/>
      <c r="C320" s="31" t="s">
        <v>173</v>
      </c>
      <c r="D320" s="31"/>
      <c r="E320" s="31"/>
      <c r="F320" s="31"/>
      <c r="G320" s="31"/>
      <c r="H320" s="36"/>
      <c r="I320" s="31"/>
      <c r="J320" s="32"/>
      <c r="K320" s="36"/>
      <c r="L320" s="31"/>
      <c r="M320" s="36"/>
      <c r="N320" s="31"/>
      <c r="O320" s="31"/>
      <c r="P320" s="31"/>
      <c r="Q320" s="31"/>
      <c r="R320" s="31"/>
    </row>
    <row r="321" spans="1:18" hidden="1" x14ac:dyDescent="0.25">
      <c r="A321" s="56"/>
      <c r="B321" s="8"/>
      <c r="C321" s="40" t="s">
        <v>174</v>
      </c>
      <c r="D321" s="40"/>
      <c r="E321" s="40"/>
      <c r="F321" s="40"/>
      <c r="G321" s="40"/>
      <c r="H321" s="40"/>
      <c r="I321" s="40"/>
      <c r="J321" s="40"/>
      <c r="K321" s="40"/>
      <c r="L321" s="40"/>
      <c r="M321" s="40"/>
      <c r="N321" s="40"/>
      <c r="O321" s="40"/>
      <c r="P321" s="40"/>
      <c r="Q321" s="40"/>
      <c r="R321" s="40"/>
    </row>
    <row r="322" spans="1:18" hidden="1" x14ac:dyDescent="0.25">
      <c r="A322" s="56"/>
      <c r="B322" s="8"/>
      <c r="C322" s="41" t="s">
        <v>175</v>
      </c>
      <c r="D322" s="41"/>
      <c r="E322" s="41"/>
      <c r="F322" s="41"/>
      <c r="G322" s="41"/>
      <c r="H322" s="41"/>
      <c r="I322" s="41"/>
      <c r="J322" s="41"/>
      <c r="K322" s="41"/>
      <c r="L322" s="41"/>
      <c r="M322" s="41"/>
      <c r="N322" s="41"/>
      <c r="O322" s="41"/>
      <c r="P322" s="41"/>
      <c r="Q322" s="41"/>
      <c r="R322" s="41"/>
    </row>
    <row r="323" spans="1:18" hidden="1" x14ac:dyDescent="0.25">
      <c r="A323" s="56" t="s">
        <v>171</v>
      </c>
      <c r="B323" s="49"/>
      <c r="C323" s="49" t="s">
        <v>178</v>
      </c>
      <c r="D323" s="49"/>
      <c r="E323" s="49"/>
      <c r="F323" s="49"/>
      <c r="G323" s="49"/>
      <c r="H323" s="49"/>
      <c r="I323" s="49"/>
      <c r="J323" s="50">
        <f>SUMIFS(J325:J336,C325:C336,C323)</f>
        <v>288000</v>
      </c>
      <c r="K323" s="51">
        <f>SUMIFS(K325:K336,C325:C336,C323)</f>
        <v>6092880</v>
      </c>
      <c r="L323" s="49"/>
      <c r="M323" s="51">
        <f>SUMIFS(M325:M336,C325:C336,C323)</f>
        <v>864030</v>
      </c>
      <c r="N323" s="49"/>
      <c r="O323" s="49"/>
      <c r="P323" s="49"/>
      <c r="Q323" s="49"/>
      <c r="R323" s="49"/>
    </row>
    <row r="324" spans="1:18" hidden="1" x14ac:dyDescent="0.25">
      <c r="A324" s="56" t="s">
        <v>171</v>
      </c>
      <c r="B324" s="49"/>
      <c r="C324" s="49" t="s">
        <v>173</v>
      </c>
      <c r="D324" s="49"/>
      <c r="E324" s="49"/>
      <c r="F324" s="49"/>
      <c r="G324" s="49"/>
      <c r="H324" s="49"/>
      <c r="I324" s="49"/>
      <c r="J324" s="50">
        <f>SUMIFS(J325:J336,C325:C336,C324)</f>
        <v>288000</v>
      </c>
      <c r="K324" s="51">
        <f>SUMIFS(K325:K334,C325:C334,C324)</f>
        <v>0</v>
      </c>
      <c r="L324" s="49"/>
      <c r="M324" s="51">
        <f>SUMIFS(M325:M334,C325:C334,C324)</f>
        <v>0</v>
      </c>
      <c r="N324" s="49"/>
      <c r="O324" s="49"/>
      <c r="P324" s="49"/>
      <c r="Q324" s="49"/>
      <c r="R324" s="49"/>
    </row>
    <row r="325" spans="1:18" ht="30" hidden="1" x14ac:dyDescent="0.25">
      <c r="A325" s="56" t="s">
        <v>97</v>
      </c>
      <c r="B325" s="8"/>
      <c r="C325" s="28" t="s">
        <v>178</v>
      </c>
      <c r="D325" s="67">
        <v>44197</v>
      </c>
      <c r="E325" s="68">
        <f>D327-1</f>
        <v>59</v>
      </c>
      <c r="F325" s="29" t="s">
        <v>188</v>
      </c>
      <c r="G325" s="28" t="s">
        <v>185</v>
      </c>
      <c r="H325" s="34">
        <f>K325/J325</f>
        <v>12.25</v>
      </c>
      <c r="I325" s="28" t="s">
        <v>22</v>
      </c>
      <c r="J325" s="30">
        <v>72000</v>
      </c>
      <c r="K325" s="34">
        <f>(1000*12.95+4000*12.15+1000*11.95)*12</f>
        <v>882000</v>
      </c>
      <c r="L325" s="28" t="str">
        <f>TEXT(IFERROR(((K325-K326)/K326*100),"0.00"),"0.00")</f>
        <v>0.00</v>
      </c>
      <c r="M325" s="34">
        <f>(10+J325*3)</f>
        <v>216010</v>
      </c>
      <c r="N325" s="33" t="s">
        <v>53</v>
      </c>
      <c r="O325" s="28" t="s">
        <v>190</v>
      </c>
      <c r="P325" s="28"/>
      <c r="Q325" s="28"/>
      <c r="R325" s="28"/>
    </row>
    <row r="326" spans="1:18" hidden="1" x14ac:dyDescent="0.25">
      <c r="A326" s="56"/>
      <c r="B326" s="8"/>
      <c r="C326" s="31" t="s">
        <v>173</v>
      </c>
      <c r="D326" s="31"/>
      <c r="E326" s="31"/>
      <c r="F326" s="31"/>
      <c r="G326" s="31"/>
      <c r="H326" s="36">
        <f>IFERROR(K326/J326,"0")</f>
        <v>0</v>
      </c>
      <c r="I326" s="31" t="s">
        <v>22</v>
      </c>
      <c r="J326" s="32">
        <v>72000</v>
      </c>
      <c r="K326" s="38">
        <v>0</v>
      </c>
      <c r="L326" s="31"/>
      <c r="M326" s="36"/>
      <c r="N326" s="31"/>
      <c r="O326" s="31"/>
      <c r="P326" s="31"/>
      <c r="Q326" s="31"/>
      <c r="R326" s="31"/>
    </row>
    <row r="327" spans="1:18" hidden="1" x14ac:dyDescent="0.25">
      <c r="A327" s="56"/>
      <c r="B327" s="8"/>
      <c r="C327" s="60" t="s">
        <v>174</v>
      </c>
      <c r="D327" s="64">
        <f>B298</f>
        <v>60</v>
      </c>
      <c r="E327" s="60"/>
      <c r="F327" s="60" t="s">
        <v>220</v>
      </c>
      <c r="G327" s="60" t="str">
        <f>CONCATENATE("USD,FLAT ",TEXT(F327,"0.00"))</f>
        <v>USD,FLAT 13.05,11.15,11.95</v>
      </c>
      <c r="H327" s="65">
        <f>K327/J327</f>
        <v>11.6</v>
      </c>
      <c r="I327" s="60" t="s">
        <v>22</v>
      </c>
      <c r="J327" s="61">
        <v>72000</v>
      </c>
      <c r="K327" s="65">
        <f>(1000*13.05+4000*11.15+1000*11.95)*12</f>
        <v>835200</v>
      </c>
      <c r="L327" s="60" t="str">
        <f>TEXT(IFERROR(((K327-K328)/K328*100),"0.00"),"0.00")</f>
        <v>0.00</v>
      </c>
      <c r="M327" s="65">
        <f>(10+J327*3)</f>
        <v>216010</v>
      </c>
      <c r="N327" s="60"/>
      <c r="O327" s="60"/>
      <c r="P327" s="60"/>
      <c r="Q327" s="60"/>
      <c r="R327" s="60"/>
    </row>
    <row r="328" spans="1:18" hidden="1" x14ac:dyDescent="0.25">
      <c r="A328" s="56"/>
      <c r="B328" s="8"/>
      <c r="C328" s="41" t="s">
        <v>175</v>
      </c>
      <c r="D328" s="41"/>
      <c r="E328" s="41"/>
      <c r="F328" s="41"/>
      <c r="G328" s="41"/>
      <c r="H328" s="41"/>
      <c r="I328" s="41"/>
      <c r="J328" s="41"/>
      <c r="K328" s="43"/>
      <c r="L328" s="41"/>
      <c r="M328" s="41"/>
      <c r="N328" s="41"/>
      <c r="O328" s="41"/>
      <c r="P328" s="41"/>
      <c r="Q328" s="41"/>
      <c r="R328" s="41"/>
    </row>
    <row r="329" spans="1:18" ht="30" hidden="1" x14ac:dyDescent="0.25">
      <c r="A329" s="56" t="s">
        <v>98</v>
      </c>
      <c r="B329" s="8"/>
      <c r="C329" s="28" t="s">
        <v>178</v>
      </c>
      <c r="D329" s="28"/>
      <c r="E329" s="28"/>
      <c r="F329" s="29" t="s">
        <v>188</v>
      </c>
      <c r="G329" s="28" t="s">
        <v>186</v>
      </c>
      <c r="H329" s="34">
        <f>K329/J329</f>
        <v>11.95</v>
      </c>
      <c r="I329" s="28" t="s">
        <v>22</v>
      </c>
      <c r="J329" s="30">
        <v>96000</v>
      </c>
      <c r="K329" s="34">
        <f>J329*11.95</f>
        <v>1147200</v>
      </c>
      <c r="L329" s="28" t="str">
        <f>TEXT(IFERROR(((K329-K330)/K330*100),"0.00"),"0.00")</f>
        <v>0.00</v>
      </c>
      <c r="M329" s="34">
        <f>(10+J329*3)</f>
        <v>288010</v>
      </c>
      <c r="N329" s="33" t="s">
        <v>53</v>
      </c>
      <c r="O329" s="28" t="s">
        <v>190</v>
      </c>
      <c r="P329" s="28"/>
      <c r="Q329" s="28"/>
      <c r="R329" s="28"/>
    </row>
    <row r="330" spans="1:18" hidden="1" x14ac:dyDescent="0.25">
      <c r="A330" s="56"/>
      <c r="B330" s="8"/>
      <c r="C330" s="31" t="s">
        <v>173</v>
      </c>
      <c r="D330" s="31"/>
      <c r="E330" s="31"/>
      <c r="F330" s="31"/>
      <c r="G330" s="31"/>
      <c r="H330" s="36">
        <f>IFERROR(K330/J330,"0")</f>
        <v>0</v>
      </c>
      <c r="I330" s="31" t="s">
        <v>22</v>
      </c>
      <c r="J330" s="32">
        <v>96000</v>
      </c>
      <c r="K330" s="38">
        <v>0</v>
      </c>
      <c r="L330" s="31"/>
      <c r="M330" s="31"/>
      <c r="N330" s="31"/>
      <c r="O330" s="31"/>
      <c r="P330" s="31"/>
      <c r="Q330" s="31"/>
      <c r="R330" s="31"/>
    </row>
    <row r="331" spans="1:18" hidden="1" x14ac:dyDescent="0.25">
      <c r="A331" s="56"/>
      <c r="B331" s="8"/>
      <c r="C331" s="40" t="s">
        <v>174</v>
      </c>
      <c r="D331" s="40"/>
      <c r="E331" s="40"/>
      <c r="F331" s="40"/>
      <c r="G331" s="40"/>
      <c r="H331" s="40"/>
      <c r="I331" s="40"/>
      <c r="J331" s="40"/>
      <c r="K331" s="42"/>
      <c r="L331" s="40"/>
      <c r="M331" s="40"/>
      <c r="N331" s="40"/>
      <c r="O331" s="40"/>
      <c r="P331" s="40"/>
      <c r="Q331" s="40"/>
      <c r="R331" s="40"/>
    </row>
    <row r="332" spans="1:18" hidden="1" x14ac:dyDescent="0.25">
      <c r="A332" s="56"/>
      <c r="B332" s="8"/>
      <c r="C332" s="41" t="s">
        <v>175</v>
      </c>
      <c r="D332" s="41"/>
      <c r="E332" s="41"/>
      <c r="F332" s="41"/>
      <c r="G332" s="41"/>
      <c r="H332" s="41"/>
      <c r="I332" s="41"/>
      <c r="J332" s="41"/>
      <c r="K332" s="43"/>
      <c r="L332" s="41"/>
      <c r="M332" s="41"/>
      <c r="N332" s="41"/>
      <c r="O332" s="41"/>
      <c r="P332" s="41"/>
      <c r="Q332" s="41"/>
      <c r="R332" s="41"/>
    </row>
    <row r="333" spans="1:18" ht="45" hidden="1" x14ac:dyDescent="0.25">
      <c r="A333" s="56" t="s">
        <v>99</v>
      </c>
      <c r="B333" s="8"/>
      <c r="C333" s="28" t="s">
        <v>178</v>
      </c>
      <c r="D333" s="28"/>
      <c r="E333" s="28"/>
      <c r="F333" s="29" t="s">
        <v>189</v>
      </c>
      <c r="G333" s="28" t="s">
        <v>187</v>
      </c>
      <c r="H333" s="34">
        <f>K333/J333</f>
        <v>33.863999999999997</v>
      </c>
      <c r="I333" s="28" t="s">
        <v>22</v>
      </c>
      <c r="J333" s="30">
        <v>120000</v>
      </c>
      <c r="K333" s="34">
        <f>'UC01 - CALCULATOIN'!C13</f>
        <v>4063680</v>
      </c>
      <c r="L333" s="28" t="str">
        <f>TEXT(IFERROR(((K333-K334)/K334*100),"0.00"),"0.00")</f>
        <v>0.00</v>
      </c>
      <c r="M333" s="34">
        <f>(10+J333*3)</f>
        <v>360010</v>
      </c>
      <c r="N333" s="33" t="s">
        <v>53</v>
      </c>
      <c r="O333" s="28" t="s">
        <v>190</v>
      </c>
      <c r="P333" s="28"/>
      <c r="Q333" s="28"/>
      <c r="R333" s="28"/>
    </row>
    <row r="334" spans="1:18" hidden="1" x14ac:dyDescent="0.25">
      <c r="A334" s="56"/>
      <c r="B334" s="8"/>
      <c r="C334" s="31" t="s">
        <v>173</v>
      </c>
      <c r="D334" s="31"/>
      <c r="E334" s="31"/>
      <c r="F334" s="31"/>
      <c r="G334" s="31"/>
      <c r="H334" s="36">
        <f>IFERROR(K334/J334,"0")</f>
        <v>0</v>
      </c>
      <c r="I334" s="31" t="s">
        <v>22</v>
      </c>
      <c r="J334" s="32">
        <v>120000</v>
      </c>
      <c r="K334" s="38">
        <v>0</v>
      </c>
      <c r="L334" s="31"/>
      <c r="M334" s="31"/>
      <c r="N334" s="31"/>
      <c r="O334" s="31"/>
      <c r="P334" s="31"/>
      <c r="Q334" s="31"/>
      <c r="R334" s="31"/>
    </row>
    <row r="335" spans="1:18" hidden="1" x14ac:dyDescent="0.25">
      <c r="A335" s="56"/>
      <c r="B335" s="8"/>
      <c r="C335" s="40" t="s">
        <v>174</v>
      </c>
      <c r="D335" s="40"/>
      <c r="E335" s="40"/>
      <c r="F335" s="40"/>
      <c r="G335" s="40"/>
      <c r="H335" s="40"/>
      <c r="I335" s="40"/>
      <c r="J335" s="40"/>
      <c r="K335" s="42"/>
      <c r="L335" s="40"/>
      <c r="M335" s="40"/>
      <c r="N335" s="40"/>
      <c r="O335" s="40"/>
      <c r="P335" s="40"/>
      <c r="Q335" s="40"/>
      <c r="R335" s="40"/>
    </row>
    <row r="336" spans="1:18" hidden="1" x14ac:dyDescent="0.25">
      <c r="A336" s="56"/>
      <c r="B336" s="8"/>
      <c r="C336" s="41" t="s">
        <v>175</v>
      </c>
      <c r="D336" s="41"/>
      <c r="E336" s="41"/>
      <c r="F336" s="41"/>
      <c r="G336" s="41"/>
      <c r="H336" s="41"/>
      <c r="I336" s="41"/>
      <c r="J336" s="41"/>
      <c r="K336" s="43"/>
      <c r="L336" s="41"/>
      <c r="M336" s="41"/>
      <c r="N336" s="41"/>
      <c r="O336" s="41"/>
      <c r="P336" s="41"/>
      <c r="Q336" s="41"/>
      <c r="R336" s="41"/>
    </row>
    <row r="337" spans="1:18" x14ac:dyDescent="0.25">
      <c r="A337" s="56" t="s">
        <v>172</v>
      </c>
      <c r="B337" s="49"/>
      <c r="C337" s="49" t="s">
        <v>178</v>
      </c>
      <c r="D337" s="49"/>
      <c r="E337" s="49"/>
      <c r="F337" s="49"/>
      <c r="G337" s="49"/>
      <c r="H337" s="49"/>
      <c r="I337" s="49"/>
      <c r="J337" s="50">
        <f>SUMIFS(J339:J370,C339:C370,C337)</f>
        <v>10</v>
      </c>
      <c r="K337" s="51">
        <f>SUMIFS(K339:K370,C339:C370,C337)</f>
        <v>3029.6500000000005</v>
      </c>
      <c r="L337" s="49"/>
      <c r="M337" s="51">
        <f>SUMIFS(M339:M370,C339:C370,C337)</f>
        <v>110</v>
      </c>
      <c r="N337" s="49"/>
      <c r="O337" s="49"/>
      <c r="P337" s="49"/>
      <c r="Q337" s="49"/>
      <c r="R337" s="49"/>
    </row>
    <row r="338" spans="1:18" x14ac:dyDescent="0.25">
      <c r="A338" s="56" t="s">
        <v>172</v>
      </c>
      <c r="B338" s="49"/>
      <c r="C338" s="49" t="s">
        <v>173</v>
      </c>
      <c r="D338" s="49"/>
      <c r="E338" s="49"/>
      <c r="F338" s="49"/>
      <c r="G338" s="49"/>
      <c r="H338" s="49"/>
      <c r="I338" s="49"/>
      <c r="J338" s="50">
        <f>SUMIFS(J339:J370,C339:C370,C338)</f>
        <v>0</v>
      </c>
      <c r="K338" s="51">
        <f>SUMIFS(K339:K370,C339:C370,C338)</f>
        <v>0</v>
      </c>
      <c r="L338" s="49"/>
      <c r="M338" s="51">
        <f>SUMIFS(M339:M370,C339:C370,C338)</f>
        <v>0</v>
      </c>
      <c r="N338" s="49"/>
      <c r="O338" s="49"/>
      <c r="P338" s="49"/>
      <c r="Q338" s="49"/>
      <c r="R338" s="49"/>
    </row>
    <row r="339" spans="1:18" ht="13.7" customHeight="1" x14ac:dyDescent="0.25">
      <c r="A339" s="56" t="s">
        <v>100</v>
      </c>
      <c r="B339" s="8"/>
      <c r="C339" s="28" t="s">
        <v>178</v>
      </c>
      <c r="D339" s="28"/>
      <c r="E339" s="28"/>
      <c r="F339" s="62">
        <v>0.14000000000000001</v>
      </c>
      <c r="G339" s="28" t="str">
        <f>CONCATENATE("USD,FLAT ",TEXT(F339,"0.00"))</f>
        <v>USD,FLAT 0.14</v>
      </c>
      <c r="H339" s="34">
        <f>(K339/J339)</f>
        <v>1500.14</v>
      </c>
      <c r="I339" s="28" t="s">
        <v>22</v>
      </c>
      <c r="J339" s="61">
        <v>2</v>
      </c>
      <c r="K339" s="37">
        <f>J339*F339+3000</f>
        <v>3000.28</v>
      </c>
      <c r="L339" s="28" t="str">
        <f>TEXT(IFERROR(((K339-K340)/K340*100),"0.00"),"0.00")</f>
        <v>0.00</v>
      </c>
      <c r="M339" s="34">
        <f>(10+J339*3)</f>
        <v>16</v>
      </c>
      <c r="N339" s="28"/>
      <c r="O339" s="28"/>
      <c r="P339" s="28"/>
      <c r="Q339" s="28"/>
      <c r="R339" s="28"/>
    </row>
    <row r="340" spans="1:18" x14ac:dyDescent="0.25">
      <c r="A340" s="56"/>
      <c r="B340" s="8"/>
      <c r="C340" s="31" t="s">
        <v>173</v>
      </c>
      <c r="D340" s="31"/>
      <c r="E340" s="31"/>
      <c r="F340" s="31"/>
      <c r="G340" s="31"/>
      <c r="H340" s="36" t="str">
        <f>IFERROR(K340/J340,"0")</f>
        <v>0</v>
      </c>
      <c r="I340" s="31"/>
      <c r="J340" s="32"/>
      <c r="K340" s="38"/>
      <c r="L340" s="31"/>
      <c r="M340" s="31"/>
      <c r="N340" s="31"/>
      <c r="O340" s="31"/>
      <c r="P340" s="31"/>
      <c r="Q340" s="31"/>
      <c r="R340" s="31"/>
    </row>
    <row r="341" spans="1:18" x14ac:dyDescent="0.25">
      <c r="A341" s="56"/>
      <c r="B341" s="8"/>
      <c r="C341" s="40" t="s">
        <v>174</v>
      </c>
      <c r="D341" s="40"/>
      <c r="E341" s="40"/>
      <c r="F341" s="40"/>
      <c r="G341" s="40"/>
      <c r="H341" s="40"/>
      <c r="I341" s="40"/>
      <c r="J341" s="40"/>
      <c r="K341" s="42"/>
      <c r="L341" s="40"/>
      <c r="M341" s="40"/>
      <c r="N341" s="40"/>
      <c r="O341" s="40"/>
      <c r="P341" s="40"/>
      <c r="Q341" s="40"/>
      <c r="R341" s="40"/>
    </row>
    <row r="342" spans="1:18" x14ac:dyDescent="0.25">
      <c r="A342" s="56"/>
      <c r="B342" s="8"/>
      <c r="C342" s="41" t="s">
        <v>175</v>
      </c>
      <c r="D342" s="41"/>
      <c r="E342" s="41"/>
      <c r="F342" s="97">
        <v>0.11</v>
      </c>
      <c r="G342" s="97" t="str">
        <f>CONCATENATE("USD,FLAT ",TEXT(F342,"0.00"))</f>
        <v>USD,FLAT 0.11</v>
      </c>
      <c r="H342" s="98">
        <f>K342/J342</f>
        <v>1500.11</v>
      </c>
      <c r="I342" s="97"/>
      <c r="J342" s="99">
        <v>2</v>
      </c>
      <c r="K342" s="100">
        <f>J342*F342+3000</f>
        <v>3000.22</v>
      </c>
      <c r="L342" s="97" t="str">
        <f>TEXT(IFERROR(((K342-K340)/K340*100),"0.00"),"0.00")</f>
        <v>0.00</v>
      </c>
      <c r="M342" s="98"/>
      <c r="N342" s="41"/>
      <c r="O342" s="41"/>
      <c r="P342" s="41"/>
      <c r="Q342" s="41"/>
      <c r="R342" s="41"/>
    </row>
    <row r="343" spans="1:18" hidden="1" x14ac:dyDescent="0.25">
      <c r="A343" s="56" t="s">
        <v>101</v>
      </c>
      <c r="B343" s="8"/>
      <c r="C343" s="28" t="s">
        <v>178</v>
      </c>
      <c r="D343" s="28"/>
      <c r="E343" s="28"/>
      <c r="F343" s="62">
        <v>1.99</v>
      </c>
      <c r="G343" s="28" t="str">
        <f>CONCATENATE("USD,FLAT ",TEXT(F343,"0.00"))</f>
        <v>USD,FLAT 1.99</v>
      </c>
      <c r="H343" s="34">
        <f>K343/J343</f>
        <v>1.99</v>
      </c>
      <c r="I343" s="28" t="s">
        <v>22</v>
      </c>
      <c r="J343" s="61">
        <v>2</v>
      </c>
      <c r="K343" s="37">
        <f>J343*F343</f>
        <v>3.98</v>
      </c>
      <c r="L343" s="28" t="str">
        <f>TEXT(IFERROR(((K343-K344)/K344*100),"0.00"),"0.00")</f>
        <v>0.00</v>
      </c>
      <c r="M343" s="34">
        <f>(10+J343*3)</f>
        <v>16</v>
      </c>
      <c r="N343" s="28"/>
      <c r="O343" s="28"/>
      <c r="P343" s="28"/>
      <c r="Q343" s="28"/>
      <c r="R343" s="28"/>
    </row>
    <row r="344" spans="1:18" hidden="1" x14ac:dyDescent="0.25">
      <c r="A344" s="56"/>
      <c r="B344" s="8"/>
      <c r="C344" s="31" t="s">
        <v>173</v>
      </c>
      <c r="D344" s="31"/>
      <c r="E344" s="31"/>
      <c r="F344" s="31"/>
      <c r="G344" s="31"/>
      <c r="H344" s="36" t="str">
        <f>IFERROR(K344/J344,"0")</f>
        <v>0</v>
      </c>
      <c r="I344" s="31"/>
      <c r="J344" s="32"/>
      <c r="K344" s="38"/>
      <c r="L344" s="31"/>
      <c r="M344" s="31"/>
      <c r="N344" s="31"/>
      <c r="O344" s="31"/>
      <c r="P344" s="31"/>
      <c r="Q344" s="31"/>
      <c r="R344" s="31"/>
    </row>
    <row r="345" spans="1:18" hidden="1" x14ac:dyDescent="0.25">
      <c r="A345" s="56"/>
      <c r="B345" s="8"/>
      <c r="C345" s="40" t="s">
        <v>174</v>
      </c>
      <c r="D345" s="40"/>
      <c r="E345" s="40"/>
      <c r="F345" s="40"/>
      <c r="G345" s="40"/>
      <c r="H345" s="40"/>
      <c r="I345" s="40"/>
      <c r="J345" s="40"/>
      <c r="K345" s="42"/>
      <c r="L345" s="40"/>
      <c r="M345" s="40"/>
      <c r="N345" s="40"/>
      <c r="O345" s="40"/>
      <c r="P345" s="40"/>
      <c r="Q345" s="40"/>
      <c r="R345" s="40"/>
    </row>
    <row r="346" spans="1:18" hidden="1" x14ac:dyDescent="0.25">
      <c r="A346" s="56"/>
      <c r="B346" s="8"/>
      <c r="C346" s="41" t="s">
        <v>175</v>
      </c>
      <c r="D346" s="41"/>
      <c r="E346" s="41"/>
      <c r="F346" s="97"/>
      <c r="G346" s="97"/>
      <c r="H346" s="98"/>
      <c r="I346" s="97"/>
      <c r="J346" s="99"/>
      <c r="K346" s="100"/>
      <c r="L346" s="97"/>
      <c r="M346" s="98"/>
      <c r="N346" s="41"/>
      <c r="O346" s="41"/>
      <c r="P346" s="41"/>
      <c r="Q346" s="41"/>
      <c r="R346" s="41"/>
    </row>
    <row r="347" spans="1:18" hidden="1" x14ac:dyDescent="0.25">
      <c r="A347" s="56" t="s">
        <v>101</v>
      </c>
      <c r="B347" s="8" t="s">
        <v>50</v>
      </c>
      <c r="C347" s="28" t="s">
        <v>178</v>
      </c>
      <c r="D347" s="28"/>
      <c r="E347" s="28"/>
      <c r="F347" s="37">
        <v>0.75</v>
      </c>
      <c r="G347" s="28" t="str">
        <f>CONCATENATE("USD,FLAT ",TEXT(F347,"0.00"))</f>
        <v>USD,FLAT 0.75</v>
      </c>
      <c r="H347" s="34">
        <f>K347/J347</f>
        <v>0.75</v>
      </c>
      <c r="I347" s="28" t="s">
        <v>22</v>
      </c>
      <c r="J347" s="30">
        <v>1</v>
      </c>
      <c r="K347" s="37">
        <f>J347*F347</f>
        <v>0.75</v>
      </c>
      <c r="L347" s="28" t="str">
        <f>TEXT(IFERROR(((K347-K348)/K348*100),"0.00"),"0.00")</f>
        <v>0.00</v>
      </c>
      <c r="M347" s="34">
        <f>(10+J347*3)</f>
        <v>13</v>
      </c>
      <c r="N347" s="28"/>
      <c r="O347" s="28"/>
      <c r="P347" s="28"/>
      <c r="Q347" s="28"/>
      <c r="R347" s="28"/>
    </row>
    <row r="348" spans="1:18" hidden="1" x14ac:dyDescent="0.25">
      <c r="A348" s="56"/>
      <c r="B348" s="8"/>
      <c r="C348" s="31" t="s">
        <v>173</v>
      </c>
      <c r="D348" s="31"/>
      <c r="E348" s="31"/>
      <c r="F348" s="31"/>
      <c r="G348" s="31"/>
      <c r="H348" s="36" t="str">
        <f>IFERROR(K348/J348,"0")</f>
        <v>0</v>
      </c>
      <c r="I348" s="31"/>
      <c r="J348" s="32"/>
      <c r="K348" s="38"/>
      <c r="L348" s="31"/>
      <c r="M348" s="31"/>
      <c r="N348" s="31"/>
      <c r="O348" s="31"/>
      <c r="P348" s="31"/>
      <c r="Q348" s="31"/>
      <c r="R348" s="31"/>
    </row>
    <row r="349" spans="1:18" hidden="1" x14ac:dyDescent="0.25">
      <c r="A349" s="56"/>
      <c r="B349" s="8"/>
      <c r="C349" s="40" t="s">
        <v>174</v>
      </c>
      <c r="D349" s="40"/>
      <c r="E349" s="40"/>
      <c r="F349" s="40"/>
      <c r="G349" s="40"/>
      <c r="H349" s="40"/>
      <c r="I349" s="40"/>
      <c r="J349" s="40"/>
      <c r="K349" s="42"/>
      <c r="L349" s="40"/>
      <c r="M349" s="40"/>
      <c r="N349" s="40"/>
      <c r="O349" s="40"/>
      <c r="P349" s="40"/>
      <c r="Q349" s="40"/>
      <c r="R349" s="40"/>
    </row>
    <row r="350" spans="1:18" hidden="1" x14ac:dyDescent="0.25">
      <c r="A350" s="56"/>
      <c r="B350" s="8"/>
      <c r="C350" s="41" t="s">
        <v>175</v>
      </c>
      <c r="D350" s="41"/>
      <c r="E350" s="41"/>
      <c r="F350" s="41"/>
      <c r="G350" s="41"/>
      <c r="H350" s="41"/>
      <c r="I350" s="41"/>
      <c r="J350" s="41"/>
      <c r="K350" s="43"/>
      <c r="L350" s="41"/>
      <c r="M350" s="41"/>
      <c r="N350" s="41"/>
      <c r="O350" s="41"/>
      <c r="P350" s="41"/>
      <c r="Q350" s="41"/>
      <c r="R350" s="41"/>
    </row>
    <row r="351" spans="1:18" hidden="1" x14ac:dyDescent="0.25">
      <c r="A351" s="56" t="s">
        <v>101</v>
      </c>
      <c r="B351" s="8" t="s">
        <v>179</v>
      </c>
      <c r="C351" s="28" t="s">
        <v>178</v>
      </c>
      <c r="D351" s="28"/>
      <c r="E351" s="28"/>
      <c r="F351" s="37">
        <v>0.3</v>
      </c>
      <c r="G351" s="28" t="str">
        <f>CONCATENATE("USD,FLAT ",TEXT(F351,"0.00"))</f>
        <v>USD,FLAT 0.30</v>
      </c>
      <c r="H351" s="34">
        <f>K351/J351</f>
        <v>0.3</v>
      </c>
      <c r="I351" s="28" t="s">
        <v>22</v>
      </c>
      <c r="J351" s="30">
        <v>1</v>
      </c>
      <c r="K351" s="37">
        <f>J351*F351</f>
        <v>0.3</v>
      </c>
      <c r="L351" s="28" t="str">
        <f>TEXT(IFERROR(((K351-K352)/K352*100),"0.00"),"0.00")</f>
        <v>0.00</v>
      </c>
      <c r="M351" s="34">
        <f>(10+J351*3)</f>
        <v>13</v>
      </c>
      <c r="N351" s="28"/>
      <c r="O351" s="28"/>
      <c r="P351" s="28"/>
      <c r="Q351" s="28"/>
      <c r="R351" s="28"/>
    </row>
    <row r="352" spans="1:18" hidden="1" x14ac:dyDescent="0.25">
      <c r="A352" s="56"/>
      <c r="B352" s="8"/>
      <c r="C352" s="31" t="s">
        <v>173</v>
      </c>
      <c r="D352" s="31"/>
      <c r="E352" s="31"/>
      <c r="F352" s="31"/>
      <c r="G352" s="31"/>
      <c r="H352" s="36" t="str">
        <f>IFERROR(K352/J352,"0")</f>
        <v>0</v>
      </c>
      <c r="I352" s="31"/>
      <c r="J352" s="32"/>
      <c r="K352" s="38"/>
      <c r="L352" s="31"/>
      <c r="M352" s="31"/>
      <c r="N352" s="31"/>
      <c r="O352" s="31"/>
      <c r="P352" s="31"/>
      <c r="Q352" s="31"/>
      <c r="R352" s="31"/>
    </row>
    <row r="353" spans="1:18" hidden="1" x14ac:dyDescent="0.25">
      <c r="A353" s="56"/>
      <c r="B353" s="8"/>
      <c r="C353" s="40" t="s">
        <v>174</v>
      </c>
      <c r="D353" s="40"/>
      <c r="E353" s="40"/>
      <c r="F353" s="40"/>
      <c r="G353" s="40"/>
      <c r="H353" s="40"/>
      <c r="I353" s="40"/>
      <c r="J353" s="40"/>
      <c r="K353" s="42"/>
      <c r="L353" s="40"/>
      <c r="M353" s="40"/>
      <c r="N353" s="40"/>
      <c r="O353" s="40"/>
      <c r="P353" s="40"/>
      <c r="Q353" s="40"/>
      <c r="R353" s="40"/>
    </row>
    <row r="354" spans="1:18" hidden="1" x14ac:dyDescent="0.25">
      <c r="A354" s="56"/>
      <c r="B354" s="8"/>
      <c r="C354" s="41" t="s">
        <v>175</v>
      </c>
      <c r="D354" s="41"/>
      <c r="E354" s="41"/>
      <c r="F354" s="41"/>
      <c r="G354" s="41"/>
      <c r="H354" s="41"/>
      <c r="I354" s="41"/>
      <c r="J354" s="41"/>
      <c r="K354" s="43"/>
      <c r="L354" s="41"/>
      <c r="M354" s="41"/>
      <c r="N354" s="41"/>
      <c r="O354" s="41"/>
      <c r="P354" s="41"/>
      <c r="Q354" s="41"/>
      <c r="R354" s="41"/>
    </row>
    <row r="355" spans="1:18" hidden="1" x14ac:dyDescent="0.25">
      <c r="A355" s="56" t="s">
        <v>101</v>
      </c>
      <c r="B355" s="8" t="s">
        <v>4</v>
      </c>
      <c r="C355" s="28" t="s">
        <v>178</v>
      </c>
      <c r="D355" s="28"/>
      <c r="E355" s="28"/>
      <c r="F355" s="37">
        <v>6.67</v>
      </c>
      <c r="G355" s="28" t="str">
        <f>CONCATENATE("USD,FLAT ",TEXT(F355,"0.00"))</f>
        <v>USD,FLAT 6.67</v>
      </c>
      <c r="H355" s="34">
        <f>K355/J355</f>
        <v>6.67</v>
      </c>
      <c r="I355" s="28" t="s">
        <v>22</v>
      </c>
      <c r="J355" s="30">
        <v>1</v>
      </c>
      <c r="K355" s="37">
        <f>J355*F355</f>
        <v>6.67</v>
      </c>
      <c r="L355" s="37" t="str">
        <f>IFERROR(((K355-K356)/K356*100),"0.00")</f>
        <v>0.00</v>
      </c>
      <c r="M355" s="34">
        <f>(10+J355*3)</f>
        <v>13</v>
      </c>
      <c r="N355" s="28"/>
      <c r="O355" s="28"/>
      <c r="P355" s="28"/>
      <c r="Q355" s="28"/>
      <c r="R355" s="28"/>
    </row>
    <row r="356" spans="1:18" hidden="1" x14ac:dyDescent="0.25">
      <c r="A356" s="56"/>
      <c r="B356" s="8"/>
      <c r="C356" s="31" t="s">
        <v>173</v>
      </c>
      <c r="D356" s="31"/>
      <c r="E356" s="31"/>
      <c r="F356" s="31"/>
      <c r="G356" s="31"/>
      <c r="H356" s="36" t="str">
        <f>IFERROR(K356/J356,"0")</f>
        <v>0</v>
      </c>
      <c r="I356" s="31"/>
      <c r="J356" s="32"/>
      <c r="K356" s="38"/>
      <c r="L356" s="31"/>
      <c r="M356" s="31"/>
      <c r="N356" s="31"/>
      <c r="O356" s="31"/>
      <c r="P356" s="31"/>
      <c r="Q356" s="31"/>
      <c r="R356" s="31"/>
    </row>
    <row r="357" spans="1:18" hidden="1" x14ac:dyDescent="0.25">
      <c r="A357" s="56"/>
      <c r="B357" s="8"/>
      <c r="C357" s="40" t="s">
        <v>174</v>
      </c>
      <c r="D357" s="40"/>
      <c r="E357" s="40"/>
      <c r="F357" s="40"/>
      <c r="G357" s="40"/>
      <c r="H357" s="40"/>
      <c r="I357" s="40"/>
      <c r="J357" s="40"/>
      <c r="K357" s="42"/>
      <c r="L357" s="40"/>
      <c r="M357" s="40"/>
      <c r="N357" s="40"/>
      <c r="O357" s="40"/>
      <c r="P357" s="40"/>
      <c r="Q357" s="40"/>
      <c r="R357" s="40"/>
    </row>
    <row r="358" spans="1:18" hidden="1" x14ac:dyDescent="0.25">
      <c r="A358" s="56"/>
      <c r="B358" s="8"/>
      <c r="C358" s="41" t="s">
        <v>175</v>
      </c>
      <c r="D358" s="41"/>
      <c r="E358" s="41"/>
      <c r="F358" s="41"/>
      <c r="G358" s="41"/>
      <c r="H358" s="41"/>
      <c r="I358" s="41"/>
      <c r="J358" s="41"/>
      <c r="K358" s="43"/>
      <c r="L358" s="41"/>
      <c r="M358" s="41"/>
      <c r="N358" s="41"/>
      <c r="O358" s="41"/>
      <c r="P358" s="41"/>
      <c r="Q358" s="41"/>
      <c r="R358" s="41"/>
    </row>
    <row r="359" spans="1:18" x14ac:dyDescent="0.25">
      <c r="A359" s="160" t="s">
        <v>102</v>
      </c>
      <c r="B359" s="8"/>
      <c r="C359" s="28" t="s">
        <v>178</v>
      </c>
      <c r="D359" s="28"/>
      <c r="E359" s="28"/>
      <c r="F359" s="37">
        <v>0.4</v>
      </c>
      <c r="G359" s="28" t="str">
        <f>CONCATENATE("USD,FLAT ",TEXT(F359,"0.00"))</f>
        <v>USD,FLAT 0.40</v>
      </c>
      <c r="H359" s="34">
        <f>K359/J359</f>
        <v>0.4</v>
      </c>
      <c r="I359" s="28" t="s">
        <v>22</v>
      </c>
      <c r="J359" s="30">
        <v>1</v>
      </c>
      <c r="K359" s="37">
        <f>J359*F359</f>
        <v>0.4</v>
      </c>
      <c r="L359" s="28" t="str">
        <f>TEXT(IFERROR(((K359-K360)/K360*100),"0.00"),"0.00")</f>
        <v>0.00</v>
      </c>
      <c r="M359" s="34">
        <f>(10+J359*3)</f>
        <v>13</v>
      </c>
      <c r="N359" s="28"/>
      <c r="O359" s="28"/>
      <c r="P359" s="28"/>
      <c r="Q359" s="28"/>
      <c r="R359" s="28"/>
    </row>
    <row r="360" spans="1:18" x14ac:dyDescent="0.25">
      <c r="A360" s="56"/>
      <c r="B360" s="8"/>
      <c r="C360" s="31" t="s">
        <v>173</v>
      </c>
      <c r="D360" s="31"/>
      <c r="E360" s="31"/>
      <c r="F360" s="31"/>
      <c r="G360" s="31"/>
      <c r="H360" s="36" t="str">
        <f>IFERROR(K360/J360,"0")</f>
        <v>0</v>
      </c>
      <c r="I360" s="31"/>
      <c r="J360" s="32"/>
      <c r="K360" s="38"/>
      <c r="L360" s="31"/>
      <c r="M360" s="31"/>
      <c r="N360" s="31"/>
      <c r="O360" s="31"/>
      <c r="P360" s="31"/>
      <c r="Q360" s="31"/>
      <c r="R360" s="31"/>
    </row>
    <row r="361" spans="1:18" x14ac:dyDescent="0.25">
      <c r="A361" s="56"/>
      <c r="B361" s="8"/>
      <c r="C361" s="40" t="s">
        <v>174</v>
      </c>
      <c r="D361" s="40"/>
      <c r="E361" s="40"/>
      <c r="F361" s="40"/>
      <c r="G361" s="40"/>
      <c r="H361" s="40"/>
      <c r="I361" s="40"/>
      <c r="J361" s="40"/>
      <c r="K361" s="42"/>
      <c r="L361" s="40"/>
      <c r="M361" s="40"/>
      <c r="N361" s="40"/>
      <c r="O361" s="40"/>
      <c r="P361" s="40"/>
      <c r="Q361" s="40"/>
      <c r="R361" s="40"/>
    </row>
    <row r="362" spans="1:18" x14ac:dyDescent="0.25">
      <c r="A362" s="56"/>
      <c r="B362" s="8"/>
      <c r="C362" s="41" t="s">
        <v>175</v>
      </c>
      <c r="D362" s="41"/>
      <c r="E362" s="41"/>
      <c r="F362" s="41">
        <v>0.32</v>
      </c>
      <c r="G362" s="97" t="str">
        <f>CONCATENATE("USD,FLAT ",TEXT(F362,"0.00"))</f>
        <v>USD,FLAT 0.32</v>
      </c>
      <c r="H362" s="98">
        <f>K362/J362</f>
        <v>0.32</v>
      </c>
      <c r="I362" s="97"/>
      <c r="J362" s="99">
        <v>1</v>
      </c>
      <c r="K362" s="100">
        <f>J362*F362</f>
        <v>0.32</v>
      </c>
      <c r="L362" s="97" t="str">
        <f>TEXT(IFERROR(((K362-K360)/K360*100),"0.00"),"0.00")</f>
        <v>0.00</v>
      </c>
      <c r="M362" s="41"/>
      <c r="N362" s="41"/>
      <c r="O362" s="41"/>
      <c r="P362" s="41"/>
      <c r="Q362" s="41"/>
      <c r="R362" s="41"/>
    </row>
    <row r="363" spans="1:18" hidden="1" x14ac:dyDescent="0.25">
      <c r="A363" s="56" t="s">
        <v>103</v>
      </c>
      <c r="B363" s="8"/>
      <c r="C363" s="28" t="s">
        <v>178</v>
      </c>
      <c r="D363" s="28"/>
      <c r="E363" s="28"/>
      <c r="F363" s="37">
        <v>0.6</v>
      </c>
      <c r="G363" s="28" t="str">
        <f>CONCATENATE("USD,FLAT ",TEXT(F363,"0.00"))</f>
        <v>USD,FLAT 0.60</v>
      </c>
      <c r="H363" s="34">
        <f>K363/J363</f>
        <v>0.6</v>
      </c>
      <c r="I363" s="28" t="s">
        <v>22</v>
      </c>
      <c r="J363" s="30">
        <v>1</v>
      </c>
      <c r="K363" s="37">
        <f>J363*F363</f>
        <v>0.6</v>
      </c>
      <c r="L363" s="28" t="str">
        <f>TEXT(IFERROR(((K363-K364)/K364*100),"0.00"),"0.00")</f>
        <v>0.00</v>
      </c>
      <c r="M363" s="34">
        <f>(10+J363*3)</f>
        <v>13</v>
      </c>
      <c r="N363" s="28"/>
      <c r="O363" s="28"/>
      <c r="P363" s="28"/>
      <c r="Q363" s="28"/>
      <c r="R363" s="28"/>
    </row>
    <row r="364" spans="1:18" hidden="1" x14ac:dyDescent="0.25">
      <c r="A364" s="8"/>
      <c r="B364" s="8"/>
      <c r="C364" s="31" t="s">
        <v>173</v>
      </c>
      <c r="D364" s="31"/>
      <c r="E364" s="31"/>
      <c r="F364" s="31"/>
      <c r="G364" s="31"/>
      <c r="H364" s="36" t="str">
        <f>IFERROR(K364/J364,"0")</f>
        <v>0</v>
      </c>
      <c r="I364" s="31"/>
      <c r="J364" s="32"/>
      <c r="K364" s="38"/>
      <c r="L364" s="31"/>
      <c r="M364" s="31"/>
      <c r="N364" s="31"/>
      <c r="O364" s="31"/>
      <c r="P364" s="31"/>
      <c r="Q364" s="31"/>
      <c r="R364" s="31"/>
    </row>
    <row r="365" spans="1:18" hidden="1" x14ac:dyDescent="0.25">
      <c r="A365" s="8"/>
      <c r="B365" s="8"/>
      <c r="C365" s="40" t="s">
        <v>174</v>
      </c>
      <c r="D365" s="40"/>
      <c r="E365" s="40"/>
      <c r="F365" s="40"/>
      <c r="G365" s="40"/>
      <c r="H365" s="40"/>
      <c r="I365" s="40"/>
      <c r="J365" s="40"/>
      <c r="K365" s="42"/>
      <c r="L365" s="40"/>
      <c r="M365" s="40"/>
      <c r="N365" s="40"/>
      <c r="O365" s="40"/>
      <c r="P365" s="40"/>
      <c r="Q365" s="40"/>
      <c r="R365" s="40"/>
    </row>
    <row r="366" spans="1:18" hidden="1" x14ac:dyDescent="0.25">
      <c r="A366" s="8"/>
      <c r="B366" s="8"/>
      <c r="C366" s="41" t="s">
        <v>175</v>
      </c>
      <c r="D366" s="41"/>
      <c r="E366" s="41"/>
      <c r="F366" s="97"/>
      <c r="G366" s="97"/>
      <c r="H366" s="98"/>
      <c r="I366" s="97"/>
      <c r="J366" s="99"/>
      <c r="K366" s="98"/>
      <c r="L366" s="97"/>
      <c r="M366" s="98"/>
      <c r="N366" s="41"/>
      <c r="O366" s="41"/>
      <c r="P366" s="41"/>
      <c r="Q366" s="41"/>
      <c r="R366" s="41"/>
    </row>
    <row r="367" spans="1:18" hidden="1" x14ac:dyDescent="0.25">
      <c r="A367" s="59" t="s">
        <v>104</v>
      </c>
      <c r="B367" s="44"/>
      <c r="C367" s="28" t="s">
        <v>178</v>
      </c>
      <c r="D367" s="28"/>
      <c r="E367" s="28"/>
      <c r="F367" s="60">
        <v>16.670000000000002</v>
      </c>
      <c r="G367" s="28" t="str">
        <f>CONCATENATE("USD,FLAT ",TEXT(F367,"0.00"))</f>
        <v>USD,FLAT 16.67</v>
      </c>
      <c r="H367" s="34">
        <f>K367/J367</f>
        <v>16.670000000000002</v>
      </c>
      <c r="I367" s="28" t="s">
        <v>22</v>
      </c>
      <c r="J367" s="30">
        <v>1</v>
      </c>
      <c r="K367" s="37">
        <f>J367*F367</f>
        <v>16.670000000000002</v>
      </c>
      <c r="L367" s="28" t="str">
        <f>TEXT(IFERROR(((K367-K368)/K368*100),"0.00"),"0.00")</f>
        <v>0.00</v>
      </c>
      <c r="M367" s="34">
        <f>(10+J367*3)</f>
        <v>13</v>
      </c>
      <c r="N367" s="28"/>
      <c r="O367" s="28"/>
      <c r="P367" s="28"/>
      <c r="Q367" s="28"/>
      <c r="R367" s="28"/>
    </row>
    <row r="368" spans="1:18" hidden="1" x14ac:dyDescent="0.25">
      <c r="A368" s="8"/>
      <c r="B368" s="44"/>
      <c r="C368" s="31" t="s">
        <v>173</v>
      </c>
      <c r="D368" s="31"/>
      <c r="E368" s="31"/>
      <c r="F368" s="31"/>
      <c r="G368" s="31"/>
      <c r="H368" s="36" t="str">
        <f>IFERROR(K368/J368,"0")</f>
        <v>0</v>
      </c>
      <c r="I368" s="31"/>
      <c r="J368" s="32"/>
      <c r="K368" s="38"/>
      <c r="L368" s="31"/>
      <c r="M368" s="31"/>
      <c r="N368" s="31"/>
      <c r="O368" s="31"/>
      <c r="P368" s="31"/>
      <c r="Q368" s="31"/>
      <c r="R368" s="31"/>
    </row>
    <row r="369" spans="1:18" hidden="1" x14ac:dyDescent="0.25">
      <c r="A369" s="8"/>
      <c r="B369" s="44"/>
      <c r="C369" s="40" t="s">
        <v>174</v>
      </c>
      <c r="D369" s="40"/>
      <c r="E369" s="40"/>
      <c r="F369" s="40"/>
      <c r="G369" s="40"/>
      <c r="H369" s="40"/>
      <c r="I369" s="40"/>
      <c r="J369" s="40"/>
      <c r="K369" s="42"/>
      <c r="L369" s="40"/>
      <c r="M369" s="40"/>
      <c r="N369" s="40"/>
      <c r="O369" s="40"/>
      <c r="P369" s="40"/>
      <c r="Q369" s="40"/>
      <c r="R369" s="40"/>
    </row>
    <row r="370" spans="1:18" hidden="1" x14ac:dyDescent="0.25">
      <c r="A370" s="8"/>
      <c r="B370" s="44"/>
      <c r="C370" s="41" t="s">
        <v>175</v>
      </c>
      <c r="D370" s="41"/>
      <c r="E370" s="41"/>
      <c r="F370" s="41"/>
      <c r="G370" s="41"/>
      <c r="H370" s="41"/>
      <c r="I370" s="41"/>
      <c r="J370" s="41"/>
      <c r="K370" s="43"/>
      <c r="L370" s="41"/>
      <c r="M370" s="41"/>
      <c r="N370" s="41"/>
      <c r="O370" s="41"/>
      <c r="P370" s="41"/>
      <c r="Q370" s="41"/>
      <c r="R370" s="41"/>
    </row>
    <row r="371" spans="1:18" x14ac:dyDescent="0.25">
      <c r="J371" s="45"/>
    </row>
    <row r="372" spans="1:18" x14ac:dyDescent="0.25">
      <c r="A372" s="347" t="s">
        <v>196</v>
      </c>
      <c r="B372" s="348"/>
      <c r="C372" s="348"/>
      <c r="D372" s="348"/>
      <c r="E372" s="348"/>
      <c r="F372" s="348"/>
      <c r="G372" s="348"/>
      <c r="H372" s="348"/>
      <c r="I372" s="348"/>
      <c r="J372" s="348"/>
    </row>
    <row r="373" spans="1:18" ht="30" x14ac:dyDescent="0.25">
      <c r="A373" s="373" t="s">
        <v>198</v>
      </c>
      <c r="B373" s="394" t="s">
        <v>201</v>
      </c>
      <c r="C373" s="395"/>
      <c r="D373" s="395"/>
      <c r="E373" s="396"/>
      <c r="F373" s="397" t="s">
        <v>298</v>
      </c>
      <c r="G373" s="398"/>
      <c r="H373" s="399"/>
      <c r="I373" s="400" t="s">
        <v>202</v>
      </c>
      <c r="J373" s="401"/>
      <c r="K373" s="401"/>
      <c r="L373" s="402"/>
      <c r="M373" s="171" t="s">
        <v>200</v>
      </c>
    </row>
    <row r="374" spans="1:18" x14ac:dyDescent="0.25">
      <c r="A374" s="374"/>
      <c r="B374" s="101" t="s">
        <v>164</v>
      </c>
      <c r="C374" s="101" t="s">
        <v>166</v>
      </c>
      <c r="D374" s="101" t="s">
        <v>199</v>
      </c>
      <c r="E374" s="101" t="s">
        <v>205</v>
      </c>
      <c r="F374" s="102" t="s">
        <v>164</v>
      </c>
      <c r="G374" s="102" t="s">
        <v>199</v>
      </c>
      <c r="H374" s="102" t="s">
        <v>205</v>
      </c>
      <c r="I374" s="103" t="s">
        <v>164</v>
      </c>
      <c r="J374" s="103" t="s">
        <v>166</v>
      </c>
      <c r="K374" s="103" t="s">
        <v>199</v>
      </c>
      <c r="L374" s="103" t="s">
        <v>205</v>
      </c>
      <c r="M374" s="172"/>
    </row>
    <row r="375" spans="1:18" x14ac:dyDescent="0.25">
      <c r="A375" s="19"/>
      <c r="B375" s="53">
        <f>K303+C168+C169</f>
        <v>6755622.5700000003</v>
      </c>
      <c r="C375" s="53">
        <f>M303+C170+C171</f>
        <v>1010169</v>
      </c>
      <c r="D375" s="53">
        <f>B375-C375</f>
        <v>5745453.5700000003</v>
      </c>
      <c r="E375" s="52">
        <f>((B375-C375)/B375*100)</f>
        <v>85.046988792921866</v>
      </c>
      <c r="F375" s="53">
        <f>(K307+K311+K315+K319+K325+K329+K333+K342+K343+K347+K351+K355+K362+K363+K367)+C168+C169</f>
        <v>6755622.4299999997</v>
      </c>
      <c r="G375" s="52">
        <f>F375-C375</f>
        <v>5745453.4299999997</v>
      </c>
      <c r="H375" s="52">
        <f>(F375-C375)/F375*100</f>
        <v>85.046988483043449</v>
      </c>
      <c r="I375" s="53">
        <f>K304</f>
        <v>648000</v>
      </c>
      <c r="J375" s="53">
        <f>M304</f>
        <v>144010</v>
      </c>
      <c r="K375" s="53">
        <f>I375-J375</f>
        <v>503990</v>
      </c>
      <c r="L375" s="52">
        <f>((I375-J375)/I375*100)</f>
        <v>77.776234567901241</v>
      </c>
      <c r="M375" s="52">
        <f>((B375-I375)/I375*100)</f>
        <v>942.53434722222221</v>
      </c>
    </row>
    <row r="376" spans="1:18" x14ac:dyDescent="0.25">
      <c r="A376" s="347" t="s">
        <v>197</v>
      </c>
      <c r="B376" s="348"/>
      <c r="C376" s="348"/>
      <c r="D376" s="348"/>
      <c r="E376" s="348"/>
      <c r="F376" s="348"/>
      <c r="G376" s="348"/>
      <c r="H376" s="348"/>
    </row>
    <row r="377" spans="1:18" x14ac:dyDescent="0.25">
      <c r="A377" s="22" t="s">
        <v>1</v>
      </c>
      <c r="B377" s="22" t="s">
        <v>0</v>
      </c>
      <c r="C377" s="22" t="s">
        <v>181</v>
      </c>
      <c r="D377" s="22" t="s">
        <v>192</v>
      </c>
      <c r="E377" s="22" t="s">
        <v>203</v>
      </c>
      <c r="F377" s="22" t="s">
        <v>204</v>
      </c>
      <c r="G377" s="22" t="s">
        <v>193</v>
      </c>
      <c r="H377" s="22" t="s">
        <v>194</v>
      </c>
    </row>
    <row r="378" spans="1:18" x14ac:dyDescent="0.25">
      <c r="A378" s="19"/>
      <c r="B378" s="21"/>
      <c r="C378" s="19" t="s">
        <v>195</v>
      </c>
      <c r="D378" s="53">
        <f>(E378-G378)/G378*100</f>
        <v>942.53434722222221</v>
      </c>
      <c r="E378" s="53">
        <f>K303+C168+C169</f>
        <v>6755622.5700000003</v>
      </c>
      <c r="F378" s="53">
        <f>M303+C170+C171</f>
        <v>1010169</v>
      </c>
      <c r="G378" s="53">
        <f>K304</f>
        <v>648000</v>
      </c>
      <c r="H378" s="53">
        <f>M304</f>
        <v>144010</v>
      </c>
    </row>
    <row r="379" spans="1:18" x14ac:dyDescent="0.25">
      <c r="A379" s="70"/>
      <c r="B379" s="71"/>
      <c r="C379" s="71"/>
      <c r="D379" s="71"/>
      <c r="E379" s="72"/>
      <c r="F379" s="71"/>
      <c r="G379" s="71"/>
      <c r="H379" s="71"/>
      <c r="I379" s="72"/>
      <c r="J379" s="72"/>
    </row>
    <row r="380" spans="1:18" x14ac:dyDescent="0.25">
      <c r="A380" s="54" t="s">
        <v>136</v>
      </c>
      <c r="B380" s="55"/>
      <c r="C380" s="55"/>
    </row>
    <row r="381" spans="1:18" x14ac:dyDescent="0.25">
      <c r="A381" s="22" t="s">
        <v>136</v>
      </c>
      <c r="B381" s="22" t="s">
        <v>144</v>
      </c>
      <c r="C381" s="22" t="s">
        <v>145</v>
      </c>
    </row>
    <row r="382" spans="1:18" ht="75" x14ac:dyDescent="0.25">
      <c r="A382" s="57" t="s">
        <v>137</v>
      </c>
      <c r="B382" s="58" t="s">
        <v>216</v>
      </c>
      <c r="C382" s="58" t="s">
        <v>216</v>
      </c>
      <c r="F382" s="159"/>
      <c r="G382" s="159"/>
    </row>
    <row r="383" spans="1:18" x14ac:dyDescent="0.25">
      <c r="F383" s="45"/>
    </row>
    <row r="384" spans="1:18" x14ac:dyDescent="0.25">
      <c r="G384" s="45"/>
    </row>
    <row r="385" spans="1:18" x14ac:dyDescent="0.25">
      <c r="A385" s="376" t="s">
        <v>498</v>
      </c>
      <c r="B385" s="376"/>
      <c r="C385" s="376"/>
      <c r="D385" s="376"/>
      <c r="E385" s="376"/>
    </row>
    <row r="386" spans="1:18" x14ac:dyDescent="0.25">
      <c r="A386" s="324" t="s">
        <v>159</v>
      </c>
      <c r="B386" s="325"/>
      <c r="C386" s="325"/>
      <c r="D386" s="325"/>
      <c r="E386" s="325"/>
    </row>
    <row r="387" spans="1:18" x14ac:dyDescent="0.25">
      <c r="A387" s="173" t="s">
        <v>160</v>
      </c>
      <c r="B387" s="173" t="s">
        <v>43</v>
      </c>
      <c r="C387" s="173" t="s">
        <v>168</v>
      </c>
      <c r="D387" s="39" t="s">
        <v>176</v>
      </c>
      <c r="E387" s="39" t="s">
        <v>177</v>
      </c>
      <c r="F387" s="39" t="s">
        <v>56</v>
      </c>
      <c r="G387" s="173" t="s">
        <v>161</v>
      </c>
      <c r="H387" s="173" t="s">
        <v>162</v>
      </c>
      <c r="I387" s="39" t="s">
        <v>18</v>
      </c>
      <c r="J387" s="39" t="s">
        <v>163</v>
      </c>
      <c r="K387" s="39" t="s">
        <v>164</v>
      </c>
      <c r="L387" s="39" t="s">
        <v>165</v>
      </c>
      <c r="M387" s="39" t="s">
        <v>166</v>
      </c>
      <c r="N387" s="39" t="s">
        <v>183</v>
      </c>
      <c r="O387" s="39" t="s">
        <v>180</v>
      </c>
      <c r="P387" s="39" t="s">
        <v>181</v>
      </c>
      <c r="Q387" s="39" t="s">
        <v>182</v>
      </c>
      <c r="R387" s="39" t="s">
        <v>167</v>
      </c>
    </row>
    <row r="388" spans="1:18" x14ac:dyDescent="0.25">
      <c r="A388" s="46" t="s">
        <v>169</v>
      </c>
      <c r="B388" s="46"/>
      <c r="C388" s="46" t="s">
        <v>178</v>
      </c>
      <c r="D388" s="46"/>
      <c r="E388" s="46"/>
      <c r="F388" s="46"/>
      <c r="G388" s="46"/>
      <c r="H388" s="46"/>
      <c r="I388" s="46"/>
      <c r="J388" s="47">
        <f>J390+J408+J422</f>
        <v>336013</v>
      </c>
      <c r="K388" s="48">
        <f>SUMIFS(K390:K455,C390:C455,C388,A390:A455,"*"&amp;"DE_"&amp;"*")</f>
        <v>6753622.4299999997</v>
      </c>
      <c r="L388" s="46"/>
      <c r="M388" s="48">
        <f>SUMIFS(M390:M455,C390:C455,C388,A390:A455,"*"&amp;"DE_"&amp;"*")</f>
        <v>1008169</v>
      </c>
      <c r="N388" s="46"/>
      <c r="O388" s="46"/>
      <c r="P388" s="46"/>
      <c r="Q388" s="46"/>
      <c r="R388" s="46" t="s">
        <v>479</v>
      </c>
    </row>
    <row r="389" spans="1:18" x14ac:dyDescent="0.25">
      <c r="A389" s="46" t="s">
        <v>169</v>
      </c>
      <c r="B389" s="46"/>
      <c r="C389" s="46" t="s">
        <v>173</v>
      </c>
      <c r="D389" s="46"/>
      <c r="E389" s="46"/>
      <c r="F389" s="46"/>
      <c r="G389" s="46"/>
      <c r="H389" s="46"/>
      <c r="I389" s="46"/>
      <c r="J389" s="47">
        <f>(J391+J409+J423)</f>
        <v>336000</v>
      </c>
      <c r="K389" s="48">
        <f>SUMIFS(K390:K455,C390:C455,C389,A390:A455,"*"&amp;"DE_"&amp;"*")</f>
        <v>648000</v>
      </c>
      <c r="L389" s="46"/>
      <c r="M389" s="48">
        <f>SUMIFS(M390:M455,C390:C455,C389,A390:A455,"*"&amp;"DE_"&amp;"*")</f>
        <v>144010</v>
      </c>
      <c r="N389" s="46"/>
      <c r="O389" s="46"/>
      <c r="P389" s="46"/>
      <c r="Q389" s="46"/>
      <c r="R389" s="46"/>
    </row>
    <row r="390" spans="1:18" hidden="1" x14ac:dyDescent="0.25">
      <c r="A390" s="49" t="s">
        <v>170</v>
      </c>
      <c r="B390" s="49"/>
      <c r="C390" s="49" t="s">
        <v>178</v>
      </c>
      <c r="D390" s="49"/>
      <c r="E390" s="49"/>
      <c r="F390" s="49"/>
      <c r="G390" s="49"/>
      <c r="H390" s="49"/>
      <c r="I390" s="49"/>
      <c r="J390" s="50">
        <f>SUMIFS(J392:J405,C392:C405,C390)</f>
        <v>48003</v>
      </c>
      <c r="K390" s="51">
        <f>SUMIFS(K392:K407,C392:C407,C390)</f>
        <v>657712.92000000004</v>
      </c>
      <c r="L390" s="49"/>
      <c r="M390" s="51">
        <f>SUMIFS(M392:M407,C392:C407,C390)</f>
        <v>144029</v>
      </c>
      <c r="N390" s="49"/>
      <c r="O390" s="49"/>
      <c r="P390" s="49"/>
      <c r="Q390" s="49"/>
      <c r="R390" s="49" t="s">
        <v>478</v>
      </c>
    </row>
    <row r="391" spans="1:18" hidden="1" x14ac:dyDescent="0.25">
      <c r="A391" s="49" t="s">
        <v>170</v>
      </c>
      <c r="B391" s="49"/>
      <c r="C391" s="49" t="s">
        <v>173</v>
      </c>
      <c r="D391" s="49"/>
      <c r="E391" s="49"/>
      <c r="F391" s="49"/>
      <c r="G391" s="49"/>
      <c r="H391" s="49"/>
      <c r="I391" s="49"/>
      <c r="J391" s="50">
        <f>SUMIFS(J392:J405,C392:C405,C391)</f>
        <v>48000</v>
      </c>
      <c r="K391" s="51">
        <f>SUMIFS(K392:K407,C392:C407,C391)</f>
        <v>648000</v>
      </c>
      <c r="L391" s="49"/>
      <c r="M391" s="51">
        <f>SUMIFS(M392:M407,C392:C407,C391)</f>
        <v>144010</v>
      </c>
      <c r="N391" s="49"/>
      <c r="O391" s="49"/>
      <c r="P391" s="49"/>
      <c r="Q391" s="49"/>
      <c r="R391" s="49"/>
    </row>
    <row r="392" spans="1:18" hidden="1" x14ac:dyDescent="0.25">
      <c r="A392" s="56" t="s">
        <v>94</v>
      </c>
      <c r="B392" s="8"/>
      <c r="C392" s="28" t="s">
        <v>178</v>
      </c>
      <c r="D392" s="28"/>
      <c r="E392" s="28"/>
      <c r="F392" s="28">
        <v>13.5</v>
      </c>
      <c r="G392" s="28" t="str">
        <f>CONCATENATE("USD,FLAT ",TEXT(F392,"0.00"))</f>
        <v>USD,FLAT 13.50</v>
      </c>
      <c r="H392" s="34">
        <f>K392/J392</f>
        <v>13.5</v>
      </c>
      <c r="I392" s="28" t="s">
        <v>22</v>
      </c>
      <c r="J392" s="30">
        <v>48000</v>
      </c>
      <c r="K392" s="34">
        <f>J392*F392</f>
        <v>648000</v>
      </c>
      <c r="L392" s="28" t="str">
        <f>TEXT(IFERROR(((K392-K393)/K393*100),"0.00"),"0.00")</f>
        <v>0.00</v>
      </c>
      <c r="M392" s="34">
        <f>(10+J392*3)</f>
        <v>144010</v>
      </c>
      <c r="N392" s="28"/>
      <c r="O392" s="28" t="s">
        <v>153</v>
      </c>
      <c r="P392" s="28" t="s">
        <v>473</v>
      </c>
      <c r="Q392" s="28" t="s">
        <v>474</v>
      </c>
      <c r="R392" s="28" t="s">
        <v>477</v>
      </c>
    </row>
    <row r="393" spans="1:18" hidden="1" x14ac:dyDescent="0.25">
      <c r="A393" s="8"/>
      <c r="B393" s="8"/>
      <c r="C393" s="31" t="s">
        <v>173</v>
      </c>
      <c r="D393" s="31"/>
      <c r="E393" s="31"/>
      <c r="F393" s="31">
        <v>13.5</v>
      </c>
      <c r="G393" s="31" t="str">
        <f>CONCATENATE("USD,FLAT ",TEXT(F393,"0.00"))</f>
        <v>USD,FLAT 13.50</v>
      </c>
      <c r="H393" s="36">
        <f>IFERROR(K393/J393,"0")</f>
        <v>13.5</v>
      </c>
      <c r="I393" s="31" t="s">
        <v>22</v>
      </c>
      <c r="J393" s="32">
        <v>48000</v>
      </c>
      <c r="K393" s="36">
        <f>J393*F393</f>
        <v>648000</v>
      </c>
      <c r="L393" s="31"/>
      <c r="M393" s="36">
        <f>(10+J393*3)</f>
        <v>144010</v>
      </c>
      <c r="N393" s="31"/>
      <c r="O393" s="31"/>
      <c r="P393" s="31"/>
      <c r="Q393" s="31"/>
      <c r="R393" s="31"/>
    </row>
    <row r="394" spans="1:18" hidden="1" x14ac:dyDescent="0.25">
      <c r="A394" s="8"/>
      <c r="B394" s="8"/>
      <c r="C394" s="40" t="s">
        <v>174</v>
      </c>
      <c r="D394" s="40"/>
      <c r="E394" s="40"/>
      <c r="F394" s="40"/>
      <c r="G394" s="40"/>
      <c r="H394" s="40"/>
      <c r="I394" s="40"/>
      <c r="J394" s="40"/>
      <c r="K394" s="40"/>
      <c r="L394" s="40"/>
      <c r="M394" s="40"/>
      <c r="N394" s="40"/>
      <c r="O394" s="40"/>
      <c r="P394" s="40"/>
      <c r="Q394" s="40"/>
      <c r="R394" s="40"/>
    </row>
    <row r="395" spans="1:18" hidden="1" x14ac:dyDescent="0.25">
      <c r="A395" s="8"/>
      <c r="B395" s="8"/>
      <c r="C395" s="41" t="s">
        <v>175</v>
      </c>
      <c r="D395" s="41"/>
      <c r="E395" s="41"/>
      <c r="F395" s="41"/>
      <c r="G395" s="41"/>
      <c r="H395" s="41"/>
      <c r="I395" s="41"/>
      <c r="J395" s="41"/>
      <c r="K395" s="41"/>
      <c r="L395" s="41"/>
      <c r="M395" s="41"/>
      <c r="N395" s="41"/>
      <c r="O395" s="41"/>
      <c r="P395" s="41"/>
      <c r="Q395" s="41"/>
      <c r="R395" s="41"/>
    </row>
    <row r="396" spans="1:18" hidden="1" x14ac:dyDescent="0.25">
      <c r="A396" s="56" t="s">
        <v>95</v>
      </c>
      <c r="B396" s="8"/>
      <c r="C396" s="28" t="s">
        <v>178</v>
      </c>
      <c r="D396" s="28"/>
      <c r="E396" s="28"/>
      <c r="F396" s="28">
        <v>9.89</v>
      </c>
      <c r="G396" s="28" t="str">
        <f>CONCATENATE("USD,FLAT ",TEXT(F396,"0.00"))</f>
        <v>USD,FLAT 9.89</v>
      </c>
      <c r="H396" s="34">
        <f>K396/J396</f>
        <v>9.89</v>
      </c>
      <c r="I396" s="28" t="s">
        <v>22</v>
      </c>
      <c r="J396" s="30">
        <v>3</v>
      </c>
      <c r="K396" s="34">
        <f>J396*F396</f>
        <v>29.67</v>
      </c>
      <c r="L396" s="28" t="str">
        <f>TEXT(IFERROR(((K396-K397)/K397*100),"0.00"),"0.00")</f>
        <v>0.00</v>
      </c>
      <c r="M396" s="34">
        <f>(10+J396*3)</f>
        <v>19</v>
      </c>
      <c r="N396" s="28"/>
      <c r="O396" s="28" t="s">
        <v>153</v>
      </c>
      <c r="P396" s="28" t="s">
        <v>473</v>
      </c>
      <c r="Q396" s="28" t="s">
        <v>474</v>
      </c>
      <c r="R396" s="28"/>
    </row>
    <row r="397" spans="1:18" hidden="1" x14ac:dyDescent="0.25">
      <c r="A397" s="8"/>
      <c r="B397" s="8"/>
      <c r="C397" s="31" t="s">
        <v>173</v>
      </c>
      <c r="D397" s="31"/>
      <c r="E397" s="31"/>
      <c r="F397" s="31">
        <v>9.9499999999999993</v>
      </c>
      <c r="G397" s="31" t="str">
        <f>CONCATENATE("USD,FLAT ",TEXT(F397,"0.00"))</f>
        <v>USD,FLAT 9.95</v>
      </c>
      <c r="H397" s="36" t="str">
        <f>IFERROR(K397/J397,"0")</f>
        <v>0</v>
      </c>
      <c r="I397" s="31"/>
      <c r="J397" s="32"/>
      <c r="K397" s="36">
        <f>J397*F397</f>
        <v>0</v>
      </c>
      <c r="L397" s="31"/>
      <c r="M397" s="36"/>
      <c r="N397" s="31"/>
      <c r="O397" s="31"/>
      <c r="P397" s="31"/>
      <c r="Q397" s="31"/>
      <c r="R397" s="31"/>
    </row>
    <row r="398" spans="1:18" hidden="1" x14ac:dyDescent="0.25">
      <c r="A398" s="8"/>
      <c r="B398" s="8"/>
      <c r="C398" s="40" t="s">
        <v>174</v>
      </c>
      <c r="D398" s="40"/>
      <c r="E398" s="40"/>
      <c r="F398" s="40"/>
      <c r="G398" s="40"/>
      <c r="H398" s="40"/>
      <c r="I398" s="40"/>
      <c r="J398" s="40"/>
      <c r="K398" s="40"/>
      <c r="L398" s="40"/>
      <c r="M398" s="40"/>
      <c r="N398" s="40"/>
      <c r="O398" s="40"/>
      <c r="P398" s="40"/>
      <c r="Q398" s="40"/>
      <c r="R398" s="40"/>
    </row>
    <row r="399" spans="1:18" hidden="1" x14ac:dyDescent="0.25">
      <c r="A399" s="8"/>
      <c r="B399" s="8"/>
      <c r="C399" s="41" t="s">
        <v>175</v>
      </c>
      <c r="D399" s="41"/>
      <c r="E399" s="41"/>
      <c r="F399" s="41"/>
      <c r="G399" s="41"/>
      <c r="H399" s="41"/>
      <c r="I399" s="41"/>
      <c r="J399" s="41"/>
      <c r="K399" s="41"/>
      <c r="L399" s="41"/>
      <c r="M399" s="41"/>
      <c r="N399" s="41"/>
      <c r="O399" s="41"/>
      <c r="P399" s="41"/>
      <c r="Q399" s="41"/>
      <c r="R399" s="41"/>
    </row>
    <row r="400" spans="1:18" hidden="1" x14ac:dyDescent="0.25">
      <c r="A400" s="56" t="s">
        <v>184</v>
      </c>
      <c r="B400" s="8"/>
      <c r="C400" s="28" t="s">
        <v>178</v>
      </c>
      <c r="D400" s="28"/>
      <c r="E400" s="28"/>
      <c r="F400" s="28">
        <v>111.08</v>
      </c>
      <c r="G400" s="28" t="str">
        <f>CONCATENATE("USD,FLAT ",TEXT(F400,"0.00"))</f>
        <v>USD,FLAT 111.08</v>
      </c>
      <c r="H400" s="34">
        <f>F400</f>
        <v>111.08</v>
      </c>
      <c r="I400" s="28"/>
      <c r="J400" s="30"/>
      <c r="K400" s="34">
        <f>(F400*5*5)</f>
        <v>2777</v>
      </c>
      <c r="L400" s="28" t="str">
        <f>TEXT(IFERROR(((K400-K401)/K401*100),"0.00"),"0.00")</f>
        <v>0.00</v>
      </c>
      <c r="M400" s="34">
        <v>0</v>
      </c>
      <c r="N400" s="33" t="s">
        <v>53</v>
      </c>
      <c r="O400" s="28" t="s">
        <v>190</v>
      </c>
      <c r="P400" s="28" t="s">
        <v>475</v>
      </c>
      <c r="Q400" s="28"/>
      <c r="R400" s="28"/>
    </row>
    <row r="401" spans="1:18" hidden="1" x14ac:dyDescent="0.25">
      <c r="A401" s="8"/>
      <c r="B401" s="8"/>
      <c r="C401" s="31" t="s">
        <v>173</v>
      </c>
      <c r="D401" s="31"/>
      <c r="E401" s="31"/>
      <c r="F401" s="31"/>
      <c r="G401" s="31"/>
      <c r="H401" s="36"/>
      <c r="I401" s="31"/>
      <c r="J401" s="32"/>
      <c r="K401" s="36"/>
      <c r="L401" s="31"/>
      <c r="M401" s="36"/>
      <c r="N401" s="31"/>
      <c r="O401" s="31"/>
      <c r="P401" s="31"/>
      <c r="Q401" s="31"/>
      <c r="R401" s="31"/>
    </row>
    <row r="402" spans="1:18" hidden="1" x14ac:dyDescent="0.25">
      <c r="A402" s="8"/>
      <c r="B402" s="8"/>
      <c r="C402" s="40" t="s">
        <v>174</v>
      </c>
      <c r="D402" s="40"/>
      <c r="E402" s="40"/>
      <c r="F402" s="40"/>
      <c r="G402" s="40"/>
      <c r="H402" s="40"/>
      <c r="I402" s="40"/>
      <c r="J402" s="40"/>
      <c r="K402" s="40"/>
      <c r="L402" s="40"/>
      <c r="M402" s="40"/>
      <c r="N402" s="40"/>
      <c r="O402" s="40"/>
      <c r="P402" s="40"/>
      <c r="Q402" s="40"/>
      <c r="R402" s="40"/>
    </row>
    <row r="403" spans="1:18" hidden="1" x14ac:dyDescent="0.25">
      <c r="A403" s="8"/>
      <c r="B403" s="8"/>
      <c r="C403" s="41" t="s">
        <v>175</v>
      </c>
      <c r="D403" s="41"/>
      <c r="E403" s="41"/>
      <c r="F403" s="41"/>
      <c r="G403" s="41"/>
      <c r="H403" s="41"/>
      <c r="I403" s="41"/>
      <c r="J403" s="41"/>
      <c r="K403" s="41"/>
      <c r="L403" s="41"/>
      <c r="M403" s="41"/>
      <c r="N403" s="41"/>
      <c r="O403" s="41"/>
      <c r="P403" s="41"/>
      <c r="Q403" s="41"/>
      <c r="R403" s="41"/>
    </row>
    <row r="404" spans="1:18" hidden="1" x14ac:dyDescent="0.25">
      <c r="A404" s="56" t="s">
        <v>96</v>
      </c>
      <c r="B404" s="8"/>
      <c r="C404" s="28" t="s">
        <v>178</v>
      </c>
      <c r="D404" s="28"/>
      <c r="E404" s="28"/>
      <c r="F404" s="28">
        <v>276.25</v>
      </c>
      <c r="G404" s="28" t="str">
        <f>CONCATENATE("USD,FLAT ",TEXT(F404,"0.00"))</f>
        <v>USD,FLAT 276.25</v>
      </c>
      <c r="H404" s="34">
        <f>F404</f>
        <v>276.25</v>
      </c>
      <c r="I404" s="28"/>
      <c r="J404" s="30"/>
      <c r="K404" s="34">
        <f>(F404*5*5)</f>
        <v>6906.25</v>
      </c>
      <c r="L404" s="28" t="str">
        <f>TEXT(IFERROR(((K404-K405)/K405*100),"0.00"),"0.00")</f>
        <v>0.00</v>
      </c>
      <c r="M404" s="34">
        <v>0</v>
      </c>
      <c r="N404" s="33" t="s">
        <v>53</v>
      </c>
      <c r="O404" s="28" t="s">
        <v>190</v>
      </c>
      <c r="P404" s="28" t="s">
        <v>475</v>
      </c>
      <c r="Q404" s="28"/>
      <c r="R404" s="28"/>
    </row>
    <row r="405" spans="1:18" hidden="1" x14ac:dyDescent="0.25">
      <c r="A405" s="8"/>
      <c r="B405" s="8"/>
      <c r="C405" s="31" t="s">
        <v>173</v>
      </c>
      <c r="D405" s="31"/>
      <c r="E405" s="31"/>
      <c r="F405" s="31"/>
      <c r="G405" s="31"/>
      <c r="H405" s="36"/>
      <c r="I405" s="31"/>
      <c r="J405" s="32"/>
      <c r="K405" s="36"/>
      <c r="L405" s="31"/>
      <c r="M405" s="36"/>
      <c r="N405" s="31"/>
      <c r="O405" s="31"/>
      <c r="P405" s="31"/>
      <c r="Q405" s="31"/>
      <c r="R405" s="31"/>
    </row>
    <row r="406" spans="1:18" hidden="1" x14ac:dyDescent="0.25">
      <c r="A406" s="8"/>
      <c r="B406" s="8"/>
      <c r="C406" s="40" t="s">
        <v>174</v>
      </c>
      <c r="D406" s="40"/>
      <c r="E406" s="40"/>
      <c r="F406" s="40"/>
      <c r="G406" s="40"/>
      <c r="H406" s="40"/>
      <c r="I406" s="40"/>
      <c r="J406" s="40"/>
      <c r="K406" s="40"/>
      <c r="L406" s="40"/>
      <c r="M406" s="40"/>
      <c r="N406" s="40"/>
      <c r="O406" s="40"/>
      <c r="P406" s="40"/>
      <c r="Q406" s="40"/>
      <c r="R406" s="40"/>
    </row>
    <row r="407" spans="1:18" hidden="1" x14ac:dyDescent="0.25">
      <c r="A407" s="8"/>
      <c r="B407" s="8"/>
      <c r="C407" s="41" t="s">
        <v>175</v>
      </c>
      <c r="D407" s="41"/>
      <c r="E407" s="41"/>
      <c r="F407" s="41"/>
      <c r="G407" s="41"/>
      <c r="H407" s="41"/>
      <c r="I407" s="41"/>
      <c r="J407" s="41"/>
      <c r="K407" s="41"/>
      <c r="L407" s="41"/>
      <c r="M407" s="41"/>
      <c r="N407" s="41"/>
      <c r="O407" s="41"/>
      <c r="P407" s="41"/>
      <c r="Q407" s="41"/>
      <c r="R407" s="41"/>
    </row>
    <row r="408" spans="1:18" hidden="1" x14ac:dyDescent="0.25">
      <c r="A408" s="49" t="s">
        <v>171</v>
      </c>
      <c r="B408" s="49"/>
      <c r="C408" s="49" t="s">
        <v>178</v>
      </c>
      <c r="D408" s="49"/>
      <c r="E408" s="49"/>
      <c r="F408" s="49"/>
      <c r="G408" s="49"/>
      <c r="H408" s="49"/>
      <c r="I408" s="49"/>
      <c r="J408" s="50">
        <f>SUMIFS(J410:J419,C410:C419,C408)</f>
        <v>288000</v>
      </c>
      <c r="K408" s="51">
        <f>SUMIFS(K410:K421,C410:C421,C408)</f>
        <v>6092880</v>
      </c>
      <c r="L408" s="49"/>
      <c r="M408" s="51">
        <f>SUMIFS(M410:M421,C410:C421,C408)</f>
        <v>864030</v>
      </c>
      <c r="N408" s="49"/>
      <c r="O408" s="49"/>
      <c r="P408" s="49"/>
      <c r="Q408" s="49"/>
      <c r="R408" s="49"/>
    </row>
    <row r="409" spans="1:18" hidden="1" x14ac:dyDescent="0.25">
      <c r="A409" s="49" t="s">
        <v>171</v>
      </c>
      <c r="B409" s="49"/>
      <c r="C409" s="49" t="s">
        <v>173</v>
      </c>
      <c r="D409" s="49"/>
      <c r="E409" s="49"/>
      <c r="F409" s="49"/>
      <c r="G409" s="49"/>
      <c r="H409" s="49"/>
      <c r="I409" s="49"/>
      <c r="J409" s="50">
        <f>SUMIFS(J410:J419,C410:C419,C409)</f>
        <v>288000</v>
      </c>
      <c r="K409" s="51">
        <f>SUMIFS(K410:K419,C410:C419,C409)</f>
        <v>0</v>
      </c>
      <c r="L409" s="49"/>
      <c r="M409" s="51">
        <f>SUMIFS(M410:M419,C410:C419,C409)</f>
        <v>0</v>
      </c>
      <c r="N409" s="49"/>
      <c r="O409" s="49"/>
      <c r="P409" s="49"/>
      <c r="Q409" s="49"/>
      <c r="R409" s="49"/>
    </row>
    <row r="410" spans="1:18" ht="30" hidden="1" x14ac:dyDescent="0.25">
      <c r="A410" s="56" t="s">
        <v>97</v>
      </c>
      <c r="B410" s="8"/>
      <c r="C410" s="28" t="s">
        <v>178</v>
      </c>
      <c r="D410" s="28"/>
      <c r="E410" s="28"/>
      <c r="F410" s="29" t="s">
        <v>188</v>
      </c>
      <c r="G410" s="28" t="s">
        <v>185</v>
      </c>
      <c r="H410" s="34">
        <f>K410/J410</f>
        <v>12.25</v>
      </c>
      <c r="I410" s="28" t="s">
        <v>22</v>
      </c>
      <c r="J410" s="30">
        <v>72000</v>
      </c>
      <c r="K410" s="34">
        <f>(1000*12.95+4000*12.15+1000*11.95)*12</f>
        <v>882000</v>
      </c>
      <c r="L410" s="28" t="str">
        <f>TEXT(IFERROR(((K410-K411)/K411*100),"0.00"),"0.00")</f>
        <v>0.00</v>
      </c>
      <c r="M410" s="34">
        <f>(10+J410*3)</f>
        <v>216010</v>
      </c>
      <c r="N410" s="33" t="s">
        <v>53</v>
      </c>
      <c r="O410" s="28" t="s">
        <v>190</v>
      </c>
      <c r="P410" s="28" t="s">
        <v>476</v>
      </c>
      <c r="Q410" s="28"/>
      <c r="R410" s="28"/>
    </row>
    <row r="411" spans="1:18" hidden="1" x14ac:dyDescent="0.25">
      <c r="A411" s="8"/>
      <c r="B411" s="8"/>
      <c r="C411" s="31" t="s">
        <v>173</v>
      </c>
      <c r="D411" s="31"/>
      <c r="E411" s="31"/>
      <c r="F411" s="31"/>
      <c r="G411" s="31"/>
      <c r="H411" s="36">
        <f>IFERROR(K411/J411,"0")</f>
        <v>0</v>
      </c>
      <c r="I411" s="31" t="s">
        <v>22</v>
      </c>
      <c r="J411" s="32">
        <v>72000</v>
      </c>
      <c r="K411" s="38">
        <v>0</v>
      </c>
      <c r="L411" s="31"/>
      <c r="M411" s="36"/>
      <c r="N411" s="31"/>
      <c r="O411" s="31"/>
      <c r="P411" s="31"/>
      <c r="Q411" s="31"/>
      <c r="R411" s="31"/>
    </row>
    <row r="412" spans="1:18" hidden="1" x14ac:dyDescent="0.25">
      <c r="A412" s="8"/>
      <c r="B412" s="8"/>
      <c r="C412" s="40" t="s">
        <v>174</v>
      </c>
      <c r="D412" s="40"/>
      <c r="E412" s="40"/>
      <c r="F412" s="40"/>
      <c r="G412" s="40"/>
      <c r="H412" s="40"/>
      <c r="I412" s="40"/>
      <c r="J412" s="40"/>
      <c r="K412" s="42"/>
      <c r="L412" s="40"/>
      <c r="M412" s="40"/>
      <c r="N412" s="40"/>
      <c r="O412" s="40"/>
      <c r="P412" s="40"/>
      <c r="Q412" s="40"/>
      <c r="R412" s="40"/>
    </row>
    <row r="413" spans="1:18" hidden="1" x14ac:dyDescent="0.25">
      <c r="A413" s="8"/>
      <c r="B413" s="8"/>
      <c r="C413" s="41" t="s">
        <v>175</v>
      </c>
      <c r="D413" s="41"/>
      <c r="E413" s="41"/>
      <c r="F413" s="41"/>
      <c r="G413" s="41"/>
      <c r="H413" s="41"/>
      <c r="I413" s="41"/>
      <c r="J413" s="41"/>
      <c r="K413" s="43"/>
      <c r="L413" s="41"/>
      <c r="M413" s="41"/>
      <c r="N413" s="41"/>
      <c r="O413" s="41"/>
      <c r="P413" s="41"/>
      <c r="Q413" s="41"/>
      <c r="R413" s="41"/>
    </row>
    <row r="414" spans="1:18" ht="30" hidden="1" x14ac:dyDescent="0.25">
      <c r="A414" s="56" t="s">
        <v>98</v>
      </c>
      <c r="B414" s="8"/>
      <c r="C414" s="28" t="s">
        <v>178</v>
      </c>
      <c r="D414" s="28"/>
      <c r="E414" s="28"/>
      <c r="F414" s="29" t="s">
        <v>188</v>
      </c>
      <c r="G414" s="28" t="s">
        <v>186</v>
      </c>
      <c r="H414" s="34">
        <f>K414/J414</f>
        <v>11.95</v>
      </c>
      <c r="I414" s="28" t="s">
        <v>22</v>
      </c>
      <c r="J414" s="30">
        <v>96000</v>
      </c>
      <c r="K414" s="34">
        <f>J414*11.95</f>
        <v>1147200</v>
      </c>
      <c r="L414" s="28" t="str">
        <f>TEXT(IFERROR(((K414-K415)/K415*100),"0.00"),"0.00")</f>
        <v>0.00</v>
      </c>
      <c r="M414" s="34">
        <f>(10+J414*3)</f>
        <v>288010</v>
      </c>
      <c r="N414" s="33" t="s">
        <v>53</v>
      </c>
      <c r="O414" s="28" t="s">
        <v>190</v>
      </c>
      <c r="P414" s="28" t="s">
        <v>476</v>
      </c>
      <c r="Q414" s="28"/>
      <c r="R414" s="28"/>
    </row>
    <row r="415" spans="1:18" hidden="1" x14ac:dyDescent="0.25">
      <c r="A415" s="8"/>
      <c r="B415" s="8"/>
      <c r="C415" s="31" t="s">
        <v>173</v>
      </c>
      <c r="D415" s="31"/>
      <c r="E415" s="31"/>
      <c r="F415" s="31"/>
      <c r="G415" s="31"/>
      <c r="H415" s="36">
        <f>IFERROR(K415/J415,"0")</f>
        <v>0</v>
      </c>
      <c r="I415" s="31" t="s">
        <v>22</v>
      </c>
      <c r="J415" s="32">
        <v>96000</v>
      </c>
      <c r="K415" s="38">
        <v>0</v>
      </c>
      <c r="L415" s="31"/>
      <c r="M415" s="31"/>
      <c r="N415" s="31"/>
      <c r="O415" s="31"/>
      <c r="P415" s="31"/>
      <c r="Q415" s="31"/>
      <c r="R415" s="31"/>
    </row>
    <row r="416" spans="1:18" hidden="1" x14ac:dyDescent="0.25">
      <c r="A416" s="8"/>
      <c r="B416" s="8"/>
      <c r="C416" s="40" t="s">
        <v>174</v>
      </c>
      <c r="D416" s="40"/>
      <c r="E416" s="40"/>
      <c r="F416" s="40"/>
      <c r="G416" s="40"/>
      <c r="H416" s="40"/>
      <c r="I416" s="40"/>
      <c r="J416" s="40"/>
      <c r="K416" s="42"/>
      <c r="L416" s="40"/>
      <c r="M416" s="40"/>
      <c r="N416" s="40"/>
      <c r="O416" s="40"/>
      <c r="P416" s="40"/>
      <c r="Q416" s="40"/>
      <c r="R416" s="40"/>
    </row>
    <row r="417" spans="1:18" hidden="1" x14ac:dyDescent="0.25">
      <c r="A417" s="8"/>
      <c r="B417" s="8"/>
      <c r="C417" s="41" t="s">
        <v>175</v>
      </c>
      <c r="D417" s="41"/>
      <c r="E417" s="41"/>
      <c r="F417" s="41"/>
      <c r="G417" s="41"/>
      <c r="H417" s="41"/>
      <c r="I417" s="41"/>
      <c r="J417" s="41"/>
      <c r="K417" s="43"/>
      <c r="L417" s="41"/>
      <c r="M417" s="41"/>
      <c r="N417" s="41"/>
      <c r="O417" s="41"/>
      <c r="P417" s="41"/>
      <c r="Q417" s="41"/>
      <c r="R417" s="41"/>
    </row>
    <row r="418" spans="1:18" ht="45" hidden="1" x14ac:dyDescent="0.25">
      <c r="A418" s="56" t="s">
        <v>99</v>
      </c>
      <c r="B418" s="8"/>
      <c r="C418" s="28" t="s">
        <v>178</v>
      </c>
      <c r="D418" s="28"/>
      <c r="E418" s="28"/>
      <c r="F418" s="29" t="s">
        <v>189</v>
      </c>
      <c r="G418" s="28" t="s">
        <v>187</v>
      </c>
      <c r="H418" s="34">
        <f>K418/J418</f>
        <v>33.863999999999997</v>
      </c>
      <c r="I418" s="28" t="s">
        <v>22</v>
      </c>
      <c r="J418" s="30">
        <v>120000</v>
      </c>
      <c r="K418" s="34">
        <f>'UC01 - CALCULATOIN'!C13</f>
        <v>4063680</v>
      </c>
      <c r="L418" s="28" t="str">
        <f>TEXT(IFERROR(((K418-K419)/K419*100),"0.00"),"0.00")</f>
        <v>0.00</v>
      </c>
      <c r="M418" s="34">
        <f>(10+J418*3)</f>
        <v>360010</v>
      </c>
      <c r="N418" s="33" t="s">
        <v>53</v>
      </c>
      <c r="O418" s="28" t="s">
        <v>190</v>
      </c>
      <c r="P418" s="28" t="s">
        <v>476</v>
      </c>
      <c r="Q418" s="28"/>
      <c r="R418" s="28"/>
    </row>
    <row r="419" spans="1:18" hidden="1" x14ac:dyDescent="0.25">
      <c r="A419" s="8"/>
      <c r="B419" s="8"/>
      <c r="C419" s="31" t="s">
        <v>173</v>
      </c>
      <c r="D419" s="31"/>
      <c r="E419" s="31"/>
      <c r="F419" s="31"/>
      <c r="G419" s="31"/>
      <c r="H419" s="36">
        <f>IFERROR(K419/J419,"0")</f>
        <v>0</v>
      </c>
      <c r="I419" s="31" t="s">
        <v>22</v>
      </c>
      <c r="J419" s="32">
        <v>120000</v>
      </c>
      <c r="K419" s="38">
        <v>0</v>
      </c>
      <c r="L419" s="31"/>
      <c r="M419" s="31"/>
      <c r="N419" s="31"/>
      <c r="O419" s="31"/>
      <c r="P419" s="31"/>
      <c r="Q419" s="31"/>
      <c r="R419" s="31"/>
    </row>
    <row r="420" spans="1:18" hidden="1" x14ac:dyDescent="0.25">
      <c r="A420" s="8"/>
      <c r="B420" s="8"/>
      <c r="C420" s="40" t="s">
        <v>174</v>
      </c>
      <c r="D420" s="40"/>
      <c r="E420" s="40"/>
      <c r="F420" s="40"/>
      <c r="G420" s="40"/>
      <c r="H420" s="40"/>
      <c r="I420" s="40"/>
      <c r="J420" s="40"/>
      <c r="K420" s="42"/>
      <c r="L420" s="40"/>
      <c r="M420" s="40"/>
      <c r="N420" s="40"/>
      <c r="O420" s="40"/>
      <c r="P420" s="40"/>
      <c r="Q420" s="40"/>
      <c r="R420" s="40"/>
    </row>
    <row r="421" spans="1:18" hidden="1" x14ac:dyDescent="0.25">
      <c r="A421" s="8"/>
      <c r="B421" s="8"/>
      <c r="C421" s="41" t="s">
        <v>175</v>
      </c>
      <c r="D421" s="41"/>
      <c r="E421" s="41"/>
      <c r="F421" s="41"/>
      <c r="G421" s="41"/>
      <c r="H421" s="41"/>
      <c r="I421" s="41"/>
      <c r="J421" s="41"/>
      <c r="K421" s="43"/>
      <c r="L421" s="41"/>
      <c r="M421" s="41"/>
      <c r="N421" s="41"/>
      <c r="O421" s="41"/>
      <c r="P421" s="41"/>
      <c r="Q421" s="41"/>
      <c r="R421" s="41"/>
    </row>
    <row r="422" spans="1:18" x14ac:dyDescent="0.25">
      <c r="A422" s="49" t="s">
        <v>172</v>
      </c>
      <c r="B422" s="49"/>
      <c r="C422" s="49" t="s">
        <v>178</v>
      </c>
      <c r="D422" s="49"/>
      <c r="E422" s="49"/>
      <c r="F422" s="49"/>
      <c r="G422" s="49"/>
      <c r="H422" s="49"/>
      <c r="I422" s="49"/>
      <c r="J422" s="50">
        <f>SUMIFS(J424:J453,C424:C453,C422)</f>
        <v>10</v>
      </c>
      <c r="K422" s="51">
        <f>SUMIFS(K424:K455,C424:C455,C422)</f>
        <v>3029.51</v>
      </c>
      <c r="L422" s="49"/>
      <c r="M422" s="51">
        <f>SUMIFS(M424:M455,C424:C455,C422)</f>
        <v>110</v>
      </c>
      <c r="N422" s="49"/>
      <c r="O422" s="49"/>
      <c r="P422" s="49"/>
      <c r="Q422" s="49"/>
      <c r="R422" s="49"/>
    </row>
    <row r="423" spans="1:18" x14ac:dyDescent="0.25">
      <c r="A423" s="49" t="s">
        <v>172</v>
      </c>
      <c r="B423" s="49"/>
      <c r="C423" s="49" t="s">
        <v>173</v>
      </c>
      <c r="D423" s="49"/>
      <c r="E423" s="49"/>
      <c r="F423" s="49"/>
      <c r="G423" s="49"/>
      <c r="H423" s="49"/>
      <c r="I423" s="49"/>
      <c r="J423" s="50">
        <f>SUMIFS(J424:J453,C424:C453,C423)</f>
        <v>0</v>
      </c>
      <c r="K423" s="51">
        <f>SUMIFS(K424:K455,C424:C455,C423)</f>
        <v>0</v>
      </c>
      <c r="L423" s="49"/>
      <c r="M423" s="51">
        <f>SUMIFS(M424:M455,C424:C455,C423)</f>
        <v>0</v>
      </c>
      <c r="N423" s="49"/>
      <c r="O423" s="49"/>
      <c r="P423" s="49"/>
      <c r="Q423" s="49"/>
      <c r="R423" s="49"/>
    </row>
    <row r="424" spans="1:18" x14ac:dyDescent="0.25">
      <c r="A424" s="56" t="s">
        <v>100</v>
      </c>
      <c r="B424" s="8"/>
      <c r="C424" s="28" t="s">
        <v>178</v>
      </c>
      <c r="D424" s="28"/>
      <c r="E424" s="28"/>
      <c r="F424" s="37">
        <v>0.11</v>
      </c>
      <c r="G424" s="28" t="str">
        <f>CONCATENATE("USD,FLAT ",TEXT(F424,"0.00"))</f>
        <v>USD,FLAT 0.11</v>
      </c>
      <c r="H424" s="34">
        <f>(K424/J424)</f>
        <v>1500.11</v>
      </c>
      <c r="I424" s="28" t="s">
        <v>22</v>
      </c>
      <c r="J424" s="30">
        <v>2</v>
      </c>
      <c r="K424" s="37">
        <f>J424*F424+3000</f>
        <v>3000.22</v>
      </c>
      <c r="L424" s="28" t="str">
        <f>TEXT(IFERROR(((K424-K425)/K425*100),"0.00"),"0.00")</f>
        <v>0.00</v>
      </c>
      <c r="M424" s="34">
        <f>(10+J424*3)</f>
        <v>16</v>
      </c>
      <c r="N424" s="33" t="s">
        <v>53</v>
      </c>
      <c r="O424" s="28" t="s">
        <v>190</v>
      </c>
      <c r="P424" s="28" t="s">
        <v>476</v>
      </c>
      <c r="Q424" s="28"/>
      <c r="R424" s="28"/>
    </row>
    <row r="425" spans="1:18" x14ac:dyDescent="0.25">
      <c r="A425" s="8"/>
      <c r="B425" s="8"/>
      <c r="C425" s="31" t="s">
        <v>173</v>
      </c>
      <c r="D425" s="31"/>
      <c r="E425" s="31"/>
      <c r="F425" s="31"/>
      <c r="G425" s="31"/>
      <c r="H425" s="36" t="str">
        <f>IFERROR(K425/J425,"0")</f>
        <v>0</v>
      </c>
      <c r="I425" s="31"/>
      <c r="J425" s="32"/>
      <c r="K425" s="38"/>
      <c r="L425" s="31"/>
      <c r="M425" s="31"/>
      <c r="N425" s="31"/>
      <c r="O425" s="31"/>
      <c r="P425" s="31"/>
      <c r="Q425" s="31"/>
      <c r="R425" s="31"/>
    </row>
    <row r="426" spans="1:18" x14ac:dyDescent="0.25">
      <c r="A426" s="8"/>
      <c r="B426" s="8"/>
      <c r="C426" s="40" t="s">
        <v>174</v>
      </c>
      <c r="D426" s="40"/>
      <c r="E426" s="40"/>
      <c r="F426" s="40"/>
      <c r="G426" s="40"/>
      <c r="H426" s="40"/>
      <c r="I426" s="40"/>
      <c r="J426" s="40"/>
      <c r="K426" s="42"/>
      <c r="L426" s="40"/>
      <c r="M426" s="40"/>
      <c r="N426" s="40"/>
      <c r="O426" s="40"/>
      <c r="P426" s="40"/>
      <c r="Q426" s="40"/>
      <c r="R426" s="40"/>
    </row>
    <row r="427" spans="1:18" x14ac:dyDescent="0.25">
      <c r="A427" s="8"/>
      <c r="B427" s="8"/>
      <c r="C427" s="41" t="s">
        <v>175</v>
      </c>
      <c r="D427" s="41"/>
      <c r="E427" s="41"/>
      <c r="F427" s="41"/>
      <c r="G427" s="41"/>
      <c r="H427" s="41"/>
      <c r="I427" s="41"/>
      <c r="J427" s="41"/>
      <c r="K427" s="43"/>
      <c r="L427" s="41"/>
      <c r="M427" s="41"/>
      <c r="N427" s="41"/>
      <c r="O427" s="41"/>
      <c r="P427" s="41"/>
      <c r="Q427" s="41"/>
      <c r="R427" s="41"/>
    </row>
    <row r="428" spans="1:18" hidden="1" x14ac:dyDescent="0.25">
      <c r="A428" s="56" t="s">
        <v>101</v>
      </c>
      <c r="B428" s="8"/>
      <c r="C428" s="28" t="s">
        <v>178</v>
      </c>
      <c r="D428" s="28"/>
      <c r="E428" s="28"/>
      <c r="F428" s="37">
        <v>1.99</v>
      </c>
      <c r="G428" s="28" t="str">
        <f>CONCATENATE("USD,FLAT ",TEXT(F428,"0.00"))</f>
        <v>USD,FLAT 1.99</v>
      </c>
      <c r="H428" s="34">
        <f>K428/J428</f>
        <v>1.99</v>
      </c>
      <c r="I428" s="28" t="s">
        <v>22</v>
      </c>
      <c r="J428" s="30">
        <v>2</v>
      </c>
      <c r="K428" s="37">
        <f>J428*F428</f>
        <v>3.98</v>
      </c>
      <c r="L428" s="28" t="str">
        <f>TEXT(IFERROR(((K428-K429)/K429*100),"0.00"),"0.00")</f>
        <v>0.00</v>
      </c>
      <c r="M428" s="34">
        <f>(10+J428*3)</f>
        <v>16</v>
      </c>
      <c r="N428" s="33" t="s">
        <v>53</v>
      </c>
      <c r="O428" s="28" t="s">
        <v>190</v>
      </c>
      <c r="P428" s="28" t="s">
        <v>476</v>
      </c>
      <c r="Q428" s="28"/>
      <c r="R428" s="28"/>
    </row>
    <row r="429" spans="1:18" hidden="1" x14ac:dyDescent="0.25">
      <c r="A429" s="8"/>
      <c r="B429" s="8"/>
      <c r="C429" s="31" t="s">
        <v>173</v>
      </c>
      <c r="D429" s="31"/>
      <c r="E429" s="31"/>
      <c r="F429" s="31"/>
      <c r="G429" s="31"/>
      <c r="H429" s="36" t="str">
        <f>IFERROR(K429/J429,"0")</f>
        <v>0</v>
      </c>
      <c r="I429" s="31"/>
      <c r="J429" s="32"/>
      <c r="K429" s="38"/>
      <c r="L429" s="31"/>
      <c r="M429" s="31"/>
      <c r="N429" s="31"/>
      <c r="O429" s="31"/>
      <c r="P429" s="31"/>
      <c r="Q429" s="31"/>
      <c r="R429" s="31"/>
    </row>
    <row r="430" spans="1:18" hidden="1" x14ac:dyDescent="0.25">
      <c r="A430" s="8"/>
      <c r="B430" s="8"/>
      <c r="C430" s="40" t="s">
        <v>174</v>
      </c>
      <c r="D430" s="40"/>
      <c r="E430" s="40"/>
      <c r="F430" s="40"/>
      <c r="G430" s="40"/>
      <c r="H430" s="40"/>
      <c r="I430" s="40"/>
      <c r="J430" s="40"/>
      <c r="K430" s="42"/>
      <c r="L430" s="40"/>
      <c r="M430" s="40"/>
      <c r="N430" s="40"/>
      <c r="O430" s="40"/>
      <c r="P430" s="40"/>
      <c r="Q430" s="40"/>
      <c r="R430" s="40"/>
    </row>
    <row r="431" spans="1:18" hidden="1" x14ac:dyDescent="0.25">
      <c r="A431" s="8"/>
      <c r="B431" s="8"/>
      <c r="C431" s="41" t="s">
        <v>175</v>
      </c>
      <c r="D431" s="41"/>
      <c r="E431" s="41"/>
      <c r="F431" s="41"/>
      <c r="G431" s="41"/>
      <c r="H431" s="41"/>
      <c r="I431" s="41"/>
      <c r="J431" s="41"/>
      <c r="K431" s="43"/>
      <c r="L431" s="41"/>
      <c r="M431" s="41"/>
      <c r="N431" s="41"/>
      <c r="O431" s="41"/>
      <c r="P431" s="41"/>
      <c r="Q431" s="41"/>
      <c r="R431" s="41"/>
    </row>
    <row r="432" spans="1:18" hidden="1" x14ac:dyDescent="0.25">
      <c r="A432" s="56" t="s">
        <v>101</v>
      </c>
      <c r="B432" s="8" t="s">
        <v>50</v>
      </c>
      <c r="C432" s="28" t="s">
        <v>178</v>
      </c>
      <c r="D432" s="28"/>
      <c r="E432" s="28"/>
      <c r="F432" s="37">
        <v>0.75</v>
      </c>
      <c r="G432" s="28" t="str">
        <f>CONCATENATE("USD,FLAT ",TEXT(F432,"0.00"))</f>
        <v>USD,FLAT 0.75</v>
      </c>
      <c r="H432" s="34">
        <f>K432/J432</f>
        <v>0.75</v>
      </c>
      <c r="I432" s="28" t="s">
        <v>22</v>
      </c>
      <c r="J432" s="30">
        <v>1</v>
      </c>
      <c r="K432" s="37">
        <f>J432*F432</f>
        <v>0.75</v>
      </c>
      <c r="L432" s="28" t="str">
        <f>TEXT(IFERROR(((K432-K433)/K433*100),"0.00"),"0.00")</f>
        <v>0.00</v>
      </c>
      <c r="M432" s="34">
        <f>(10+J432*3)</f>
        <v>13</v>
      </c>
      <c r="N432" s="33" t="s">
        <v>53</v>
      </c>
      <c r="O432" s="28" t="s">
        <v>190</v>
      </c>
      <c r="P432" s="28" t="s">
        <v>476</v>
      </c>
      <c r="Q432" s="28"/>
      <c r="R432" s="28"/>
    </row>
    <row r="433" spans="1:18" hidden="1" x14ac:dyDescent="0.25">
      <c r="A433" s="8"/>
      <c r="B433" s="8"/>
      <c r="C433" s="31" t="s">
        <v>173</v>
      </c>
      <c r="D433" s="31"/>
      <c r="E433" s="31"/>
      <c r="F433" s="31"/>
      <c r="G433" s="31"/>
      <c r="H433" s="36" t="str">
        <f>IFERROR(K433/J433,"0")</f>
        <v>0</v>
      </c>
      <c r="I433" s="31"/>
      <c r="J433" s="32"/>
      <c r="K433" s="38"/>
      <c r="L433" s="31"/>
      <c r="M433" s="31"/>
      <c r="N433" s="31"/>
      <c r="O433" s="31"/>
      <c r="P433" s="31"/>
      <c r="Q433" s="31"/>
      <c r="R433" s="31"/>
    </row>
    <row r="434" spans="1:18" hidden="1" x14ac:dyDescent="0.25">
      <c r="A434" s="8"/>
      <c r="B434" s="8"/>
      <c r="C434" s="40" t="s">
        <v>174</v>
      </c>
      <c r="D434" s="40"/>
      <c r="E434" s="40"/>
      <c r="F434" s="40"/>
      <c r="G434" s="40"/>
      <c r="H434" s="40"/>
      <c r="I434" s="40"/>
      <c r="J434" s="40"/>
      <c r="K434" s="42"/>
      <c r="L434" s="40"/>
      <c r="M434" s="40"/>
      <c r="N434" s="40"/>
      <c r="O434" s="40"/>
      <c r="P434" s="40"/>
      <c r="Q434" s="40"/>
      <c r="R434" s="40"/>
    </row>
    <row r="435" spans="1:18" hidden="1" x14ac:dyDescent="0.25">
      <c r="A435" s="8"/>
      <c r="B435" s="8"/>
      <c r="C435" s="41" t="s">
        <v>175</v>
      </c>
      <c r="D435" s="41"/>
      <c r="E435" s="41"/>
      <c r="F435" s="41"/>
      <c r="G435" s="41"/>
      <c r="H435" s="41"/>
      <c r="I435" s="41"/>
      <c r="J435" s="41"/>
      <c r="K435" s="43"/>
      <c r="L435" s="41"/>
      <c r="M435" s="41"/>
      <c r="N435" s="41"/>
      <c r="O435" s="41"/>
      <c r="P435" s="41"/>
      <c r="Q435" s="41"/>
      <c r="R435" s="41"/>
    </row>
    <row r="436" spans="1:18" hidden="1" x14ac:dyDescent="0.25">
      <c r="A436" s="56" t="s">
        <v>101</v>
      </c>
      <c r="B436" s="8" t="s">
        <v>179</v>
      </c>
      <c r="C436" s="28" t="s">
        <v>178</v>
      </c>
      <c r="D436" s="28"/>
      <c r="E436" s="28"/>
      <c r="F436" s="37">
        <v>0.3</v>
      </c>
      <c r="G436" s="28" t="str">
        <f>CONCATENATE("USD,FLAT ",TEXT(F436,"0.00"))</f>
        <v>USD,FLAT 0.30</v>
      </c>
      <c r="H436" s="34">
        <f>K436/J436</f>
        <v>0.3</v>
      </c>
      <c r="I436" s="28" t="s">
        <v>22</v>
      </c>
      <c r="J436" s="30">
        <v>1</v>
      </c>
      <c r="K436" s="37">
        <f>J436*F436</f>
        <v>0.3</v>
      </c>
      <c r="L436" s="28" t="str">
        <f>TEXT(IFERROR(((K436-K437)/K437*100),"0.00"),"0.00")</f>
        <v>0.00</v>
      </c>
      <c r="M436" s="34">
        <f>(10+J436*3)</f>
        <v>13</v>
      </c>
      <c r="N436" s="33" t="s">
        <v>53</v>
      </c>
      <c r="O436" s="28" t="s">
        <v>190</v>
      </c>
      <c r="P436" s="28" t="s">
        <v>476</v>
      </c>
      <c r="Q436" s="28"/>
      <c r="R436" s="28"/>
    </row>
    <row r="437" spans="1:18" hidden="1" x14ac:dyDescent="0.25">
      <c r="A437" s="8"/>
      <c r="B437" s="8"/>
      <c r="C437" s="31" t="s">
        <v>173</v>
      </c>
      <c r="D437" s="31"/>
      <c r="E437" s="31"/>
      <c r="F437" s="31"/>
      <c r="G437" s="31"/>
      <c r="H437" s="36" t="str">
        <f>IFERROR(K437/J437,"0")</f>
        <v>0</v>
      </c>
      <c r="I437" s="31"/>
      <c r="J437" s="32"/>
      <c r="K437" s="38"/>
      <c r="L437" s="31"/>
      <c r="M437" s="31"/>
      <c r="N437" s="31"/>
      <c r="O437" s="31"/>
      <c r="P437" s="31"/>
      <c r="Q437" s="31"/>
      <c r="R437" s="31"/>
    </row>
    <row r="438" spans="1:18" hidden="1" x14ac:dyDescent="0.25">
      <c r="A438" s="8"/>
      <c r="B438" s="8"/>
      <c r="C438" s="40" t="s">
        <v>174</v>
      </c>
      <c r="D438" s="40"/>
      <c r="E438" s="40"/>
      <c r="F438" s="40"/>
      <c r="G438" s="40"/>
      <c r="H438" s="40"/>
      <c r="I438" s="40"/>
      <c r="J438" s="40"/>
      <c r="K438" s="42"/>
      <c r="L438" s="40"/>
      <c r="M438" s="40"/>
      <c r="N438" s="40"/>
      <c r="O438" s="40"/>
      <c r="P438" s="40"/>
      <c r="Q438" s="40"/>
      <c r="R438" s="40"/>
    </row>
    <row r="439" spans="1:18" hidden="1" x14ac:dyDescent="0.25">
      <c r="A439" s="8"/>
      <c r="B439" s="8"/>
      <c r="C439" s="41" t="s">
        <v>175</v>
      </c>
      <c r="D439" s="41"/>
      <c r="E439" s="41"/>
      <c r="F439" s="41"/>
      <c r="G439" s="41"/>
      <c r="H439" s="41"/>
      <c r="I439" s="41"/>
      <c r="J439" s="41"/>
      <c r="K439" s="43"/>
      <c r="L439" s="41"/>
      <c r="M439" s="41"/>
      <c r="N439" s="41"/>
      <c r="O439" s="41"/>
      <c r="P439" s="41"/>
      <c r="Q439" s="41"/>
      <c r="R439" s="41"/>
    </row>
    <row r="440" spans="1:18" hidden="1" x14ac:dyDescent="0.25">
      <c r="A440" s="56" t="s">
        <v>101</v>
      </c>
      <c r="B440" s="8" t="s">
        <v>4</v>
      </c>
      <c r="C440" s="28" t="s">
        <v>178</v>
      </c>
      <c r="D440" s="28"/>
      <c r="E440" s="28"/>
      <c r="F440" s="37">
        <v>6.67</v>
      </c>
      <c r="G440" s="28" t="str">
        <f>CONCATENATE("USD,FLAT ",TEXT(F440,"0.00"))</f>
        <v>USD,FLAT 6.67</v>
      </c>
      <c r="H440" s="34">
        <f>K440/J440</f>
        <v>6.67</v>
      </c>
      <c r="I440" s="28" t="s">
        <v>22</v>
      </c>
      <c r="J440" s="30">
        <v>1</v>
      </c>
      <c r="K440" s="37">
        <f>J440*F440</f>
        <v>6.67</v>
      </c>
      <c r="L440" s="37" t="str">
        <f>IFERROR(((K440-K441)/K441*100),"0.00")</f>
        <v>0.00</v>
      </c>
      <c r="M440" s="34">
        <f>(10+J440*3)</f>
        <v>13</v>
      </c>
      <c r="N440" s="33" t="s">
        <v>53</v>
      </c>
      <c r="O440" s="28" t="s">
        <v>190</v>
      </c>
      <c r="P440" s="28" t="s">
        <v>476</v>
      </c>
      <c r="Q440" s="28"/>
      <c r="R440" s="28"/>
    </row>
    <row r="441" spans="1:18" hidden="1" x14ac:dyDescent="0.25">
      <c r="A441" s="8"/>
      <c r="B441" s="8"/>
      <c r="C441" s="31" t="s">
        <v>173</v>
      </c>
      <c r="D441" s="31"/>
      <c r="E441" s="31"/>
      <c r="F441" s="31"/>
      <c r="G441" s="31"/>
      <c r="H441" s="36" t="str">
        <f>IFERROR(K441/J441,"0")</f>
        <v>0</v>
      </c>
      <c r="I441" s="31"/>
      <c r="J441" s="32"/>
      <c r="K441" s="38"/>
      <c r="L441" s="31"/>
      <c r="M441" s="31"/>
      <c r="N441" s="31"/>
      <c r="O441" s="31"/>
      <c r="P441" s="31"/>
      <c r="Q441" s="31"/>
      <c r="R441" s="31"/>
    </row>
    <row r="442" spans="1:18" hidden="1" x14ac:dyDescent="0.25">
      <c r="A442" s="8"/>
      <c r="B442" s="8"/>
      <c r="C442" s="40" t="s">
        <v>174</v>
      </c>
      <c r="D442" s="40"/>
      <c r="E442" s="40"/>
      <c r="F442" s="40"/>
      <c r="G442" s="40"/>
      <c r="H442" s="40"/>
      <c r="I442" s="40"/>
      <c r="J442" s="40"/>
      <c r="K442" s="42"/>
      <c r="L442" s="40"/>
      <c r="M442" s="40"/>
      <c r="N442" s="40"/>
      <c r="O442" s="40"/>
      <c r="P442" s="40"/>
      <c r="Q442" s="40"/>
      <c r="R442" s="40"/>
    </row>
    <row r="443" spans="1:18" hidden="1" x14ac:dyDescent="0.25">
      <c r="A443" s="8"/>
      <c r="B443" s="8"/>
      <c r="C443" s="41" t="s">
        <v>175</v>
      </c>
      <c r="D443" s="41"/>
      <c r="E443" s="41"/>
      <c r="F443" s="41"/>
      <c r="G443" s="41"/>
      <c r="H443" s="41"/>
      <c r="I443" s="41"/>
      <c r="J443" s="41"/>
      <c r="K443" s="43"/>
      <c r="L443" s="41"/>
      <c r="M443" s="41"/>
      <c r="N443" s="41"/>
      <c r="O443" s="41"/>
      <c r="P443" s="41"/>
      <c r="Q443" s="41"/>
      <c r="R443" s="41"/>
    </row>
    <row r="444" spans="1:18" x14ac:dyDescent="0.25">
      <c r="A444" s="56" t="s">
        <v>102</v>
      </c>
      <c r="B444" s="8"/>
      <c r="C444" s="28" t="s">
        <v>178</v>
      </c>
      <c r="D444" s="28"/>
      <c r="E444" s="28"/>
      <c r="F444" s="37">
        <v>0.32</v>
      </c>
      <c r="G444" s="28" t="str">
        <f>CONCATENATE("USD,FLAT ",TEXT(F444,"0.00"))</f>
        <v>USD,FLAT 0.32</v>
      </c>
      <c r="H444" s="34">
        <f>K444/J444</f>
        <v>0.32</v>
      </c>
      <c r="I444" s="28" t="s">
        <v>22</v>
      </c>
      <c r="J444" s="30">
        <v>1</v>
      </c>
      <c r="K444" s="37">
        <f>J444*F444</f>
        <v>0.32</v>
      </c>
      <c r="L444" s="28" t="str">
        <f>TEXT(IFERROR(((K444-K445)/K445*100),"0.00"),"0.00")</f>
        <v>0.00</v>
      </c>
      <c r="M444" s="34">
        <f>(10+J444*3)</f>
        <v>13</v>
      </c>
      <c r="N444" s="33" t="s">
        <v>53</v>
      </c>
      <c r="O444" s="28" t="s">
        <v>190</v>
      </c>
      <c r="P444" s="28" t="s">
        <v>476</v>
      </c>
      <c r="Q444" s="28"/>
      <c r="R444" s="28"/>
    </row>
    <row r="445" spans="1:18" x14ac:dyDescent="0.25">
      <c r="A445" s="8"/>
      <c r="B445" s="8"/>
      <c r="C445" s="31" t="s">
        <v>173</v>
      </c>
      <c r="D445" s="31"/>
      <c r="E445" s="31"/>
      <c r="F445" s="31"/>
      <c r="G445" s="31"/>
      <c r="H445" s="36" t="str">
        <f>IFERROR(K445/J445,"0")</f>
        <v>0</v>
      </c>
      <c r="I445" s="31"/>
      <c r="J445" s="32"/>
      <c r="K445" s="38"/>
      <c r="L445" s="31"/>
      <c r="M445" s="31"/>
      <c r="N445" s="31"/>
      <c r="O445" s="31"/>
      <c r="P445" s="31"/>
      <c r="Q445" s="31"/>
      <c r="R445" s="31"/>
    </row>
    <row r="446" spans="1:18" x14ac:dyDescent="0.25">
      <c r="A446" s="8"/>
      <c r="B446" s="8"/>
      <c r="C446" s="40" t="s">
        <v>174</v>
      </c>
      <c r="D446" s="40"/>
      <c r="E446" s="40"/>
      <c r="F446" s="40"/>
      <c r="G446" s="40"/>
      <c r="H446" s="40"/>
      <c r="I446" s="40"/>
      <c r="J446" s="40"/>
      <c r="K446" s="42"/>
      <c r="L446" s="40"/>
      <c r="M446" s="40"/>
      <c r="N446" s="40"/>
      <c r="O446" s="40"/>
      <c r="P446" s="40"/>
      <c r="Q446" s="40"/>
      <c r="R446" s="40"/>
    </row>
    <row r="447" spans="1:18" x14ac:dyDescent="0.25">
      <c r="A447" s="8"/>
      <c r="B447" s="8"/>
      <c r="C447" s="41" t="s">
        <v>175</v>
      </c>
      <c r="D447" s="41"/>
      <c r="E447" s="41"/>
      <c r="F447" s="41"/>
      <c r="G447" s="41"/>
      <c r="H447" s="41"/>
      <c r="I447" s="41"/>
      <c r="J447" s="41"/>
      <c r="K447" s="43"/>
      <c r="L447" s="41"/>
      <c r="M447" s="41"/>
      <c r="N447" s="41"/>
      <c r="O447" s="41"/>
      <c r="P447" s="41"/>
      <c r="Q447" s="41"/>
      <c r="R447" s="41"/>
    </row>
    <row r="448" spans="1:18" hidden="1" x14ac:dyDescent="0.25">
      <c r="A448" s="56" t="s">
        <v>103</v>
      </c>
      <c r="B448" s="8"/>
      <c r="C448" s="28" t="s">
        <v>178</v>
      </c>
      <c r="D448" s="28"/>
      <c r="E448" s="28"/>
      <c r="F448" s="37">
        <v>0.6</v>
      </c>
      <c r="G448" s="28" t="str">
        <f>CONCATENATE("USD,FLAT ",TEXT(F448,"0.00"))</f>
        <v>USD,FLAT 0.60</v>
      </c>
      <c r="H448" s="34">
        <f>K448/J448</f>
        <v>0.6</v>
      </c>
      <c r="I448" s="28" t="s">
        <v>22</v>
      </c>
      <c r="J448" s="30">
        <v>1</v>
      </c>
      <c r="K448" s="37">
        <f>J448*F448</f>
        <v>0.6</v>
      </c>
      <c r="L448" s="28" t="str">
        <f>TEXT(IFERROR(((K448-K449)/K449*100),"0.00"),"0.00")</f>
        <v>0.00</v>
      </c>
      <c r="M448" s="34">
        <f>(10+J448*3)</f>
        <v>13</v>
      </c>
      <c r="N448" s="33" t="s">
        <v>53</v>
      </c>
      <c r="O448" s="28" t="s">
        <v>190</v>
      </c>
      <c r="P448" s="28" t="s">
        <v>476</v>
      </c>
      <c r="Q448" s="28"/>
      <c r="R448" s="28"/>
    </row>
    <row r="449" spans="1:18" hidden="1" x14ac:dyDescent="0.25">
      <c r="A449" s="8"/>
      <c r="B449" s="8"/>
      <c r="C449" s="31" t="s">
        <v>173</v>
      </c>
      <c r="D449" s="31"/>
      <c r="E449" s="31"/>
      <c r="F449" s="31"/>
      <c r="G449" s="31"/>
      <c r="H449" s="36" t="str">
        <f>IFERROR(K449/J449,"0")</f>
        <v>0</v>
      </c>
      <c r="I449" s="31"/>
      <c r="J449" s="32"/>
      <c r="K449" s="38"/>
      <c r="L449" s="31"/>
      <c r="M449" s="31"/>
      <c r="N449" s="31"/>
      <c r="O449" s="31"/>
      <c r="P449" s="31"/>
      <c r="Q449" s="31"/>
      <c r="R449" s="31"/>
    </row>
    <row r="450" spans="1:18" hidden="1" x14ac:dyDescent="0.25">
      <c r="A450" s="8"/>
      <c r="B450" s="8"/>
      <c r="C450" s="40" t="s">
        <v>174</v>
      </c>
      <c r="D450" s="40"/>
      <c r="E450" s="40"/>
      <c r="F450" s="40"/>
      <c r="G450" s="40"/>
      <c r="H450" s="40"/>
      <c r="I450" s="40"/>
      <c r="J450" s="40"/>
      <c r="K450" s="42"/>
      <c r="L450" s="40"/>
      <c r="M450" s="40"/>
      <c r="N450" s="40"/>
      <c r="O450" s="40"/>
      <c r="P450" s="40"/>
      <c r="Q450" s="40"/>
      <c r="R450" s="40"/>
    </row>
    <row r="451" spans="1:18" hidden="1" x14ac:dyDescent="0.25">
      <c r="A451" s="8"/>
      <c r="B451" s="8"/>
      <c r="C451" s="41" t="s">
        <v>175</v>
      </c>
      <c r="D451" s="41"/>
      <c r="E451" s="41"/>
      <c r="F451" s="41"/>
      <c r="G451" s="41"/>
      <c r="H451" s="41"/>
      <c r="I451" s="41"/>
      <c r="J451" s="41"/>
      <c r="K451" s="43"/>
      <c r="L451" s="41"/>
      <c r="M451" s="41"/>
      <c r="N451" s="41"/>
      <c r="O451" s="41"/>
      <c r="P451" s="41"/>
      <c r="Q451" s="41"/>
      <c r="R451" s="41"/>
    </row>
    <row r="452" spans="1:18" hidden="1" x14ac:dyDescent="0.25">
      <c r="A452" s="56" t="s">
        <v>104</v>
      </c>
      <c r="B452" s="44"/>
      <c r="C452" s="28" t="s">
        <v>178</v>
      </c>
      <c r="D452" s="28"/>
      <c r="E452" s="28"/>
      <c r="F452" s="28">
        <v>16.670000000000002</v>
      </c>
      <c r="G452" s="28" t="str">
        <f>CONCATENATE("USD,FLAT ",TEXT(F452,"0.00"))</f>
        <v>USD,FLAT 16.67</v>
      </c>
      <c r="H452" s="34">
        <f>K452/J452</f>
        <v>16.670000000000002</v>
      </c>
      <c r="I452" s="28" t="s">
        <v>22</v>
      </c>
      <c r="J452" s="30">
        <v>1</v>
      </c>
      <c r="K452" s="37">
        <f>J452*F452</f>
        <v>16.670000000000002</v>
      </c>
      <c r="L452" s="28" t="str">
        <f>TEXT(IFERROR(((K452-K453)/K453*100),"0.00"),"0.00")</f>
        <v>0.00</v>
      </c>
      <c r="M452" s="34">
        <f>(10+J452*3)</f>
        <v>13</v>
      </c>
      <c r="N452" s="33" t="s">
        <v>53</v>
      </c>
      <c r="O452" s="28" t="s">
        <v>190</v>
      </c>
      <c r="P452" s="28" t="s">
        <v>476</v>
      </c>
      <c r="Q452" s="28"/>
      <c r="R452" s="28"/>
    </row>
    <row r="453" spans="1:18" hidden="1" x14ac:dyDescent="0.25">
      <c r="A453" s="8"/>
      <c r="B453" s="44"/>
      <c r="C453" s="31" t="s">
        <v>173</v>
      </c>
      <c r="D453" s="31"/>
      <c r="E453" s="31"/>
      <c r="F453" s="31"/>
      <c r="G453" s="31"/>
      <c r="H453" s="36" t="str">
        <f>IFERROR(K453/J453,"0")</f>
        <v>0</v>
      </c>
      <c r="I453" s="31"/>
      <c r="J453" s="32"/>
      <c r="K453" s="38"/>
      <c r="L453" s="31"/>
      <c r="M453" s="31"/>
      <c r="N453" s="31"/>
      <c r="O453" s="31"/>
      <c r="P453" s="31"/>
      <c r="Q453" s="31"/>
      <c r="R453" s="31"/>
    </row>
    <row r="454" spans="1:18" hidden="1" x14ac:dyDescent="0.25">
      <c r="A454" s="8"/>
      <c r="B454" s="44"/>
      <c r="C454" s="40" t="s">
        <v>174</v>
      </c>
      <c r="D454" s="40"/>
      <c r="E454" s="40"/>
      <c r="F454" s="40"/>
      <c r="G454" s="40"/>
      <c r="H454" s="40"/>
      <c r="I454" s="40"/>
      <c r="J454" s="40"/>
      <c r="K454" s="42"/>
      <c r="L454" s="40"/>
      <c r="M454" s="40"/>
      <c r="N454" s="40"/>
      <c r="O454" s="40"/>
      <c r="P454" s="40"/>
      <c r="Q454" s="40"/>
      <c r="R454" s="40"/>
    </row>
    <row r="455" spans="1:18" hidden="1" x14ac:dyDescent="0.25">
      <c r="A455" s="8"/>
      <c r="B455" s="44"/>
      <c r="C455" s="41" t="s">
        <v>175</v>
      </c>
      <c r="D455" s="41"/>
      <c r="E455" s="41"/>
      <c r="F455" s="41"/>
      <c r="G455" s="41"/>
      <c r="H455" s="41"/>
      <c r="I455" s="41"/>
      <c r="J455" s="41"/>
      <c r="K455" s="43"/>
      <c r="L455" s="41"/>
      <c r="M455" s="41"/>
      <c r="N455" s="41"/>
      <c r="O455" s="41"/>
      <c r="P455" s="41"/>
      <c r="Q455" s="41"/>
      <c r="R455" s="41"/>
    </row>
    <row r="457" spans="1:18" x14ac:dyDescent="0.25">
      <c r="A457" s="347" t="s">
        <v>197</v>
      </c>
      <c r="B457" s="348"/>
      <c r="C457" s="348"/>
      <c r="D457" s="348"/>
      <c r="E457" s="348"/>
      <c r="F457" s="348"/>
      <c r="G457" s="348"/>
      <c r="H457" s="348"/>
    </row>
    <row r="458" spans="1:18" x14ac:dyDescent="0.25">
      <c r="A458" s="22" t="s">
        <v>1</v>
      </c>
      <c r="B458" s="22" t="s">
        <v>0</v>
      </c>
      <c r="C458" s="22" t="s">
        <v>181</v>
      </c>
      <c r="D458" s="22" t="s">
        <v>192</v>
      </c>
      <c r="E458" s="22" t="s">
        <v>203</v>
      </c>
      <c r="F458" s="22" t="s">
        <v>204</v>
      </c>
      <c r="G458" s="22" t="s">
        <v>193</v>
      </c>
      <c r="H458" s="22" t="s">
        <v>194</v>
      </c>
    </row>
    <row r="459" spans="1:18" x14ac:dyDescent="0.25">
      <c r="A459" s="19">
        <f>C271</f>
        <v>0</v>
      </c>
      <c r="B459" s="21">
        <f>B271</f>
        <v>0</v>
      </c>
      <c r="C459" s="19" t="s">
        <v>195</v>
      </c>
      <c r="D459" s="52">
        <f>((E459-G459)/G459*100)</f>
        <v>942.53432561728391</v>
      </c>
      <c r="E459" s="53">
        <f>K388+(C168+C169)</f>
        <v>6755622.4299999997</v>
      </c>
      <c r="F459" s="53">
        <f>M388+(C170+C171)</f>
        <v>1010169</v>
      </c>
      <c r="G459" s="53">
        <f>K389</f>
        <v>648000</v>
      </c>
      <c r="H459" s="53">
        <f>M389</f>
        <v>144010</v>
      </c>
    </row>
    <row r="461" spans="1:18" x14ac:dyDescent="0.25">
      <c r="A461" s="347" t="s">
        <v>196</v>
      </c>
      <c r="B461" s="348"/>
      <c r="C461" s="348"/>
      <c r="D461" s="348"/>
      <c r="E461" s="348"/>
      <c r="F461" s="348"/>
      <c r="G461" s="348"/>
      <c r="H461" s="348"/>
      <c r="I461" s="348"/>
      <c r="J461" s="348"/>
    </row>
    <row r="462" spans="1:18" x14ac:dyDescent="0.25">
      <c r="A462" s="373" t="s">
        <v>198</v>
      </c>
      <c r="B462" s="391" t="s">
        <v>201</v>
      </c>
      <c r="C462" s="392"/>
      <c r="D462" s="392"/>
      <c r="E462" s="393"/>
      <c r="F462" s="391" t="s">
        <v>202</v>
      </c>
      <c r="G462" s="392"/>
      <c r="H462" s="392"/>
      <c r="I462" s="393"/>
      <c r="J462" s="337" t="s">
        <v>200</v>
      </c>
    </row>
    <row r="463" spans="1:18" x14ac:dyDescent="0.25">
      <c r="A463" s="374"/>
      <c r="B463" s="22" t="s">
        <v>164</v>
      </c>
      <c r="C463" s="22" t="s">
        <v>166</v>
      </c>
      <c r="D463" s="22" t="s">
        <v>199</v>
      </c>
      <c r="E463" s="22" t="s">
        <v>205</v>
      </c>
      <c r="F463" s="22" t="s">
        <v>164</v>
      </c>
      <c r="G463" s="22" t="s">
        <v>166</v>
      </c>
      <c r="H463" s="22" t="s">
        <v>199</v>
      </c>
      <c r="I463" s="22" t="s">
        <v>205</v>
      </c>
      <c r="J463" s="338"/>
    </row>
    <row r="464" spans="1:18" x14ac:dyDescent="0.25">
      <c r="A464" s="19"/>
      <c r="B464" s="53">
        <f>E459</f>
        <v>6755622.4299999997</v>
      </c>
      <c r="C464" s="53">
        <f>F459</f>
        <v>1010169</v>
      </c>
      <c r="D464" s="53">
        <f>B464-C464</f>
        <v>5745453.4299999997</v>
      </c>
      <c r="E464" s="52">
        <f>((B464-C464)/B464*100)</f>
        <v>85.046988483043449</v>
      </c>
      <c r="F464" s="53">
        <f>G459</f>
        <v>648000</v>
      </c>
      <c r="G464" s="53">
        <f>H459</f>
        <v>144010</v>
      </c>
      <c r="H464" s="53">
        <f>F464-G464</f>
        <v>503990</v>
      </c>
      <c r="I464" s="52">
        <f>((F464-G464)/F464*100)</f>
        <v>77.776234567901241</v>
      </c>
      <c r="J464" s="52">
        <f>((B464-F464)/F464*100)</f>
        <v>942.53432561728391</v>
      </c>
    </row>
    <row r="466" spans="1:12" x14ac:dyDescent="0.25">
      <c r="A466" s="54" t="s">
        <v>136</v>
      </c>
      <c r="B466" s="55"/>
      <c r="C466" s="55"/>
    </row>
    <row r="467" spans="1:12" x14ac:dyDescent="0.25">
      <c r="A467" s="22" t="s">
        <v>136</v>
      </c>
      <c r="B467" s="22" t="s">
        <v>144</v>
      </c>
      <c r="C467" s="22" t="s">
        <v>145</v>
      </c>
      <c r="D467" s="22" t="s">
        <v>469</v>
      </c>
      <c r="E467" s="22" t="s">
        <v>125</v>
      </c>
      <c r="F467" s="22" t="s">
        <v>54</v>
      </c>
      <c r="G467" s="22" t="s">
        <v>55</v>
      </c>
      <c r="H467" s="22" t="s">
        <v>470</v>
      </c>
      <c r="I467" s="22" t="s">
        <v>471</v>
      </c>
      <c r="J467" s="22" t="s">
        <v>140</v>
      </c>
      <c r="K467" s="22" t="s">
        <v>122</v>
      </c>
      <c r="L467" s="22" t="s">
        <v>120</v>
      </c>
    </row>
    <row r="468" spans="1:12" ht="75" x14ac:dyDescent="0.25">
      <c r="A468" s="24" t="s">
        <v>137</v>
      </c>
      <c r="B468" s="25" t="s">
        <v>216</v>
      </c>
      <c r="C468" s="25" t="s">
        <v>216</v>
      </c>
      <c r="D468" s="25" t="s">
        <v>134</v>
      </c>
      <c r="E468" s="25" t="s">
        <v>134</v>
      </c>
      <c r="F468" s="25"/>
      <c r="G468" s="25"/>
      <c r="H468" s="25"/>
      <c r="I468" s="25"/>
      <c r="J468" s="150">
        <v>44380</v>
      </c>
      <c r="K468" s="150">
        <v>44380</v>
      </c>
      <c r="L468" s="25" t="s">
        <v>4</v>
      </c>
    </row>
  </sheetData>
  <mergeCells count="59">
    <mergeCell ref="A28:C28"/>
    <mergeCell ref="A1:J1"/>
    <mergeCell ref="B2:E2"/>
    <mergeCell ref="A6:J6"/>
    <mergeCell ref="A10:H10"/>
    <mergeCell ref="A14:G14"/>
    <mergeCell ref="A82:E82"/>
    <mergeCell ref="A32:J32"/>
    <mergeCell ref="A42:D42"/>
    <mergeCell ref="A48:D48"/>
    <mergeCell ref="A57:K57"/>
    <mergeCell ref="A59:D59"/>
    <mergeCell ref="A63:R63"/>
    <mergeCell ref="A67:R67"/>
    <mergeCell ref="A71:E71"/>
    <mergeCell ref="A77:E77"/>
    <mergeCell ref="A83:E83"/>
    <mergeCell ref="A154:H154"/>
    <mergeCell ref="A158:J158"/>
    <mergeCell ref="A159:A160"/>
    <mergeCell ref="B159:E159"/>
    <mergeCell ref="F159:I159"/>
    <mergeCell ref="J159:J160"/>
    <mergeCell ref="A166:H166"/>
    <mergeCell ref="A175:E175"/>
    <mergeCell ref="A176:J176"/>
    <mergeCell ref="A177:A178"/>
    <mergeCell ref="B177:E177"/>
    <mergeCell ref="F177:I177"/>
    <mergeCell ref="J177:J178"/>
    <mergeCell ref="A299:E299"/>
    <mergeCell ref="A180:H180"/>
    <mergeCell ref="A188:L188"/>
    <mergeCell ref="A190:E190"/>
    <mergeCell ref="A260:J260"/>
    <mergeCell ref="A261:A262"/>
    <mergeCell ref="B261:E261"/>
    <mergeCell ref="F261:I261"/>
    <mergeCell ref="J261:J262"/>
    <mergeCell ref="A264:H264"/>
    <mergeCell ref="A279:C279"/>
    <mergeCell ref="A281:L281"/>
    <mergeCell ref="A283:E283"/>
    <mergeCell ref="A297:L297"/>
    <mergeCell ref="A462:A463"/>
    <mergeCell ref="B462:E462"/>
    <mergeCell ref="F462:I462"/>
    <mergeCell ref="J462:J463"/>
    <mergeCell ref="A301:E301"/>
    <mergeCell ref="A372:J372"/>
    <mergeCell ref="A373:A374"/>
    <mergeCell ref="B373:E373"/>
    <mergeCell ref="F373:H373"/>
    <mergeCell ref="I373:L373"/>
    <mergeCell ref="A376:H376"/>
    <mergeCell ref="A385:E385"/>
    <mergeCell ref="A386:E386"/>
    <mergeCell ref="A457:H457"/>
    <mergeCell ref="A461:J461"/>
  </mergeCells>
  <dataValidations count="4">
    <dataValidation type="list" allowBlank="1" showInputMessage="1" showErrorMessage="1" sqref="C156 C182 C266 C378 C459">
      <formula1>"APPROVED, PENDING FOR APPROVAL, ERROR, ,"</formula1>
    </dataValidation>
    <dataValidation type="list" allowBlank="1" showInputMessage="1" showErrorMessage="1" sqref="C89 C93 C97 C107 C111 C115 C121 C125 C141 C145 C149 C129 C133 C137 C119 C105 C87 C85 C101 C192 C194 C14 C244 C28 C240 C218 C222 C228 C232 C214 C248 C252 C256 C236 C226 C6 C212 C208 C196 C200 C204 C303 C305 C355 C351 C329 C333 C339 C343 C325 C359 C363 C367 C347 C337 C323 C319 C307 C311 C315 C277 C287 C291 C295 C285 C392 C396 C400 C410 C414 C418 C424 C428 C444 C448 C452 C432 C436 C440 C422 C408 C390 C388 C404">
      <formula1>"Projected,Original,Seasonal,Recommended"</formula1>
    </dataValidation>
    <dataValidation type="list" allowBlank="1" showInputMessage="1" showErrorMessage="1" sqref="C90:C92 C94:C96 C86 C108:C110 C112:C114 C116:C118 C122:C124 C142:C144 C146:C148 C150:C152 C126:C128 C130:C132 C134:C136 C138:C140 C120 C106 C88 C98:C100 C102:C104 C195 C10 C201:C203 C241:C243 C215:C217 C237:C239 C219:C221 C193 C223:C225 C32 C229:C231 C249:C251 C253:C255 C257:C259 C233:C235 C245:C247 C205:C207 C227 C213 C197:C199 C209:C211 C42 C306 C320:C322 C352:C354 C326:C328 C348:C350 C330:C332 C304 C334:C336 C340:C342 C360:C362 C364:C366 C368:C370 C344:C346 C356:C358 C312:C314 C338 C324 C308:C310 C316:C318 C278 C280 C296 C288:C290 C292:C294 C286 C393:C395 C397:C399 C389 C411:C413 C415:C417 C419:C421 C425:C427 C445:C447 C449:C451 C453:C455 C429:C431 C433:C435 C437:C439 C441:C443 C423 C409 C391 C401:C403 C405:C407">
      <formula1>"Proposed,Original,Seasonal,Recommended"</formula1>
    </dataValidation>
    <dataValidation type="list" allowBlank="1" showInputMessage="1" showErrorMessage="1" sqref="L65:N65 N69 N165 N46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5" x14ac:dyDescent="0.25"/>
  <cols>
    <col min="1" max="1" width="67.85546875" customWidth="1" collapsed="1"/>
  </cols>
  <sheetData>
    <row r="1" spans="1:1" x14ac:dyDescent="0.25">
      <c r="A1"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Pre-requisites</vt:lpstr>
      <vt:lpstr>Currency Conversion - Deal </vt:lpstr>
      <vt:lpstr>UC01 - CALCULATOIN</vt:lpstr>
      <vt:lpstr>Deal- Contracted data</vt:lpstr>
      <vt:lpstr>Bug_ID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2023-08-04T05:36:36Z</dcterms:modified>
</cp:coreProperties>
</file>